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7965" tabRatio="855" activeTab="3"/>
  </bookViews>
  <sheets>
    <sheet name="Rozpočet výstavby" sheetId="1" r:id="rId1"/>
    <sheet name="Porovnanie alternatív bývania" sheetId="2" r:id="rId2"/>
    <sheet name="Plán rozpočtu podľa položiek" sheetId="3" r:id="rId3"/>
    <sheet name="Bilancia SPC MHSR" sheetId="4" r:id="rId4"/>
    <sheet name="Odpisy SPV" sheetId="5" r:id="rId5"/>
    <sheet name="Návrh spolufinancovania" sheetId="6" r:id="rId6"/>
    <sheet name="Daň z nehnuteľnosti" sheetId="7" r:id="rId7"/>
  </sheets>
  <definedNames/>
  <calcPr fullCalcOnLoad="1"/>
</workbook>
</file>

<file path=xl/comments1.xml><?xml version="1.0" encoding="utf-8"?>
<comments xmlns="http://schemas.openxmlformats.org/spreadsheetml/2006/main">
  <authors>
    <author>Juraj Lichner</author>
  </authors>
  <commentList>
    <comment ref="H21" authorId="0">
      <text>
        <r>
          <rPr>
            <b/>
            <sz val="8"/>
            <rFont val="Tahoma"/>
            <family val="0"/>
          </rPr>
          <t>Juraj Lichner:</t>
        </r>
        <r>
          <rPr>
            <sz val="8"/>
            <rFont val="Tahoma"/>
            <family val="0"/>
          </rPr>
          <t xml:space="preserve">
neakceptujeme</t>
        </r>
      </text>
    </comment>
  </commentList>
</comments>
</file>

<file path=xl/comments2.xml><?xml version="1.0" encoding="utf-8"?>
<comments xmlns="http://schemas.openxmlformats.org/spreadsheetml/2006/main">
  <authors>
    <author>Juraj Lichner</author>
  </authors>
  <commentList>
    <comment ref="H22" authorId="0">
      <text>
        <r>
          <rPr>
            <b/>
            <sz val="8"/>
            <rFont val="Tahoma"/>
            <family val="0"/>
          </rPr>
          <t>Juraj Lichner:</t>
        </r>
        <r>
          <rPr>
            <sz val="8"/>
            <rFont val="Tahoma"/>
            <family val="0"/>
          </rPr>
          <t xml:space="preserve">
neakceptujeme</t>
        </r>
      </text>
    </comment>
  </commentList>
</comments>
</file>

<file path=xl/comments3.xml><?xml version="1.0" encoding="utf-8"?>
<comments xmlns="http://schemas.openxmlformats.org/spreadsheetml/2006/main">
  <authors>
    <author>Juraj Lichner</author>
  </authors>
  <commentList>
    <comment ref="F17" authorId="0">
      <text>
        <r>
          <rPr>
            <b/>
            <sz val="8"/>
            <rFont val="Tahoma"/>
            <family val="0"/>
          </rPr>
          <t>Juraj Lichner:</t>
        </r>
        <r>
          <rPr>
            <sz val="8"/>
            <rFont val="Tahoma"/>
            <family val="0"/>
          </rPr>
          <t xml:space="preserve">
0,1% zo sumy obstarania stavieb</t>
        </r>
      </text>
    </comment>
  </commentList>
</comments>
</file>

<file path=xl/comments5.xml><?xml version="1.0" encoding="utf-8"?>
<comments xmlns="http://schemas.openxmlformats.org/spreadsheetml/2006/main">
  <authors>
    <author>Juraj Lichner</author>
  </authors>
  <commentList>
    <comment ref="H15" authorId="0">
      <text>
        <r>
          <rPr>
            <b/>
            <sz val="8"/>
            <rFont val="Tahoma"/>
            <family val="0"/>
          </rPr>
          <t>Juraj Lichner:</t>
        </r>
        <r>
          <rPr>
            <sz val="8"/>
            <rFont val="Tahoma"/>
            <family val="0"/>
          </rPr>
          <t xml:space="preserve">
neakceptujeme</t>
        </r>
      </text>
    </comment>
  </commentList>
</comments>
</file>

<file path=xl/sharedStrings.xml><?xml version="1.0" encoding="utf-8"?>
<sst xmlns="http://schemas.openxmlformats.org/spreadsheetml/2006/main" count="345" uniqueCount="145">
  <si>
    <t>club house</t>
  </si>
  <si>
    <t>MJ</t>
  </si>
  <si>
    <t>m3</t>
  </si>
  <si>
    <t>cena/MJ</t>
  </si>
  <si>
    <t>vymera</t>
  </si>
  <si>
    <t>m2</t>
  </si>
  <si>
    <t>oplotenie</t>
  </si>
  <si>
    <t xml:space="preserve">m </t>
  </si>
  <si>
    <t>ks</t>
  </si>
  <si>
    <t>sadové úpravy</t>
  </si>
  <si>
    <t>kapitálové</t>
  </si>
  <si>
    <t>pozemky (vrátane sietí)</t>
  </si>
  <si>
    <t>zariadenie interiér</t>
  </si>
  <si>
    <t>položka</t>
  </si>
  <si>
    <t>typ</t>
  </si>
  <si>
    <t>odpisy 5r.</t>
  </si>
  <si>
    <t>zostatková hodnota</t>
  </si>
  <si>
    <t>parking</t>
  </si>
  <si>
    <t>komunikácie</t>
  </si>
  <si>
    <t>náklady na obstaranie</t>
  </si>
  <si>
    <t>dom manager A</t>
  </si>
  <si>
    <t>dom manager B</t>
  </si>
  <si>
    <t xml:space="preserve">dom director </t>
  </si>
  <si>
    <t>dom president mobis</t>
  </si>
  <si>
    <t>dom president kia</t>
  </si>
  <si>
    <t>vrátnica</t>
  </si>
  <si>
    <t>tenisove ihriská</t>
  </si>
  <si>
    <t>asfaltové ihriská</t>
  </si>
  <si>
    <t>Celkom</t>
  </si>
  <si>
    <t>dom manager A/byt</t>
  </si>
  <si>
    <t>dom manager B/byt</t>
  </si>
  <si>
    <t>dom director/byt</t>
  </si>
  <si>
    <t>dom president mobis/byt</t>
  </si>
  <si>
    <t>dom president kia/byt</t>
  </si>
  <si>
    <t>nájomné byt/mesiac</t>
  </si>
  <si>
    <t>nájomné dom/mesiac</t>
  </si>
  <si>
    <t>počet</t>
  </si>
  <si>
    <t>index rastu cien</t>
  </si>
  <si>
    <t>Suma 5r. odpisov</t>
  </si>
  <si>
    <t>celkom</t>
  </si>
  <si>
    <t>Dopad na štátny rozpočet</t>
  </si>
  <si>
    <t>Prevádzkové</t>
  </si>
  <si>
    <t>Kapitálové</t>
  </si>
  <si>
    <t>Suma prevádzkových nákladov 5r.</t>
  </si>
  <si>
    <t>projekty</t>
  </si>
  <si>
    <t>engineering</t>
  </si>
  <si>
    <t>DOM</t>
  </si>
  <si>
    <t>BYT</t>
  </si>
  <si>
    <t>obvyklé prevádzkové náklady mesačné/byt</t>
  </si>
  <si>
    <t>Spolu:</t>
  </si>
  <si>
    <t>nájomné byty na 5r.</t>
  </si>
  <si>
    <t>nájomné domy na 5r.</t>
  </si>
  <si>
    <t>obdobie:</t>
  </si>
  <si>
    <t>obvyklé prevádzkové náklady ročné celkom</t>
  </si>
  <si>
    <t>Pozemky</t>
  </si>
  <si>
    <t>Stavby</t>
  </si>
  <si>
    <t>Osobné náklady</t>
  </si>
  <si>
    <t>Poistné</t>
  </si>
  <si>
    <t>Ostatné kapitálové výdavky</t>
  </si>
  <si>
    <t>Ostatné bežné výdavky</t>
  </si>
  <si>
    <t>Úplný rozpočet</t>
  </si>
  <si>
    <t>Popis</t>
  </si>
  <si>
    <t>Bežné</t>
  </si>
  <si>
    <t>Daň z nehnuteľností</t>
  </si>
  <si>
    <t>Náklady na založenie spoločnosti</t>
  </si>
  <si>
    <t>Dane a poplatky ostatné</t>
  </si>
  <si>
    <t>Cena za odpredaj investorovi</t>
  </si>
  <si>
    <t>Čistý dopad na štátny rozpočet</t>
  </si>
  <si>
    <t>uvádzané v Sk</t>
  </si>
  <si>
    <t>Ubytovanie pre zahr. Investora</t>
  </si>
  <si>
    <t>Kap.</t>
  </si>
  <si>
    <t>Položka</t>
  </si>
  <si>
    <t>Stavebné pozemky</t>
  </si>
  <si>
    <t>Základná sadzba</t>
  </si>
  <si>
    <t>Sadzba podľa VZN</t>
  </si>
  <si>
    <t>Výmera v m2</t>
  </si>
  <si>
    <t>Zastavané plochy</t>
  </si>
  <si>
    <t>Stavby na bývanie</t>
  </si>
  <si>
    <t>Počet</t>
  </si>
  <si>
    <t>President KIA</t>
  </si>
  <si>
    <t>President MOBIS</t>
  </si>
  <si>
    <t>Director house</t>
  </si>
  <si>
    <t>Manager A</t>
  </si>
  <si>
    <t>Manager B</t>
  </si>
  <si>
    <t>Club House</t>
  </si>
  <si>
    <t>Ostatné stavby</t>
  </si>
  <si>
    <t>Rok/koef.</t>
  </si>
  <si>
    <t>Koef.</t>
  </si>
  <si>
    <t>Plocha v m2</t>
  </si>
  <si>
    <t>uvádzané v tis. Sk</t>
  </si>
  <si>
    <t>Návratná finančná výpomoc</t>
  </si>
  <si>
    <t>uvádzané v tis. Skk</t>
  </si>
  <si>
    <t>bežné</t>
  </si>
  <si>
    <t>prostriedky s dopadom na ŠR</t>
  </si>
  <si>
    <t>Energie na objekty bývania</t>
  </si>
  <si>
    <t>dom president B</t>
  </si>
  <si>
    <t>dom president A</t>
  </si>
  <si>
    <t>Správa, údržba, služby</t>
  </si>
  <si>
    <t>Tržby za predaj služieb (nájomné)</t>
  </si>
  <si>
    <t>Refakturácia služieb</t>
  </si>
  <si>
    <t>Výnosy celkom</t>
  </si>
  <si>
    <t>Spotreba materiálu a energie</t>
  </si>
  <si>
    <t>Dane a poplatky</t>
  </si>
  <si>
    <t>Odpisy</t>
  </si>
  <si>
    <t>Finančné náklady (poistné)</t>
  </si>
  <si>
    <t>Náklady celkom</t>
  </si>
  <si>
    <t>HV pred zdanením</t>
  </si>
  <si>
    <t>Daň 19%</t>
  </si>
  <si>
    <t>HV po zdanení</t>
  </si>
  <si>
    <t>Zostatková cena</t>
  </si>
  <si>
    <t>Zariadenie</t>
  </si>
  <si>
    <t>Stroje, prístroje, zariadenia</t>
  </si>
  <si>
    <t>HIM celkom</t>
  </si>
  <si>
    <t>Finančný majetok</t>
  </si>
  <si>
    <t>Aktíva celkom</t>
  </si>
  <si>
    <t>Základné Imanie</t>
  </si>
  <si>
    <t>Kapitálové fondy</t>
  </si>
  <si>
    <t>HV minulých rokov</t>
  </si>
  <si>
    <t>HV bežného obdobia</t>
  </si>
  <si>
    <t>Cudzie zdroje</t>
  </si>
  <si>
    <t>Vlastné imanie</t>
  </si>
  <si>
    <t>Pasíva celkom</t>
  </si>
  <si>
    <t>Stavby (aj nedokončené)</t>
  </si>
  <si>
    <t>Výsledovka</t>
  </si>
  <si>
    <t>Súvaha</t>
  </si>
  <si>
    <t>Plán 2005</t>
  </si>
  <si>
    <t>Plán 2006</t>
  </si>
  <si>
    <t>Plán 2007</t>
  </si>
  <si>
    <t>Plán 2008</t>
  </si>
  <si>
    <t>Plán 2009</t>
  </si>
  <si>
    <t>Plán 2010</t>
  </si>
  <si>
    <t>Plán 2011</t>
  </si>
  <si>
    <t>dohodnuté odpisy</t>
  </si>
  <si>
    <t>Ubytovanie pre zahraničných investorov - náklady na obstaranie obytného súboru</t>
  </si>
  <si>
    <t>príloha 1</t>
  </si>
  <si>
    <t>Porovnanie alternatív bývania formou nájmu</t>
  </si>
  <si>
    <t>príloha 2</t>
  </si>
  <si>
    <t>Celkové náklady na výstavbu a prevádzku obytného súboru</t>
  </si>
  <si>
    <t>príloha 3</t>
  </si>
  <si>
    <t>Bilancia dcérskej spoločnosti MHSR</t>
  </si>
  <si>
    <t>príloha 4</t>
  </si>
  <si>
    <t>Bežné výdavky rozpočtu na 5 r.</t>
  </si>
  <si>
    <t>Celkový dopad na štátny rozpočet</t>
  </si>
  <si>
    <t>Ubytovanie pre zahraničných investorov - súbor</t>
  </si>
  <si>
    <t>rozdiel
(-)nevýhoda/(+)výhoda oproti súboru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</si>
</sst>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#,##0.0000"/>
    <numFmt numFmtId="166" formatCode="#,##0.0"/>
    <numFmt numFmtId="167" formatCode="0.0"/>
  </numFmts>
  <fonts count="13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i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4" fontId="3" fillId="2" borderId="11" xfId="0" applyNumberFormat="1" applyFon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0" fontId="3" fillId="2" borderId="2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/>
    </xf>
    <xf numFmtId="0" fontId="0" fillId="0" borderId="2" xfId="0" applyFill="1" applyBorder="1" applyAlignment="1">
      <alignment wrapText="1"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3" fillId="2" borderId="11" xfId="0" applyFont="1" applyFill="1" applyBorder="1" applyAlignment="1">
      <alignment horizontal="right"/>
    </xf>
    <xf numFmtId="0" fontId="3" fillId="2" borderId="3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6" fillId="0" borderId="5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2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2" borderId="5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4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3" fontId="0" fillId="0" borderId="9" xfId="0" applyNumberFormat="1" applyBorder="1" applyAlignment="1">
      <alignment/>
    </xf>
    <xf numFmtId="2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3" fontId="0" fillId="0" borderId="7" xfId="0" applyNumberFormat="1" applyBorder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3" fontId="3" fillId="0" borderId="0" xfId="0" applyNumberFormat="1" applyFont="1" applyAlignment="1">
      <alignment/>
    </xf>
    <xf numFmtId="0" fontId="7" fillId="0" borderId="9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4" fontId="0" fillId="0" borderId="9" xfId="0" applyNumberFormat="1" applyBorder="1" applyAlignment="1">
      <alignment/>
    </xf>
    <xf numFmtId="4" fontId="0" fillId="0" borderId="7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2" borderId="0" xfId="0" applyNumberFormat="1" applyFont="1" applyFill="1" applyBorder="1" applyAlignment="1">
      <alignment/>
    </xf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left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/>
    </xf>
    <xf numFmtId="0" fontId="0" fillId="0" borderId="0" xfId="0" applyBorder="1" applyAlignment="1">
      <alignment horizontal="left"/>
    </xf>
    <xf numFmtId="3" fontId="3" fillId="2" borderId="13" xfId="0" applyNumberFormat="1" applyFont="1" applyFill="1" applyBorder="1" applyAlignment="1">
      <alignment/>
    </xf>
    <xf numFmtId="0" fontId="3" fillId="2" borderId="15" xfId="0" applyFont="1" applyFill="1" applyBorder="1" applyAlignment="1">
      <alignment/>
    </xf>
    <xf numFmtId="3" fontId="3" fillId="2" borderId="15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13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3" fontId="7" fillId="2" borderId="1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3" fillId="2" borderId="16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6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3" fontId="8" fillId="2" borderId="4" xfId="0" applyNumberFormat="1" applyFont="1" applyFill="1" applyBorder="1" applyAlignment="1">
      <alignment horizontal="center" wrapText="1"/>
    </xf>
    <xf numFmtId="3" fontId="8" fillId="2" borderId="0" xfId="0" applyNumberFormat="1" applyFont="1" applyFill="1" applyBorder="1" applyAlignment="1">
      <alignment horizontal="center" wrapText="1"/>
    </xf>
    <xf numFmtId="3" fontId="8" fillId="2" borderId="5" xfId="0" applyNumberFormat="1" applyFont="1" applyFill="1" applyBorder="1" applyAlignment="1">
      <alignment horizontal="center" wrapText="1"/>
    </xf>
    <xf numFmtId="3" fontId="8" fillId="2" borderId="6" xfId="0" applyNumberFormat="1" applyFont="1" applyFill="1" applyBorder="1" applyAlignment="1">
      <alignment horizontal="center" wrapText="1"/>
    </xf>
    <xf numFmtId="3" fontId="8" fillId="2" borderId="7" xfId="0" applyNumberFormat="1" applyFont="1" applyFill="1" applyBorder="1" applyAlignment="1">
      <alignment horizontal="center" wrapText="1"/>
    </xf>
    <xf numFmtId="3" fontId="8" fillId="2" borderId="8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workbookViewId="0" topLeftCell="B1">
      <selection activeCell="H11" sqref="H11"/>
    </sheetView>
  </sheetViews>
  <sheetFormatPr defaultColWidth="9.00390625" defaultRowHeight="12.75" outlineLevelCol="1"/>
  <cols>
    <col min="1" max="1" width="9.125" style="1" hidden="1" customWidth="1" outlineLevel="1"/>
    <col min="2" max="2" width="20.375" style="1" bestFit="1" customWidth="1" collapsed="1"/>
    <col min="3" max="3" width="6.00390625" style="1" bestFit="1" customWidth="1"/>
    <col min="4" max="5" width="13.375" style="1" hidden="1" customWidth="1" outlineLevel="1"/>
    <col min="6" max="6" width="9.125" style="1" hidden="1" customWidth="1" outlineLevel="1"/>
    <col min="7" max="7" width="21.875" style="1" customWidth="1" collapsed="1"/>
    <col min="8" max="8" width="17.375" style="1" bestFit="1" customWidth="1"/>
    <col min="9" max="9" width="18.875" style="1" customWidth="1"/>
    <col min="10" max="16384" width="9.125" style="1" customWidth="1"/>
  </cols>
  <sheetData>
    <row r="1" ht="12.75"/>
    <row r="2" ht="12.75"/>
    <row r="3" spans="2:11" ht="12.75">
      <c r="B3" s="1" t="s">
        <v>133</v>
      </c>
      <c r="K3" s="100" t="s">
        <v>134</v>
      </c>
    </row>
    <row r="4" ht="12.75"/>
    <row r="5" ht="12.75"/>
    <row r="6" ht="12.75"/>
    <row r="7" ht="12.75">
      <c r="B7" s="1" t="s">
        <v>68</v>
      </c>
    </row>
    <row r="8" spans="1:9" s="30" customFormat="1" ht="12.75">
      <c r="A8" s="43" t="s">
        <v>14</v>
      </c>
      <c r="B8" s="43" t="s">
        <v>13</v>
      </c>
      <c r="C8" s="43" t="s">
        <v>36</v>
      </c>
      <c r="D8" s="27" t="s">
        <v>4</v>
      </c>
      <c r="E8" s="27" t="s">
        <v>1</v>
      </c>
      <c r="F8" s="28" t="s">
        <v>3</v>
      </c>
      <c r="G8" s="29" t="s">
        <v>19</v>
      </c>
      <c r="H8" s="29" t="s">
        <v>132</v>
      </c>
      <c r="I8" s="29" t="s">
        <v>16</v>
      </c>
    </row>
    <row r="9" spans="1:9" ht="12.75">
      <c r="A9" s="7" t="s">
        <v>10</v>
      </c>
      <c r="B9" s="7" t="s">
        <v>11</v>
      </c>
      <c r="C9" s="21">
        <v>1</v>
      </c>
      <c r="D9" s="22">
        <v>100000</v>
      </c>
      <c r="E9" s="22" t="s">
        <v>5</v>
      </c>
      <c r="F9" s="23">
        <v>4100</v>
      </c>
      <c r="G9" s="24">
        <f aca="true" t="shared" si="0" ref="G9:G25">C9*D9*F9</f>
        <v>410000000</v>
      </c>
      <c r="H9" s="24">
        <v>0</v>
      </c>
      <c r="I9" s="24">
        <f>G9-H9</f>
        <v>410000000</v>
      </c>
    </row>
    <row r="10" spans="1:9" ht="12.75">
      <c r="A10" s="8" t="s">
        <v>10</v>
      </c>
      <c r="B10" s="8" t="s">
        <v>44</v>
      </c>
      <c r="C10" s="11">
        <v>1</v>
      </c>
      <c r="D10" s="2">
        <v>1</v>
      </c>
      <c r="E10" s="2" t="s">
        <v>8</v>
      </c>
      <c r="F10" s="17">
        <v>18000000</v>
      </c>
      <c r="G10" s="25">
        <f t="shared" si="0"/>
        <v>18000000</v>
      </c>
      <c r="H10" s="25">
        <f>G10*0.2</f>
        <v>3600000</v>
      </c>
      <c r="I10" s="25">
        <f>G10-H10</f>
        <v>14400000</v>
      </c>
    </row>
    <row r="11" spans="1:9" ht="12.75">
      <c r="A11" s="8" t="s">
        <v>10</v>
      </c>
      <c r="B11" s="9" t="s">
        <v>45</v>
      </c>
      <c r="C11" s="11">
        <v>1</v>
      </c>
      <c r="D11" s="2">
        <v>1</v>
      </c>
      <c r="E11" s="2" t="s">
        <v>8</v>
      </c>
      <c r="F11" s="17">
        <v>3000000</v>
      </c>
      <c r="G11" s="25">
        <f t="shared" si="0"/>
        <v>3000000</v>
      </c>
      <c r="H11" s="25">
        <f aca="true" t="shared" si="1" ref="H11:H19">G11*0.2</f>
        <v>600000</v>
      </c>
      <c r="I11" s="25">
        <f>G11-H11</f>
        <v>2400000</v>
      </c>
    </row>
    <row r="12" spans="1:9" ht="12.75">
      <c r="A12" s="8" t="s">
        <v>10</v>
      </c>
      <c r="B12" s="8" t="s">
        <v>20</v>
      </c>
      <c r="C12" s="11">
        <v>34</v>
      </c>
      <c r="D12" s="2">
        <v>1210</v>
      </c>
      <c r="E12" s="2" t="s">
        <v>2</v>
      </c>
      <c r="F12" s="17">
        <v>4500</v>
      </c>
      <c r="G12" s="25">
        <f t="shared" si="0"/>
        <v>185130000</v>
      </c>
      <c r="H12" s="25">
        <f t="shared" si="1"/>
        <v>37026000</v>
      </c>
      <c r="I12" s="25">
        <f aca="true" t="shared" si="2" ref="I12:I25">G12-H12</f>
        <v>148104000</v>
      </c>
    </row>
    <row r="13" spans="1:9" ht="12.75">
      <c r="A13" s="8" t="s">
        <v>10</v>
      </c>
      <c r="B13" s="8" t="s">
        <v>21</v>
      </c>
      <c r="C13" s="11">
        <v>33</v>
      </c>
      <c r="D13" s="2">
        <v>1210</v>
      </c>
      <c r="E13" s="2" t="s">
        <v>2</v>
      </c>
      <c r="F13" s="17">
        <v>4500</v>
      </c>
      <c r="G13" s="25">
        <f t="shared" si="0"/>
        <v>179685000</v>
      </c>
      <c r="H13" s="25">
        <f t="shared" si="1"/>
        <v>35937000</v>
      </c>
      <c r="I13" s="25">
        <f t="shared" si="2"/>
        <v>143748000</v>
      </c>
    </row>
    <row r="14" spans="1:9" ht="12.75">
      <c r="A14" s="8" t="s">
        <v>10</v>
      </c>
      <c r="B14" s="8" t="s">
        <v>22</v>
      </c>
      <c r="C14" s="11">
        <v>6</v>
      </c>
      <c r="D14" s="2">
        <v>1510</v>
      </c>
      <c r="E14" s="2" t="s">
        <v>2</v>
      </c>
      <c r="F14" s="17">
        <v>4500</v>
      </c>
      <c r="G14" s="25">
        <f t="shared" si="0"/>
        <v>40770000</v>
      </c>
      <c r="H14" s="25">
        <f t="shared" si="1"/>
        <v>8154000</v>
      </c>
      <c r="I14" s="25">
        <f t="shared" si="2"/>
        <v>32616000</v>
      </c>
    </row>
    <row r="15" spans="1:9" ht="12.75">
      <c r="A15" s="8" t="s">
        <v>10</v>
      </c>
      <c r="B15" s="8" t="s">
        <v>23</v>
      </c>
      <c r="C15" s="11">
        <v>1</v>
      </c>
      <c r="D15" s="2">
        <v>1510</v>
      </c>
      <c r="E15" s="2" t="s">
        <v>2</v>
      </c>
      <c r="F15" s="17">
        <v>4500</v>
      </c>
      <c r="G15" s="25">
        <f t="shared" si="0"/>
        <v>6795000</v>
      </c>
      <c r="H15" s="25">
        <f t="shared" si="1"/>
        <v>1359000</v>
      </c>
      <c r="I15" s="25">
        <f t="shared" si="2"/>
        <v>5436000</v>
      </c>
    </row>
    <row r="16" spans="1:9" ht="12.75">
      <c r="A16" s="8" t="s">
        <v>10</v>
      </c>
      <c r="B16" s="8" t="s">
        <v>24</v>
      </c>
      <c r="C16" s="11">
        <v>1</v>
      </c>
      <c r="D16" s="2">
        <v>1800</v>
      </c>
      <c r="E16" s="2" t="s">
        <v>2</v>
      </c>
      <c r="F16" s="17">
        <v>4500</v>
      </c>
      <c r="G16" s="25">
        <f t="shared" si="0"/>
        <v>8100000</v>
      </c>
      <c r="H16" s="25">
        <f t="shared" si="1"/>
        <v>1620000</v>
      </c>
      <c r="I16" s="25">
        <f t="shared" si="2"/>
        <v>6480000</v>
      </c>
    </row>
    <row r="17" spans="1:9" ht="12.75">
      <c r="A17" s="8" t="s">
        <v>10</v>
      </c>
      <c r="B17" s="8" t="s">
        <v>18</v>
      </c>
      <c r="C17" s="11">
        <v>1</v>
      </c>
      <c r="D17" s="2">
        <v>21320</v>
      </c>
      <c r="E17" s="2" t="s">
        <v>5</v>
      </c>
      <c r="F17" s="17">
        <v>2300</v>
      </c>
      <c r="G17" s="25">
        <f>C17*D17*F17</f>
        <v>49036000</v>
      </c>
      <c r="H17" s="25">
        <f t="shared" si="1"/>
        <v>9807200</v>
      </c>
      <c r="I17" s="25">
        <f aca="true" t="shared" si="3" ref="I17:I23">G17-H17</f>
        <v>39228800</v>
      </c>
    </row>
    <row r="18" spans="1:9" ht="12.75">
      <c r="A18" s="8" t="s">
        <v>10</v>
      </c>
      <c r="B18" s="8" t="s">
        <v>6</v>
      </c>
      <c r="C18" s="11">
        <v>1</v>
      </c>
      <c r="D18" s="2">
        <v>1900</v>
      </c>
      <c r="E18" s="2" t="s">
        <v>7</v>
      </c>
      <c r="F18" s="17">
        <v>1600</v>
      </c>
      <c r="G18" s="25">
        <f>C18*D18*F18</f>
        <v>3040000</v>
      </c>
      <c r="H18" s="25">
        <f t="shared" si="1"/>
        <v>608000</v>
      </c>
      <c r="I18" s="25">
        <f t="shared" si="3"/>
        <v>2432000</v>
      </c>
    </row>
    <row r="19" spans="1:9" ht="12.75">
      <c r="A19" s="8" t="s">
        <v>10</v>
      </c>
      <c r="B19" s="8" t="s">
        <v>9</v>
      </c>
      <c r="C19" s="11">
        <v>1</v>
      </c>
      <c r="D19" s="2">
        <v>110000</v>
      </c>
      <c r="E19" s="2" t="s">
        <v>5</v>
      </c>
      <c r="F19" s="17">
        <v>200</v>
      </c>
      <c r="G19" s="25">
        <f>C19*D19*F19</f>
        <v>22000000</v>
      </c>
      <c r="H19" s="25">
        <f t="shared" si="1"/>
        <v>4400000</v>
      </c>
      <c r="I19" s="25">
        <f t="shared" si="3"/>
        <v>17600000</v>
      </c>
    </row>
    <row r="20" spans="1:9" ht="12.75">
      <c r="A20" s="9" t="s">
        <v>10</v>
      </c>
      <c r="B20" s="9" t="s">
        <v>12</v>
      </c>
      <c r="C20" s="12">
        <v>75</v>
      </c>
      <c r="E20" s="5" t="s">
        <v>8</v>
      </c>
      <c r="F20" s="15"/>
      <c r="G20" s="25">
        <v>47000000</v>
      </c>
      <c r="H20" s="25">
        <f>G20*(0.125*5)</f>
        <v>29375000</v>
      </c>
      <c r="I20" s="25">
        <f t="shared" si="3"/>
        <v>17625000</v>
      </c>
    </row>
    <row r="21" spans="1:9" ht="12.75">
      <c r="A21" s="8" t="s">
        <v>10</v>
      </c>
      <c r="B21" s="8" t="s">
        <v>0</v>
      </c>
      <c r="C21" s="11">
        <v>1</v>
      </c>
      <c r="D21" s="2">
        <v>12950</v>
      </c>
      <c r="E21" s="2" t="s">
        <v>2</v>
      </c>
      <c r="F21" s="17">
        <v>6000</v>
      </c>
      <c r="G21" s="25">
        <f>C21*D21*F21</f>
        <v>77700000</v>
      </c>
      <c r="H21" s="25">
        <v>0</v>
      </c>
      <c r="I21" s="25">
        <f t="shared" si="3"/>
        <v>77700000</v>
      </c>
    </row>
    <row r="22" spans="1:9" ht="12.75">
      <c r="A22" s="8" t="s">
        <v>10</v>
      </c>
      <c r="B22" s="8" t="s">
        <v>25</v>
      </c>
      <c r="C22" s="11">
        <v>1</v>
      </c>
      <c r="D22" s="2">
        <v>175</v>
      </c>
      <c r="E22" s="2" t="s">
        <v>2</v>
      </c>
      <c r="F22" s="17">
        <v>3500</v>
      </c>
      <c r="G22" s="25">
        <f>C22*D22*F22</f>
        <v>612500</v>
      </c>
      <c r="H22" s="25">
        <v>0</v>
      </c>
      <c r="I22" s="25">
        <f t="shared" si="3"/>
        <v>612500</v>
      </c>
    </row>
    <row r="23" spans="1:9" ht="12.75">
      <c r="A23" s="9" t="s">
        <v>10</v>
      </c>
      <c r="B23" s="9" t="s">
        <v>17</v>
      </c>
      <c r="C23" s="11">
        <v>1</v>
      </c>
      <c r="D23" s="2">
        <v>2530</v>
      </c>
      <c r="E23" s="2" t="s">
        <v>5</v>
      </c>
      <c r="F23" s="17">
        <v>2300</v>
      </c>
      <c r="G23" s="25">
        <f>C23*D23*F23</f>
        <v>5819000</v>
      </c>
      <c r="H23" s="25">
        <v>0</v>
      </c>
      <c r="I23" s="25">
        <f t="shared" si="3"/>
        <v>5819000</v>
      </c>
    </row>
    <row r="24" spans="1:9" ht="12.75">
      <c r="A24" s="8" t="s">
        <v>10</v>
      </c>
      <c r="B24" s="8" t="s">
        <v>26</v>
      </c>
      <c r="C24" s="11">
        <v>4</v>
      </c>
      <c r="D24" s="2">
        <v>755</v>
      </c>
      <c r="E24" s="2" t="s">
        <v>8</v>
      </c>
      <c r="F24" s="17">
        <v>2000</v>
      </c>
      <c r="G24" s="25">
        <f t="shared" si="0"/>
        <v>6040000</v>
      </c>
      <c r="H24" s="25">
        <v>0</v>
      </c>
      <c r="I24" s="25">
        <f t="shared" si="2"/>
        <v>6040000</v>
      </c>
    </row>
    <row r="25" spans="1:9" ht="12.75">
      <c r="A25" s="10" t="s">
        <v>10</v>
      </c>
      <c r="B25" s="10" t="s">
        <v>27</v>
      </c>
      <c r="C25" s="13">
        <v>2</v>
      </c>
      <c r="D25" s="19">
        <v>1160</v>
      </c>
      <c r="E25" s="19" t="s">
        <v>5</v>
      </c>
      <c r="F25" s="20">
        <v>2000</v>
      </c>
      <c r="G25" s="26">
        <f t="shared" si="0"/>
        <v>4640000</v>
      </c>
      <c r="H25" s="26">
        <v>0</v>
      </c>
      <c r="I25" s="26">
        <f t="shared" si="2"/>
        <v>4640000</v>
      </c>
    </row>
    <row r="26" spans="1:9" s="30" customFormat="1" ht="12.75">
      <c r="A26" s="31"/>
      <c r="B26" s="29" t="s">
        <v>49</v>
      </c>
      <c r="C26" s="56"/>
      <c r="D26" s="32"/>
      <c r="E26" s="32"/>
      <c r="F26" s="33"/>
      <c r="G26" s="34">
        <f>SUM(G9:G25)</f>
        <v>1067367500</v>
      </c>
      <c r="H26" s="34">
        <f>SUM(H9:H25)</f>
        <v>132486200</v>
      </c>
      <c r="I26" s="34">
        <f>SUM(I9:I25)</f>
        <v>934881300</v>
      </c>
    </row>
    <row r="27" spans="4:7" ht="12.75">
      <c r="D27" s="3"/>
      <c r="E27" s="2"/>
      <c r="F27" s="2"/>
      <c r="G27" s="3"/>
    </row>
    <row r="28" spans="4:7" ht="12.75">
      <c r="D28" s="3"/>
      <c r="E28" s="2"/>
      <c r="F28" s="2"/>
      <c r="G28" s="3"/>
    </row>
    <row r="29" spans="4:7" ht="12.75">
      <c r="D29" s="3"/>
      <c r="E29" s="2"/>
      <c r="F29" s="2"/>
      <c r="G29" s="3"/>
    </row>
    <row r="30" ht="12.75">
      <c r="G30" s="3"/>
    </row>
    <row r="31" ht="12.75">
      <c r="G31" s="3"/>
    </row>
    <row r="32" ht="12.75">
      <c r="G32" s="3"/>
    </row>
    <row r="33" ht="12.75">
      <c r="G33" s="4"/>
    </row>
    <row r="34" ht="12.75">
      <c r="G34" s="3"/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8" scale="120" r:id="rId3"/>
  <headerFooter alignWithMargins="0">
    <oddFooter>&amp;R&amp;P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Q34"/>
  <sheetViews>
    <sheetView workbookViewId="0" topLeftCell="J1">
      <selection activeCell="J27" sqref="J27"/>
    </sheetView>
  </sheetViews>
  <sheetFormatPr defaultColWidth="9.00390625" defaultRowHeight="12.75" outlineLevelRow="1" outlineLevelCol="1"/>
  <cols>
    <col min="1" max="1" width="9.125" style="1" hidden="1" customWidth="1" outlineLevel="1"/>
    <col min="2" max="2" width="20.375" style="1" bestFit="1" customWidth="1" collapsed="1"/>
    <col min="3" max="3" width="6.00390625" style="1" bestFit="1" customWidth="1"/>
    <col min="4" max="5" width="13.375" style="1" hidden="1" customWidth="1" outlineLevel="1"/>
    <col min="6" max="6" width="9.125" style="1" hidden="1" customWidth="1" outlineLevel="1"/>
    <col min="7" max="7" width="19.375" style="1" hidden="1" customWidth="1" outlineLevel="1"/>
    <col min="8" max="8" width="11.875" style="1" customWidth="1" collapsed="1"/>
    <col min="9" max="9" width="16.75390625" style="1" hidden="1" customWidth="1" outlineLevel="1"/>
    <col min="10" max="10" width="12.625" style="1" customWidth="1" collapsed="1"/>
    <col min="11" max="12" width="11.875" style="1" customWidth="1"/>
    <col min="13" max="13" width="13.125" style="1" customWidth="1"/>
    <col min="14" max="14" width="21.125" style="0" customWidth="1"/>
    <col min="15" max="15" width="11.375" style="1" customWidth="1"/>
    <col min="16" max="16" width="11.625" style="1" customWidth="1"/>
    <col min="17" max="17" width="21.25390625" style="0" customWidth="1"/>
    <col min="18" max="16384" width="9.125" style="1" customWidth="1"/>
  </cols>
  <sheetData>
    <row r="1" ht="12.75"/>
    <row r="2" ht="12.75"/>
    <row r="3" spans="2:17" ht="12.75">
      <c r="B3" s="1" t="s">
        <v>135</v>
      </c>
      <c r="Q3" s="113" t="s">
        <v>136</v>
      </c>
    </row>
    <row r="4" ht="12.75"/>
    <row r="5" ht="12.75"/>
    <row r="6" ht="12.75"/>
    <row r="7" ht="12.75"/>
    <row r="8" spans="1:17" s="6" customFormat="1" ht="33" customHeight="1">
      <c r="A8" s="41"/>
      <c r="B8" s="41"/>
      <c r="C8" s="41"/>
      <c r="D8" s="114"/>
      <c r="E8" s="115"/>
      <c r="F8" s="115"/>
      <c r="G8" s="119" t="s">
        <v>143</v>
      </c>
      <c r="H8" s="120"/>
      <c r="I8" s="120"/>
      <c r="J8" s="120"/>
      <c r="K8" s="121"/>
      <c r="L8" s="116" t="s">
        <v>46</v>
      </c>
      <c r="M8" s="117"/>
      <c r="N8" s="118"/>
      <c r="O8" s="116" t="s">
        <v>47</v>
      </c>
      <c r="P8" s="117"/>
      <c r="Q8" s="118"/>
    </row>
    <row r="9" spans="1:17" s="42" customFormat="1" ht="60" customHeight="1">
      <c r="A9" s="38" t="s">
        <v>14</v>
      </c>
      <c r="B9" s="38" t="s">
        <v>13</v>
      </c>
      <c r="C9" s="38" t="s">
        <v>36</v>
      </c>
      <c r="D9" s="39" t="s">
        <v>4</v>
      </c>
      <c r="E9" s="40" t="s">
        <v>1</v>
      </c>
      <c r="F9" s="40" t="s">
        <v>3</v>
      </c>
      <c r="G9" s="41" t="s">
        <v>19</v>
      </c>
      <c r="H9" s="41" t="s">
        <v>15</v>
      </c>
      <c r="I9" s="41" t="s">
        <v>16</v>
      </c>
      <c r="J9" s="41" t="s">
        <v>141</v>
      </c>
      <c r="K9" s="41" t="s">
        <v>142</v>
      </c>
      <c r="L9" s="41" t="s">
        <v>35</v>
      </c>
      <c r="M9" s="41" t="s">
        <v>51</v>
      </c>
      <c r="N9" s="41" t="s">
        <v>144</v>
      </c>
      <c r="O9" s="41" t="s">
        <v>34</v>
      </c>
      <c r="P9" s="41" t="s">
        <v>50</v>
      </c>
      <c r="Q9" s="41" t="s">
        <v>144</v>
      </c>
    </row>
    <row r="10" spans="1:17" ht="12.75" hidden="1" outlineLevel="1">
      <c r="A10" s="8" t="s">
        <v>10</v>
      </c>
      <c r="B10" s="8" t="s">
        <v>11</v>
      </c>
      <c r="C10" s="11">
        <v>1</v>
      </c>
      <c r="D10" s="16">
        <v>100000</v>
      </c>
      <c r="E10" s="2" t="s">
        <v>5</v>
      </c>
      <c r="F10" s="2">
        <v>4100</v>
      </c>
      <c r="G10" s="24">
        <f aca="true" t="shared" si="0" ref="G10:G20">C10*D10*F10</f>
        <v>410000000</v>
      </c>
      <c r="H10" s="37">
        <v>0</v>
      </c>
      <c r="I10" s="37">
        <f aca="true" t="shared" si="1" ref="I10:I26">G10-H10</f>
        <v>410000000</v>
      </c>
      <c r="J10" s="37"/>
      <c r="K10" s="37"/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</row>
    <row r="11" spans="1:17" ht="12.75" collapsed="1">
      <c r="A11" s="8" t="s">
        <v>10</v>
      </c>
      <c r="B11" s="8" t="s">
        <v>44</v>
      </c>
      <c r="C11" s="11">
        <v>1</v>
      </c>
      <c r="D11" s="16">
        <v>1</v>
      </c>
      <c r="E11" s="2" t="s">
        <v>8</v>
      </c>
      <c r="F11" s="2">
        <v>18000000</v>
      </c>
      <c r="G11" s="25">
        <f t="shared" si="0"/>
        <v>18000000</v>
      </c>
      <c r="H11" s="35">
        <f>'Rozpočet výstavby'!H10</f>
        <v>3600000</v>
      </c>
      <c r="I11" s="35">
        <f t="shared" si="1"/>
        <v>14400000</v>
      </c>
      <c r="J11" s="35"/>
      <c r="K11" s="35"/>
      <c r="L11" s="35">
        <v>0</v>
      </c>
      <c r="M11" s="35">
        <v>0</v>
      </c>
      <c r="N11" s="35"/>
      <c r="O11" s="35">
        <v>0</v>
      </c>
      <c r="P11" s="35">
        <v>0</v>
      </c>
      <c r="Q11" s="35"/>
    </row>
    <row r="12" spans="1:17" ht="12.75">
      <c r="A12" s="8" t="s">
        <v>10</v>
      </c>
      <c r="B12" s="9" t="s">
        <v>45</v>
      </c>
      <c r="C12" s="11">
        <v>1</v>
      </c>
      <c r="D12" s="16">
        <v>1</v>
      </c>
      <c r="E12" s="2" t="s">
        <v>8</v>
      </c>
      <c r="F12" s="2">
        <v>3000000</v>
      </c>
      <c r="G12" s="25">
        <f t="shared" si="0"/>
        <v>3000000</v>
      </c>
      <c r="H12" s="35">
        <f>'Rozpočet výstavby'!H11</f>
        <v>600000</v>
      </c>
      <c r="I12" s="35">
        <f t="shared" si="1"/>
        <v>2400000</v>
      </c>
      <c r="J12" s="35"/>
      <c r="K12" s="35"/>
      <c r="L12" s="35">
        <v>0</v>
      </c>
      <c r="M12" s="35">
        <v>0</v>
      </c>
      <c r="N12" s="35"/>
      <c r="O12" s="35">
        <v>0</v>
      </c>
      <c r="P12" s="35">
        <v>0</v>
      </c>
      <c r="Q12" s="35"/>
    </row>
    <row r="13" spans="1:17" ht="12.75">
      <c r="A13" s="8" t="s">
        <v>10</v>
      </c>
      <c r="B13" s="8" t="s">
        <v>20</v>
      </c>
      <c r="C13" s="11">
        <v>34</v>
      </c>
      <c r="D13" s="16">
        <v>1210</v>
      </c>
      <c r="E13" s="2" t="s">
        <v>2</v>
      </c>
      <c r="F13" s="2">
        <v>4500</v>
      </c>
      <c r="G13" s="25">
        <f t="shared" si="0"/>
        <v>185130000</v>
      </c>
      <c r="H13" s="35">
        <f>'Rozpočet výstavby'!H12</f>
        <v>37026000</v>
      </c>
      <c r="I13" s="35">
        <f t="shared" si="1"/>
        <v>148104000</v>
      </c>
      <c r="J13" s="35"/>
      <c r="K13" s="35"/>
      <c r="L13" s="35">
        <v>60000</v>
      </c>
      <c r="M13" s="35">
        <f>$C13*L13*60</f>
        <v>122400000</v>
      </c>
      <c r="N13" s="35"/>
      <c r="O13" s="35">
        <v>40000</v>
      </c>
      <c r="P13" s="35">
        <f>$C13*O13*60</f>
        <v>81600000</v>
      </c>
      <c r="Q13" s="35"/>
    </row>
    <row r="14" spans="1:17" ht="12.75">
      <c r="A14" s="8" t="s">
        <v>10</v>
      </c>
      <c r="B14" s="8" t="s">
        <v>21</v>
      </c>
      <c r="C14" s="11">
        <v>33</v>
      </c>
      <c r="D14" s="16">
        <v>1210</v>
      </c>
      <c r="E14" s="2" t="s">
        <v>2</v>
      </c>
      <c r="F14" s="2">
        <v>4500</v>
      </c>
      <c r="G14" s="25">
        <f t="shared" si="0"/>
        <v>179685000</v>
      </c>
      <c r="H14" s="35">
        <f>'Rozpočet výstavby'!H13</f>
        <v>35937000</v>
      </c>
      <c r="I14" s="35">
        <f t="shared" si="1"/>
        <v>143748000</v>
      </c>
      <c r="J14" s="35"/>
      <c r="K14" s="35"/>
      <c r="L14" s="35">
        <v>60000</v>
      </c>
      <c r="M14" s="35">
        <f>$C14*L14*60</f>
        <v>118800000</v>
      </c>
      <c r="N14" s="35"/>
      <c r="O14" s="35">
        <v>40000</v>
      </c>
      <c r="P14" s="35">
        <f>$C14*O14*60</f>
        <v>79200000</v>
      </c>
      <c r="Q14" s="35"/>
    </row>
    <row r="15" spans="1:17" ht="12.75">
      <c r="A15" s="8" t="s">
        <v>10</v>
      </c>
      <c r="B15" s="8" t="s">
        <v>22</v>
      </c>
      <c r="C15" s="11">
        <v>6</v>
      </c>
      <c r="D15" s="16">
        <v>1510</v>
      </c>
      <c r="E15" s="2" t="s">
        <v>2</v>
      </c>
      <c r="F15" s="2">
        <v>4500</v>
      </c>
      <c r="G15" s="25">
        <f t="shared" si="0"/>
        <v>40770000</v>
      </c>
      <c r="H15" s="35">
        <f>'Rozpočet výstavby'!H14</f>
        <v>8154000</v>
      </c>
      <c r="I15" s="35">
        <f t="shared" si="1"/>
        <v>32616000</v>
      </c>
      <c r="J15" s="35"/>
      <c r="K15" s="35"/>
      <c r="L15" s="35">
        <v>120000</v>
      </c>
      <c r="M15" s="35">
        <f>$C15*L15*60</f>
        <v>43200000</v>
      </c>
      <c r="N15" s="35"/>
      <c r="O15" s="35">
        <v>100000</v>
      </c>
      <c r="P15" s="35">
        <f>$C15*O15*60</f>
        <v>36000000</v>
      </c>
      <c r="Q15" s="35"/>
    </row>
    <row r="16" spans="1:17" ht="12.75">
      <c r="A16" s="8" t="s">
        <v>10</v>
      </c>
      <c r="B16" s="8" t="s">
        <v>95</v>
      </c>
      <c r="C16" s="11">
        <v>1</v>
      </c>
      <c r="D16" s="16">
        <v>1510</v>
      </c>
      <c r="E16" s="2" t="s">
        <v>2</v>
      </c>
      <c r="F16" s="2">
        <v>4500</v>
      </c>
      <c r="G16" s="25">
        <f t="shared" si="0"/>
        <v>6795000</v>
      </c>
      <c r="H16" s="35">
        <f>'Rozpočet výstavby'!H15</f>
        <v>1359000</v>
      </c>
      <c r="I16" s="35">
        <f t="shared" si="1"/>
        <v>5436000</v>
      </c>
      <c r="J16" s="35"/>
      <c r="K16" s="35"/>
      <c r="L16" s="35">
        <v>120000</v>
      </c>
      <c r="M16" s="35">
        <f>$C16*L16*60</f>
        <v>7200000</v>
      </c>
      <c r="N16" s="35"/>
      <c r="O16" s="35">
        <v>100000</v>
      </c>
      <c r="P16" s="35">
        <f>$C16*O16*60</f>
        <v>6000000</v>
      </c>
      <c r="Q16" s="35"/>
    </row>
    <row r="17" spans="1:17" ht="12.75">
      <c r="A17" s="8" t="s">
        <v>10</v>
      </c>
      <c r="B17" s="8" t="s">
        <v>96</v>
      </c>
      <c r="C17" s="11">
        <v>1</v>
      </c>
      <c r="D17" s="16">
        <v>1800</v>
      </c>
      <c r="E17" s="2" t="s">
        <v>2</v>
      </c>
      <c r="F17" s="2">
        <v>4500</v>
      </c>
      <c r="G17" s="25">
        <f t="shared" si="0"/>
        <v>8100000</v>
      </c>
      <c r="H17" s="35">
        <f>'Rozpočet výstavby'!H16</f>
        <v>1620000</v>
      </c>
      <c r="I17" s="35">
        <f t="shared" si="1"/>
        <v>6480000</v>
      </c>
      <c r="J17" s="35"/>
      <c r="K17" s="35"/>
      <c r="L17" s="35">
        <v>150000</v>
      </c>
      <c r="M17" s="35">
        <f>$C17*L17*60</f>
        <v>9000000</v>
      </c>
      <c r="N17" s="35"/>
      <c r="O17" s="35">
        <v>120000</v>
      </c>
      <c r="P17" s="35">
        <f>$C17*O17*60</f>
        <v>7200000</v>
      </c>
      <c r="Q17" s="35"/>
    </row>
    <row r="18" spans="1:17" ht="12.75">
      <c r="A18" s="8" t="s">
        <v>10</v>
      </c>
      <c r="B18" s="8" t="s">
        <v>18</v>
      </c>
      <c r="C18" s="11">
        <v>1</v>
      </c>
      <c r="D18" s="16">
        <v>21320</v>
      </c>
      <c r="E18" s="2" t="s">
        <v>5</v>
      </c>
      <c r="F18" s="2">
        <v>2300</v>
      </c>
      <c r="G18" s="25">
        <f t="shared" si="0"/>
        <v>49036000</v>
      </c>
      <c r="H18" s="35">
        <f>'Rozpočet výstavby'!H17</f>
        <v>9807200</v>
      </c>
      <c r="I18" s="35">
        <f t="shared" si="1"/>
        <v>39228800</v>
      </c>
      <c r="J18" s="35"/>
      <c r="K18" s="35"/>
      <c r="L18" s="35">
        <v>0</v>
      </c>
      <c r="M18" s="35">
        <v>0</v>
      </c>
      <c r="N18" s="35"/>
      <c r="O18" s="35">
        <v>0</v>
      </c>
      <c r="P18" s="35">
        <v>0</v>
      </c>
      <c r="Q18" s="35"/>
    </row>
    <row r="19" spans="1:17" ht="12.75">
      <c r="A19" s="8" t="s">
        <v>10</v>
      </c>
      <c r="B19" s="8" t="s">
        <v>6</v>
      </c>
      <c r="C19" s="11">
        <v>1</v>
      </c>
      <c r="D19" s="16">
        <v>1900</v>
      </c>
      <c r="E19" s="2" t="s">
        <v>7</v>
      </c>
      <c r="F19" s="2">
        <v>1600</v>
      </c>
      <c r="G19" s="25">
        <f t="shared" si="0"/>
        <v>3040000</v>
      </c>
      <c r="H19" s="35">
        <f>'Rozpočet výstavby'!H18</f>
        <v>608000</v>
      </c>
      <c r="I19" s="35">
        <f t="shared" si="1"/>
        <v>2432000</v>
      </c>
      <c r="J19" s="35"/>
      <c r="K19" s="35"/>
      <c r="L19" s="35">
        <v>0</v>
      </c>
      <c r="M19" s="35">
        <v>0</v>
      </c>
      <c r="N19" s="35"/>
      <c r="O19" s="35">
        <v>0</v>
      </c>
      <c r="P19" s="35">
        <v>0</v>
      </c>
      <c r="Q19" s="35"/>
    </row>
    <row r="20" spans="1:17" ht="12.75">
      <c r="A20" s="8" t="s">
        <v>10</v>
      </c>
      <c r="B20" s="8" t="s">
        <v>9</v>
      </c>
      <c r="C20" s="11">
        <v>1</v>
      </c>
      <c r="D20" s="16">
        <v>110000</v>
      </c>
      <c r="E20" s="2" t="s">
        <v>5</v>
      </c>
      <c r="F20" s="2">
        <v>200</v>
      </c>
      <c r="G20" s="25">
        <f t="shared" si="0"/>
        <v>22000000</v>
      </c>
      <c r="H20" s="35">
        <f>'Rozpočet výstavby'!H19</f>
        <v>4400000</v>
      </c>
      <c r="I20" s="35">
        <f t="shared" si="1"/>
        <v>17600000</v>
      </c>
      <c r="J20" s="35"/>
      <c r="K20" s="35"/>
      <c r="L20" s="35">
        <v>0</v>
      </c>
      <c r="M20" s="35">
        <v>0</v>
      </c>
      <c r="N20" s="35"/>
      <c r="O20" s="35">
        <v>0</v>
      </c>
      <c r="P20" s="35">
        <v>0</v>
      </c>
      <c r="Q20" s="35"/>
    </row>
    <row r="21" spans="1:17" ht="12.75">
      <c r="A21" s="9" t="s">
        <v>10</v>
      </c>
      <c r="B21" s="9" t="s">
        <v>12</v>
      </c>
      <c r="C21" s="12">
        <v>75</v>
      </c>
      <c r="D21" s="14"/>
      <c r="E21" s="5" t="s">
        <v>8</v>
      </c>
      <c r="G21" s="25">
        <v>47000000</v>
      </c>
      <c r="H21" s="35">
        <f>G21*(0.125*5)</f>
        <v>29375000</v>
      </c>
      <c r="I21" s="35">
        <f t="shared" si="1"/>
        <v>17625000</v>
      </c>
      <c r="J21" s="35"/>
      <c r="K21" s="35"/>
      <c r="L21" s="35">
        <v>0</v>
      </c>
      <c r="M21" s="35">
        <v>0</v>
      </c>
      <c r="N21" s="35"/>
      <c r="O21" s="35">
        <v>0</v>
      </c>
      <c r="P21" s="35">
        <v>0</v>
      </c>
      <c r="Q21" s="35"/>
    </row>
    <row r="22" spans="1:17" ht="12.75" hidden="1" outlineLevel="1">
      <c r="A22" s="8" t="s">
        <v>10</v>
      </c>
      <c r="B22" s="8" t="s">
        <v>0</v>
      </c>
      <c r="C22" s="11">
        <v>1</v>
      </c>
      <c r="D22" s="16">
        <v>12950</v>
      </c>
      <c r="E22" s="2" t="s">
        <v>2</v>
      </c>
      <c r="F22" s="2">
        <v>6000</v>
      </c>
      <c r="G22" s="25">
        <f>C22*D22*F22</f>
        <v>77700000</v>
      </c>
      <c r="H22" s="35">
        <v>0</v>
      </c>
      <c r="I22" s="35">
        <f t="shared" si="1"/>
        <v>77700000</v>
      </c>
      <c r="J22" s="35"/>
      <c r="K22" s="35"/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</row>
    <row r="23" spans="1:17" ht="12.75" hidden="1" outlineLevel="1">
      <c r="A23" s="8" t="s">
        <v>10</v>
      </c>
      <c r="B23" s="8" t="s">
        <v>25</v>
      </c>
      <c r="C23" s="11">
        <v>1</v>
      </c>
      <c r="D23" s="16">
        <v>175</v>
      </c>
      <c r="E23" s="2" t="s">
        <v>2</v>
      </c>
      <c r="F23" s="2">
        <v>3500</v>
      </c>
      <c r="G23" s="25">
        <f>C23*D23*F23</f>
        <v>612500</v>
      </c>
      <c r="H23" s="35">
        <v>0</v>
      </c>
      <c r="I23" s="35">
        <f t="shared" si="1"/>
        <v>612500</v>
      </c>
      <c r="J23" s="35"/>
      <c r="K23" s="35"/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</row>
    <row r="24" spans="1:17" ht="12.75" hidden="1" outlineLevel="1">
      <c r="A24" s="9" t="s">
        <v>10</v>
      </c>
      <c r="B24" s="9" t="s">
        <v>17</v>
      </c>
      <c r="C24" s="11">
        <v>1</v>
      </c>
      <c r="D24" s="16">
        <v>2530</v>
      </c>
      <c r="E24" s="2" t="s">
        <v>5</v>
      </c>
      <c r="F24" s="2">
        <v>2300</v>
      </c>
      <c r="G24" s="25">
        <f>C24*D24*F24</f>
        <v>5819000</v>
      </c>
      <c r="H24" s="35">
        <v>0</v>
      </c>
      <c r="I24" s="35">
        <f t="shared" si="1"/>
        <v>5819000</v>
      </c>
      <c r="J24" s="35"/>
      <c r="K24" s="35"/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</row>
    <row r="25" spans="1:17" ht="12.75" hidden="1" outlineLevel="1">
      <c r="A25" s="8" t="s">
        <v>10</v>
      </c>
      <c r="B25" s="8" t="s">
        <v>26</v>
      </c>
      <c r="C25" s="11">
        <v>4</v>
      </c>
      <c r="D25" s="16">
        <v>755</v>
      </c>
      <c r="E25" s="2" t="s">
        <v>8</v>
      </c>
      <c r="F25" s="2">
        <v>2000</v>
      </c>
      <c r="G25" s="25">
        <f>C25*D25*F25</f>
        <v>6040000</v>
      </c>
      <c r="H25" s="35">
        <v>0</v>
      </c>
      <c r="I25" s="35">
        <f t="shared" si="1"/>
        <v>6040000</v>
      </c>
      <c r="J25" s="35"/>
      <c r="K25" s="35"/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</row>
    <row r="26" spans="1:17" ht="12.75" hidden="1" outlineLevel="1">
      <c r="A26" s="10" t="s">
        <v>10</v>
      </c>
      <c r="B26" s="10" t="s">
        <v>27</v>
      </c>
      <c r="C26" s="13">
        <v>2</v>
      </c>
      <c r="D26" s="18">
        <v>1160</v>
      </c>
      <c r="E26" s="19" t="s">
        <v>5</v>
      </c>
      <c r="F26" s="19">
        <v>2000</v>
      </c>
      <c r="G26" s="26">
        <f>C26*D26*F26</f>
        <v>4640000</v>
      </c>
      <c r="H26" s="36">
        <v>0</v>
      </c>
      <c r="I26" s="36">
        <f t="shared" si="1"/>
        <v>4640000</v>
      </c>
      <c r="J26" s="36"/>
      <c r="K26" s="36"/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</row>
    <row r="27" spans="1:17" s="30" customFormat="1" ht="12.75" collapsed="1">
      <c r="A27" s="44"/>
      <c r="B27" s="29" t="s">
        <v>49</v>
      </c>
      <c r="C27" s="45"/>
      <c r="D27" s="45"/>
      <c r="E27" s="45"/>
      <c r="F27" s="46"/>
      <c r="G27" s="34">
        <f aca="true" t="shared" si="2" ref="G27:P27">SUM(G10:G26)</f>
        <v>1067367500</v>
      </c>
      <c r="H27" s="47">
        <f t="shared" si="2"/>
        <v>132486200</v>
      </c>
      <c r="I27" s="48">
        <f t="shared" si="2"/>
        <v>934881300</v>
      </c>
      <c r="J27" s="48">
        <f>'Plán rozpočtu podľa položiek'!X23*1000</f>
        <v>98632694.59974678</v>
      </c>
      <c r="K27" s="48">
        <f>H27+J27</f>
        <v>231118894.59974676</v>
      </c>
      <c r="L27" s="48">
        <f t="shared" si="2"/>
        <v>510000</v>
      </c>
      <c r="M27" s="48">
        <f t="shared" si="2"/>
        <v>300600000</v>
      </c>
      <c r="N27" s="49">
        <f>K27-M27</f>
        <v>-69481105.40025324</v>
      </c>
      <c r="O27" s="48">
        <f t="shared" si="2"/>
        <v>400000</v>
      </c>
      <c r="P27" s="48">
        <f t="shared" si="2"/>
        <v>210000000</v>
      </c>
      <c r="Q27" s="48">
        <f>K27-P27</f>
        <v>21118894.599746764</v>
      </c>
    </row>
    <row r="28" spans="4:17" ht="12.75">
      <c r="D28" s="3"/>
      <c r="E28" s="2"/>
      <c r="F28" s="2"/>
      <c r="G28" s="3"/>
      <c r="N28" s="1"/>
      <c r="Q28" s="1"/>
    </row>
    <row r="29" spans="4:17" ht="12.75">
      <c r="D29" s="3"/>
      <c r="E29" s="2"/>
      <c r="F29" s="2"/>
      <c r="G29" s="3"/>
      <c r="N29" s="1"/>
      <c r="Q29" s="1"/>
    </row>
    <row r="30" spans="7:17" ht="12.75">
      <c r="G30" s="3"/>
      <c r="N30" s="1"/>
      <c r="Q30" s="1"/>
    </row>
    <row r="31" spans="7:17" ht="12.75">
      <c r="G31" s="3"/>
      <c r="N31" s="1"/>
      <c r="Q31" s="1"/>
    </row>
    <row r="32" spans="7:17" ht="12.75">
      <c r="G32" s="3"/>
      <c r="N32" s="1"/>
      <c r="Q32" s="1"/>
    </row>
    <row r="33" spans="7:17" ht="12.75">
      <c r="G33" s="4"/>
      <c r="N33" s="1"/>
      <c r="Q33" s="1"/>
    </row>
    <row r="34" spans="7:17" ht="12.75">
      <c r="G34" s="3"/>
      <c r="N34" s="1"/>
      <c r="Q34" s="1"/>
    </row>
  </sheetData>
  <mergeCells count="3">
    <mergeCell ref="L8:N8"/>
    <mergeCell ref="O8:Q8"/>
    <mergeCell ref="G8:K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8" scale="80" r:id="rId3"/>
  <headerFooter alignWithMargins="0">
    <oddFooter>&amp;R&amp;P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38"/>
  <sheetViews>
    <sheetView workbookViewId="0" topLeftCell="M1">
      <selection activeCell="Q8" sqref="Q8:S8"/>
    </sheetView>
  </sheetViews>
  <sheetFormatPr defaultColWidth="9.00390625" defaultRowHeight="12.75" outlineLevelRow="1" outlineLevelCol="1"/>
  <cols>
    <col min="1" max="1" width="28.75390625" style="0" customWidth="1"/>
    <col min="2" max="2" width="7.625" style="0" hidden="1" customWidth="1" outlineLevel="1"/>
    <col min="3" max="3" width="12.125" style="0" hidden="1" customWidth="1" outlineLevel="1"/>
    <col min="4" max="4" width="8.375" style="0" hidden="1" customWidth="1" outlineLevel="1"/>
    <col min="5" max="5" width="10.75390625" style="0" customWidth="1" collapsed="1"/>
    <col min="6" max="6" width="7.00390625" style="0" bestFit="1" customWidth="1"/>
    <col min="7" max="7" width="9.875" style="0" customWidth="1"/>
    <col min="8" max="8" width="6.625" style="0" bestFit="1" customWidth="1"/>
    <col min="10" max="10" width="8.375" style="0" bestFit="1" customWidth="1"/>
    <col min="11" max="11" width="9.625" style="0" customWidth="1"/>
    <col min="12" max="12" width="7.00390625" style="0" bestFit="1" customWidth="1"/>
    <col min="13" max="13" width="8.375" style="0" bestFit="1" customWidth="1"/>
    <col min="14" max="14" width="5.625" style="0" bestFit="1" customWidth="1"/>
    <col min="15" max="15" width="7.00390625" style="0" bestFit="1" customWidth="1"/>
    <col min="17" max="17" width="5.625" style="0" bestFit="1" customWidth="1"/>
    <col min="18" max="18" width="7.00390625" style="0" bestFit="1" customWidth="1"/>
    <col min="19" max="19" width="8.375" style="0" bestFit="1" customWidth="1"/>
    <col min="20" max="20" width="8.125" style="0" bestFit="1" customWidth="1"/>
    <col min="21" max="21" width="7.00390625" style="0" bestFit="1" customWidth="1"/>
    <col min="22" max="22" width="8.375" style="0" bestFit="1" customWidth="1"/>
    <col min="23" max="23" width="10.875" style="0" bestFit="1" customWidth="1"/>
  </cols>
  <sheetData>
    <row r="3" spans="1:25" ht="12.75">
      <c r="A3" t="s">
        <v>137</v>
      </c>
      <c r="Y3" s="113" t="s">
        <v>138</v>
      </c>
    </row>
    <row r="8" spans="1:25" s="69" customFormat="1" ht="39.75" customHeight="1">
      <c r="A8" s="68" t="s">
        <v>89</v>
      </c>
      <c r="B8" s="122" t="s">
        <v>125</v>
      </c>
      <c r="C8" s="123"/>
      <c r="D8" s="124"/>
      <c r="E8" s="122" t="s">
        <v>126</v>
      </c>
      <c r="F8" s="123"/>
      <c r="G8" s="124"/>
      <c r="H8" s="122" t="s">
        <v>127</v>
      </c>
      <c r="I8" s="123"/>
      <c r="J8" s="124"/>
      <c r="K8" s="122" t="s">
        <v>128</v>
      </c>
      <c r="L8" s="123"/>
      <c r="M8" s="124"/>
      <c r="N8" s="122" t="s">
        <v>129</v>
      </c>
      <c r="O8" s="123"/>
      <c r="P8" s="124"/>
      <c r="Q8" s="122" t="s">
        <v>130</v>
      </c>
      <c r="R8" s="123"/>
      <c r="S8" s="124"/>
      <c r="T8" s="125" t="s">
        <v>131</v>
      </c>
      <c r="U8" s="126"/>
      <c r="V8" s="127"/>
      <c r="W8" s="122" t="s">
        <v>60</v>
      </c>
      <c r="X8" s="123"/>
      <c r="Y8" s="124"/>
    </row>
    <row r="9" spans="1:25" s="72" customFormat="1" ht="12.75">
      <c r="A9" s="70" t="s">
        <v>61</v>
      </c>
      <c r="B9" s="71" t="s">
        <v>70</v>
      </c>
      <c r="C9" s="71" t="s">
        <v>62</v>
      </c>
      <c r="D9" s="71" t="s">
        <v>28</v>
      </c>
      <c r="E9" s="71" t="s">
        <v>70</v>
      </c>
      <c r="F9" s="71" t="s">
        <v>62</v>
      </c>
      <c r="G9" s="71" t="s">
        <v>28</v>
      </c>
      <c r="H9" s="71" t="s">
        <v>70</v>
      </c>
      <c r="I9" s="71" t="s">
        <v>62</v>
      </c>
      <c r="J9" s="71" t="s">
        <v>28</v>
      </c>
      <c r="K9" s="71" t="s">
        <v>70</v>
      </c>
      <c r="L9" s="71" t="s">
        <v>62</v>
      </c>
      <c r="M9" s="71" t="s">
        <v>28</v>
      </c>
      <c r="N9" s="71" t="s">
        <v>70</v>
      </c>
      <c r="O9" s="71" t="s">
        <v>62</v>
      </c>
      <c r="P9" s="71" t="s">
        <v>28</v>
      </c>
      <c r="Q9" s="71" t="s">
        <v>70</v>
      </c>
      <c r="R9" s="71" t="s">
        <v>62</v>
      </c>
      <c r="S9" s="71" t="s">
        <v>28</v>
      </c>
      <c r="T9" s="71" t="s">
        <v>70</v>
      </c>
      <c r="U9" s="71" t="s">
        <v>62</v>
      </c>
      <c r="V9" s="71" t="s">
        <v>28</v>
      </c>
      <c r="W9" s="71" t="s">
        <v>70</v>
      </c>
      <c r="X9" s="71" t="s">
        <v>62</v>
      </c>
      <c r="Y9" s="71" t="s">
        <v>28</v>
      </c>
    </row>
    <row r="10" spans="1:25" s="62" customFormat="1" ht="11.25" outlineLevel="1">
      <c r="A10" s="60" t="s">
        <v>54</v>
      </c>
      <c r="B10" s="61"/>
      <c r="C10" s="61"/>
      <c r="D10" s="61">
        <f>B10+C10</f>
        <v>0</v>
      </c>
      <c r="E10" s="61">
        <f>'Rozpočet výstavby'!G9/1000</f>
        <v>410000</v>
      </c>
      <c r="F10" s="61"/>
      <c r="G10" s="61">
        <f>E10+F10</f>
        <v>410000</v>
      </c>
      <c r="H10" s="61"/>
      <c r="I10" s="61"/>
      <c r="J10" s="61">
        <f>H10+I10</f>
        <v>0</v>
      </c>
      <c r="K10" s="61"/>
      <c r="L10" s="61"/>
      <c r="M10" s="61">
        <f>K10+L10</f>
        <v>0</v>
      </c>
      <c r="N10" s="61"/>
      <c r="O10" s="61"/>
      <c r="P10" s="61">
        <f>N10+O10</f>
        <v>0</v>
      </c>
      <c r="Q10" s="61"/>
      <c r="R10" s="61"/>
      <c r="S10" s="61">
        <f>Q10+R10</f>
        <v>0</v>
      </c>
      <c r="T10" s="61"/>
      <c r="U10" s="61"/>
      <c r="V10" s="61">
        <f>T10+U10</f>
        <v>0</v>
      </c>
      <c r="W10" s="61">
        <f>Q10+N10+K10+H10+E10+B10+T10</f>
        <v>410000</v>
      </c>
      <c r="X10" s="61">
        <f>R10+O10+L10+I10+F10+C10+U10</f>
        <v>0</v>
      </c>
      <c r="Y10" s="61">
        <f>W10+X10</f>
        <v>410000</v>
      </c>
    </row>
    <row r="11" spans="1:25" s="62" customFormat="1" ht="11.25" outlineLevel="1">
      <c r="A11" s="60" t="s">
        <v>55</v>
      </c>
      <c r="B11" s="63"/>
      <c r="C11" s="63"/>
      <c r="D11" s="63">
        <f aca="true" t="shared" si="0" ref="D11:D20">B11+C11</f>
        <v>0</v>
      </c>
      <c r="E11" s="63">
        <f>SUM('Rozpočet výstavby'!G12:G25)/1000+('Rozpočet výstavby'!G10/1000)+('Rozpočet výstavby'!G11/1000)</f>
        <v>657367.5</v>
      </c>
      <c r="F11" s="63"/>
      <c r="G11" s="63">
        <f aca="true" t="shared" si="1" ref="G11:G20">E11+F11</f>
        <v>657367.5</v>
      </c>
      <c r="H11" s="63"/>
      <c r="I11" s="63"/>
      <c r="J11" s="63">
        <f aca="true" t="shared" si="2" ref="J11:J20">H11+I11</f>
        <v>0</v>
      </c>
      <c r="K11" s="63"/>
      <c r="L11" s="63"/>
      <c r="M11" s="63">
        <f aca="true" t="shared" si="3" ref="M11:M20">K11+L11</f>
        <v>0</v>
      </c>
      <c r="N11" s="63"/>
      <c r="O11" s="63"/>
      <c r="P11" s="63">
        <f aca="true" t="shared" si="4" ref="P11:P20">N11+O11</f>
        <v>0</v>
      </c>
      <c r="Q11" s="63"/>
      <c r="R11" s="63"/>
      <c r="S11" s="63">
        <f aca="true" t="shared" si="5" ref="S11:S20">Q11+R11</f>
        <v>0</v>
      </c>
      <c r="T11" s="63"/>
      <c r="U11" s="63"/>
      <c r="V11" s="63">
        <f aca="true" t="shared" si="6" ref="V11:V20">T11+U11</f>
        <v>0</v>
      </c>
      <c r="W11" s="63">
        <f aca="true" t="shared" si="7" ref="W11:W20">Q11+N11+K11+H11+E11+B11+T11</f>
        <v>657367.5</v>
      </c>
      <c r="X11" s="63">
        <f aca="true" t="shared" si="8" ref="X11:X20">R11+O11+L11+I11+F11+C11+U11</f>
        <v>0</v>
      </c>
      <c r="Y11" s="63">
        <f aca="true" t="shared" si="9" ref="Y11:Y20">W11+X11</f>
        <v>657367.5</v>
      </c>
    </row>
    <row r="12" spans="1:25" s="62" customFormat="1" ht="11.25" outlineLevel="1">
      <c r="A12" s="60" t="s">
        <v>63</v>
      </c>
      <c r="B12" s="63"/>
      <c r="C12" s="63"/>
      <c r="D12" s="63">
        <f t="shared" si="0"/>
        <v>0</v>
      </c>
      <c r="E12" s="63"/>
      <c r="F12" s="63">
        <f>'Daň z nehnuteľnosti'!I13/1000</f>
        <v>900</v>
      </c>
      <c r="G12" s="63">
        <f t="shared" si="1"/>
        <v>900</v>
      </c>
      <c r="H12" s="63"/>
      <c r="I12" s="63">
        <f>'Daň z nehnuteľnosti'!J13/1000</f>
        <v>909.9673424999999</v>
      </c>
      <c r="J12" s="63">
        <f t="shared" si="2"/>
        <v>909.9673424999999</v>
      </c>
      <c r="K12" s="63"/>
      <c r="L12" s="63">
        <f>'Daň z nehnuteľnosti'!K13/1000</f>
        <v>1046.462443875</v>
      </c>
      <c r="M12" s="63">
        <f t="shared" si="3"/>
        <v>1046.462443875</v>
      </c>
      <c r="N12" s="63"/>
      <c r="O12" s="63">
        <f>'Daň z nehnuteľnosti'!L13/1000</f>
        <v>1203.4318104562497</v>
      </c>
      <c r="P12" s="63">
        <f t="shared" si="4"/>
        <v>1203.4318104562497</v>
      </c>
      <c r="Q12" s="63"/>
      <c r="R12" s="63">
        <f>'Daň z nehnuteľnosti'!M13/1000</f>
        <v>1383.946582024687</v>
      </c>
      <c r="S12" s="63">
        <f t="shared" si="5"/>
        <v>1383.946582024687</v>
      </c>
      <c r="T12" s="63"/>
      <c r="U12" s="63">
        <f>'Daň z nehnuteľnosti'!N13/1000</f>
        <v>1591.53856932839</v>
      </c>
      <c r="V12" s="63">
        <f t="shared" si="6"/>
        <v>1591.53856932839</v>
      </c>
      <c r="W12" s="63">
        <f t="shared" si="7"/>
        <v>0</v>
      </c>
      <c r="X12" s="63">
        <f t="shared" si="8"/>
        <v>7035.346748184326</v>
      </c>
      <c r="Y12" s="63">
        <f t="shared" si="9"/>
        <v>7035.346748184326</v>
      </c>
    </row>
    <row r="13" spans="1:25" s="62" customFormat="1" ht="11.25" outlineLevel="1">
      <c r="A13" s="60" t="s">
        <v>97</v>
      </c>
      <c r="B13" s="63"/>
      <c r="C13" s="63"/>
      <c r="D13" s="63">
        <f t="shared" si="0"/>
        <v>0</v>
      </c>
      <c r="E13" s="63"/>
      <c r="F13" s="63">
        <f>('Návrh spolufinancovania'!D15/12*2/1000)</f>
        <v>1800</v>
      </c>
      <c r="G13" s="63">
        <f t="shared" si="1"/>
        <v>1800</v>
      </c>
      <c r="H13" s="63"/>
      <c r="I13" s="63">
        <f>'Návrh spolufinancovania'!E15/1000</f>
        <v>12420</v>
      </c>
      <c r="J13" s="63">
        <f t="shared" si="2"/>
        <v>12420</v>
      </c>
      <c r="K13" s="63"/>
      <c r="L13" s="63">
        <f>'Návrh spolufinancovania'!F15/1000</f>
        <v>14282.999999999998</v>
      </c>
      <c r="M13" s="63">
        <f t="shared" si="3"/>
        <v>14282.999999999998</v>
      </c>
      <c r="N13" s="63"/>
      <c r="O13" s="63">
        <f>'Návrh spolufinancovania'!G15/1000</f>
        <v>16425.449999999997</v>
      </c>
      <c r="P13" s="63">
        <f t="shared" si="4"/>
        <v>16425.449999999997</v>
      </c>
      <c r="Q13" s="63"/>
      <c r="R13" s="63">
        <f>'Návrh spolufinancovania'!H15/1000</f>
        <v>18889.26749999999</v>
      </c>
      <c r="S13" s="63">
        <f t="shared" si="5"/>
        <v>18889.26749999999</v>
      </c>
      <c r="T13" s="63"/>
      <c r="U13" s="63">
        <f>(R13*1.15/12*10)-52</f>
        <v>18050.21468749999</v>
      </c>
      <c r="V13" s="63">
        <f t="shared" si="6"/>
        <v>18050.21468749999</v>
      </c>
      <c r="W13" s="63">
        <f t="shared" si="7"/>
        <v>0</v>
      </c>
      <c r="X13" s="63">
        <f t="shared" si="8"/>
        <v>81867.93218749997</v>
      </c>
      <c r="Y13" s="63">
        <f t="shared" si="9"/>
        <v>81867.93218749997</v>
      </c>
    </row>
    <row r="14" spans="1:25" s="62" customFormat="1" ht="11.25" outlineLevel="1">
      <c r="A14" s="60" t="s">
        <v>64</v>
      </c>
      <c r="B14" s="63"/>
      <c r="C14" s="63"/>
      <c r="D14" s="63">
        <f t="shared" si="0"/>
        <v>0</v>
      </c>
      <c r="E14" s="63"/>
      <c r="F14" s="63">
        <v>70</v>
      </c>
      <c r="G14" s="63">
        <f t="shared" si="1"/>
        <v>70</v>
      </c>
      <c r="H14" s="63"/>
      <c r="I14" s="63"/>
      <c r="J14" s="63">
        <f t="shared" si="2"/>
        <v>0</v>
      </c>
      <c r="K14" s="63"/>
      <c r="L14" s="63"/>
      <c r="M14" s="63">
        <f t="shared" si="3"/>
        <v>0</v>
      </c>
      <c r="N14" s="63"/>
      <c r="O14" s="63"/>
      <c r="P14" s="63">
        <f t="shared" si="4"/>
        <v>0</v>
      </c>
      <c r="Q14" s="63"/>
      <c r="R14" s="63"/>
      <c r="S14" s="63">
        <f t="shared" si="5"/>
        <v>0</v>
      </c>
      <c r="T14" s="63"/>
      <c r="U14" s="63"/>
      <c r="V14" s="63">
        <f t="shared" si="6"/>
        <v>0</v>
      </c>
      <c r="W14" s="63">
        <f t="shared" si="7"/>
        <v>0</v>
      </c>
      <c r="X14" s="63">
        <f t="shared" si="8"/>
        <v>70</v>
      </c>
      <c r="Y14" s="63">
        <f t="shared" si="9"/>
        <v>70</v>
      </c>
    </row>
    <row r="15" spans="1:25" s="62" customFormat="1" ht="11.25" outlineLevel="1">
      <c r="A15" s="60" t="s">
        <v>56</v>
      </c>
      <c r="B15" s="63"/>
      <c r="C15" s="63"/>
      <c r="D15" s="63">
        <f t="shared" si="0"/>
        <v>0</v>
      </c>
      <c r="E15" s="63"/>
      <c r="F15" s="63">
        <v>440</v>
      </c>
      <c r="G15" s="63">
        <f t="shared" si="1"/>
        <v>440</v>
      </c>
      <c r="H15" s="63"/>
      <c r="I15" s="63">
        <v>462</v>
      </c>
      <c r="J15" s="63">
        <f t="shared" si="2"/>
        <v>462</v>
      </c>
      <c r="K15" s="63"/>
      <c r="L15" s="63">
        <f>I15*1.05</f>
        <v>485.1</v>
      </c>
      <c r="M15" s="63">
        <f t="shared" si="3"/>
        <v>485.1</v>
      </c>
      <c r="N15" s="63"/>
      <c r="O15" s="63">
        <f>L15*1.05</f>
        <v>509.355</v>
      </c>
      <c r="P15" s="63">
        <f t="shared" si="4"/>
        <v>509.355</v>
      </c>
      <c r="Q15" s="63"/>
      <c r="R15" s="63">
        <f>O15*1.05</f>
        <v>534.82275</v>
      </c>
      <c r="S15" s="63">
        <f t="shared" si="5"/>
        <v>534.82275</v>
      </c>
      <c r="T15" s="63"/>
      <c r="U15" s="63">
        <f>R15*1.05/12*10</f>
        <v>467.96990625000007</v>
      </c>
      <c r="V15" s="63">
        <f t="shared" si="6"/>
        <v>467.96990625000007</v>
      </c>
      <c r="W15" s="63">
        <f t="shared" si="7"/>
        <v>0</v>
      </c>
      <c r="X15" s="63">
        <f t="shared" si="8"/>
        <v>2899.24765625</v>
      </c>
      <c r="Y15" s="63">
        <f t="shared" si="9"/>
        <v>2899.24765625</v>
      </c>
    </row>
    <row r="16" spans="1:25" s="62" customFormat="1" ht="11.25" outlineLevel="1">
      <c r="A16" s="60" t="s">
        <v>65</v>
      </c>
      <c r="B16" s="63"/>
      <c r="C16" s="63"/>
      <c r="D16" s="63">
        <f t="shared" si="0"/>
        <v>0</v>
      </c>
      <c r="E16" s="63"/>
      <c r="F16" s="63">
        <v>10</v>
      </c>
      <c r="G16" s="63">
        <f t="shared" si="1"/>
        <v>10</v>
      </c>
      <c r="H16" s="63"/>
      <c r="I16" s="63">
        <v>10</v>
      </c>
      <c r="J16" s="63">
        <f t="shared" si="2"/>
        <v>10</v>
      </c>
      <c r="K16" s="63"/>
      <c r="L16" s="63">
        <v>10</v>
      </c>
      <c r="M16" s="63">
        <f t="shared" si="3"/>
        <v>10</v>
      </c>
      <c r="N16" s="63"/>
      <c r="O16" s="63">
        <v>10</v>
      </c>
      <c r="P16" s="63">
        <f t="shared" si="4"/>
        <v>10</v>
      </c>
      <c r="Q16" s="63"/>
      <c r="R16" s="63">
        <v>10</v>
      </c>
      <c r="S16" s="63">
        <f t="shared" si="5"/>
        <v>10</v>
      </c>
      <c r="T16" s="63"/>
      <c r="U16" s="63">
        <v>10</v>
      </c>
      <c r="V16" s="63">
        <f t="shared" si="6"/>
        <v>10</v>
      </c>
      <c r="W16" s="63">
        <f t="shared" si="7"/>
        <v>0</v>
      </c>
      <c r="X16" s="63">
        <f t="shared" si="8"/>
        <v>60</v>
      </c>
      <c r="Y16" s="63">
        <f t="shared" si="9"/>
        <v>60</v>
      </c>
    </row>
    <row r="17" spans="1:25" s="62" customFormat="1" ht="11.25" outlineLevel="1">
      <c r="A17" s="60" t="s">
        <v>57</v>
      </c>
      <c r="B17" s="63"/>
      <c r="C17" s="63"/>
      <c r="D17" s="63">
        <f t="shared" si="0"/>
        <v>0</v>
      </c>
      <c r="E17" s="63"/>
      <c r="F17" s="63">
        <f>SUM('Rozpočet výstavby'!G10:G25)/1000*0.001</f>
        <v>657.3675000000001</v>
      </c>
      <c r="G17" s="63">
        <f t="shared" si="1"/>
        <v>657.3675000000001</v>
      </c>
      <c r="H17" s="63"/>
      <c r="I17" s="63">
        <f>$F$17</f>
        <v>657.3675000000001</v>
      </c>
      <c r="J17" s="63">
        <f t="shared" si="2"/>
        <v>657.3675000000001</v>
      </c>
      <c r="K17" s="63"/>
      <c r="L17" s="63">
        <f>$F$17</f>
        <v>657.3675000000001</v>
      </c>
      <c r="M17" s="63">
        <f t="shared" si="3"/>
        <v>657.3675000000001</v>
      </c>
      <c r="N17" s="63"/>
      <c r="O17" s="63">
        <f>$F$17</f>
        <v>657.3675000000001</v>
      </c>
      <c r="P17" s="63">
        <f t="shared" si="4"/>
        <v>657.3675000000001</v>
      </c>
      <c r="Q17" s="63"/>
      <c r="R17" s="63">
        <f>$F$17</f>
        <v>657.3675000000001</v>
      </c>
      <c r="S17" s="63">
        <f t="shared" si="5"/>
        <v>657.3675000000001</v>
      </c>
      <c r="T17" s="63"/>
      <c r="U17" s="63"/>
      <c r="V17" s="63">
        <f t="shared" si="6"/>
        <v>0</v>
      </c>
      <c r="W17" s="63">
        <f t="shared" si="7"/>
        <v>0</v>
      </c>
      <c r="X17" s="63">
        <f t="shared" si="8"/>
        <v>3286.8375000000005</v>
      </c>
      <c r="Y17" s="63">
        <f t="shared" si="9"/>
        <v>3286.8375000000005</v>
      </c>
    </row>
    <row r="18" spans="1:25" s="62" customFormat="1" ht="11.25" outlineLevel="1">
      <c r="A18" s="60" t="s">
        <v>94</v>
      </c>
      <c r="B18" s="63"/>
      <c r="C18" s="63"/>
      <c r="D18" s="63">
        <f t="shared" si="0"/>
        <v>0</v>
      </c>
      <c r="E18" s="63"/>
      <c r="F18" s="63">
        <f>6*75/12*2</f>
        <v>75</v>
      </c>
      <c r="G18" s="63">
        <f t="shared" si="1"/>
        <v>75</v>
      </c>
      <c r="H18" s="63"/>
      <c r="I18" s="63">
        <f>450*1.15</f>
        <v>517.5</v>
      </c>
      <c r="J18" s="63">
        <f t="shared" si="2"/>
        <v>517.5</v>
      </c>
      <c r="K18" s="63"/>
      <c r="L18" s="63">
        <f>I18*1.15</f>
        <v>595.125</v>
      </c>
      <c r="M18" s="63">
        <f t="shared" si="3"/>
        <v>595.125</v>
      </c>
      <c r="N18" s="63"/>
      <c r="O18" s="63">
        <f>L18*1.15</f>
        <v>684.39375</v>
      </c>
      <c r="P18" s="63">
        <f t="shared" si="4"/>
        <v>684.39375</v>
      </c>
      <c r="Q18" s="63"/>
      <c r="R18" s="63">
        <f>O18*1.15</f>
        <v>787.0528124999998</v>
      </c>
      <c r="S18" s="63">
        <f t="shared" si="5"/>
        <v>787.0528124999998</v>
      </c>
      <c r="T18" s="63"/>
      <c r="U18" s="63">
        <f>R18*1.15/12*10</f>
        <v>754.2589453124998</v>
      </c>
      <c r="V18" s="63">
        <f t="shared" si="6"/>
        <v>754.2589453124998</v>
      </c>
      <c r="W18" s="63">
        <f t="shared" si="7"/>
        <v>0</v>
      </c>
      <c r="X18" s="63">
        <f t="shared" si="8"/>
        <v>3413.3305078124995</v>
      </c>
      <c r="Y18" s="63">
        <f t="shared" si="9"/>
        <v>3413.3305078124995</v>
      </c>
    </row>
    <row r="19" spans="1:25" s="62" customFormat="1" ht="11.25" outlineLevel="1">
      <c r="A19" s="60" t="s">
        <v>58</v>
      </c>
      <c r="B19" s="63"/>
      <c r="C19" s="63"/>
      <c r="D19" s="63">
        <f t="shared" si="0"/>
        <v>0</v>
      </c>
      <c r="E19" s="63"/>
      <c r="F19" s="63"/>
      <c r="G19" s="63">
        <f t="shared" si="1"/>
        <v>0</v>
      </c>
      <c r="H19" s="63"/>
      <c r="I19" s="63"/>
      <c r="J19" s="63">
        <f t="shared" si="2"/>
        <v>0</v>
      </c>
      <c r="K19" s="63"/>
      <c r="L19" s="63"/>
      <c r="M19" s="63">
        <f t="shared" si="3"/>
        <v>0</v>
      </c>
      <c r="N19" s="63"/>
      <c r="O19" s="63"/>
      <c r="P19" s="63">
        <f t="shared" si="4"/>
        <v>0</v>
      </c>
      <c r="Q19" s="63"/>
      <c r="R19" s="63"/>
      <c r="S19" s="63">
        <f t="shared" si="5"/>
        <v>0</v>
      </c>
      <c r="T19" s="63"/>
      <c r="U19" s="63"/>
      <c r="V19" s="63">
        <f t="shared" si="6"/>
        <v>0</v>
      </c>
      <c r="W19" s="63">
        <f t="shared" si="7"/>
        <v>0</v>
      </c>
      <c r="X19" s="63">
        <f t="shared" si="8"/>
        <v>0</v>
      </c>
      <c r="Y19" s="63">
        <f t="shared" si="9"/>
        <v>0</v>
      </c>
    </row>
    <row r="20" spans="1:25" s="62" customFormat="1" ht="11.25" outlineLevel="1">
      <c r="A20" s="60" t="s">
        <v>59</v>
      </c>
      <c r="B20" s="63"/>
      <c r="C20" s="63"/>
      <c r="D20" s="63">
        <f t="shared" si="0"/>
        <v>0</v>
      </c>
      <c r="E20" s="63"/>
      <c r="F20" s="63"/>
      <c r="G20" s="63">
        <f t="shared" si="1"/>
        <v>0</v>
      </c>
      <c r="H20" s="63"/>
      <c r="I20" s="63"/>
      <c r="J20" s="63">
        <f t="shared" si="2"/>
        <v>0</v>
      </c>
      <c r="K20" s="63"/>
      <c r="L20" s="63"/>
      <c r="M20" s="63">
        <f t="shared" si="3"/>
        <v>0</v>
      </c>
      <c r="N20" s="63"/>
      <c r="O20" s="63"/>
      <c r="P20" s="63">
        <f t="shared" si="4"/>
        <v>0</v>
      </c>
      <c r="Q20" s="63"/>
      <c r="R20" s="63"/>
      <c r="S20" s="63">
        <f t="shared" si="5"/>
        <v>0</v>
      </c>
      <c r="T20" s="63"/>
      <c r="U20" s="63"/>
      <c r="V20" s="63">
        <f t="shared" si="6"/>
        <v>0</v>
      </c>
      <c r="W20" s="63">
        <f t="shared" si="7"/>
        <v>0</v>
      </c>
      <c r="X20" s="63">
        <f t="shared" si="8"/>
        <v>0</v>
      </c>
      <c r="Y20" s="63">
        <f t="shared" si="9"/>
        <v>0</v>
      </c>
    </row>
    <row r="21" spans="1:28" s="66" customFormat="1" ht="12.75">
      <c r="A21" s="111" t="s">
        <v>69</v>
      </c>
      <c r="B21" s="112">
        <f aca="true" t="shared" si="10" ref="B21:Y21">SUM(B10:B20)</f>
        <v>0</v>
      </c>
      <c r="C21" s="112">
        <f t="shared" si="10"/>
        <v>0</v>
      </c>
      <c r="D21" s="112">
        <f t="shared" si="10"/>
        <v>0</v>
      </c>
      <c r="E21" s="112">
        <f t="shared" si="10"/>
        <v>1067367.5</v>
      </c>
      <c r="F21" s="112">
        <f t="shared" si="10"/>
        <v>3952.3675000000003</v>
      </c>
      <c r="G21" s="112">
        <f t="shared" si="10"/>
        <v>1071319.8675</v>
      </c>
      <c r="H21" s="112">
        <f t="shared" si="10"/>
        <v>0</v>
      </c>
      <c r="I21" s="112">
        <f t="shared" si="10"/>
        <v>14976.8348425</v>
      </c>
      <c r="J21" s="112">
        <f t="shared" si="10"/>
        <v>14976.8348425</v>
      </c>
      <c r="K21" s="112">
        <f t="shared" si="10"/>
        <v>0</v>
      </c>
      <c r="L21" s="112">
        <f t="shared" si="10"/>
        <v>17077.054943875</v>
      </c>
      <c r="M21" s="112">
        <f t="shared" si="10"/>
        <v>17077.054943875</v>
      </c>
      <c r="N21" s="112">
        <f t="shared" si="10"/>
        <v>0</v>
      </c>
      <c r="O21" s="112">
        <f t="shared" si="10"/>
        <v>19489.998060456244</v>
      </c>
      <c r="P21" s="112">
        <f t="shared" si="10"/>
        <v>19489.998060456244</v>
      </c>
      <c r="Q21" s="112">
        <f t="shared" si="10"/>
        <v>0</v>
      </c>
      <c r="R21" s="112">
        <f t="shared" si="10"/>
        <v>22262.457144524677</v>
      </c>
      <c r="S21" s="112">
        <f t="shared" si="10"/>
        <v>22262.457144524677</v>
      </c>
      <c r="T21" s="112">
        <f t="shared" si="10"/>
        <v>0</v>
      </c>
      <c r="U21" s="112">
        <f t="shared" si="10"/>
        <v>20873.98210839088</v>
      </c>
      <c r="V21" s="112">
        <f t="shared" si="10"/>
        <v>20873.98210839088</v>
      </c>
      <c r="W21" s="112">
        <f t="shared" si="10"/>
        <v>1067367.5</v>
      </c>
      <c r="X21" s="112">
        <f t="shared" si="10"/>
        <v>98632.69459974678</v>
      </c>
      <c r="Y21" s="112">
        <f t="shared" si="10"/>
        <v>1166000.1945997467</v>
      </c>
      <c r="AA21" s="67"/>
      <c r="AB21" s="67"/>
    </row>
    <row r="22" spans="1:28" s="66" customFormat="1" ht="12.75">
      <c r="A22" s="64" t="s">
        <v>66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>
        <f>-'Rozpočet výstavby'!I26/1000</f>
        <v>-934881.3</v>
      </c>
      <c r="U22" s="65"/>
      <c r="V22" s="65">
        <f>T22+U22</f>
        <v>-934881.3</v>
      </c>
      <c r="W22" s="65">
        <f>Q22+N22+K22+H22+E22+B22+T22</f>
        <v>-934881.3</v>
      </c>
      <c r="X22" s="65">
        <f>R22+O22+L22+I22+F22+C22+U22</f>
        <v>0</v>
      </c>
      <c r="Y22" s="65">
        <f>W22+X22</f>
        <v>-934881.3</v>
      </c>
      <c r="AA22" s="67"/>
      <c r="AB22" s="67"/>
    </row>
    <row r="23" spans="1:28" s="66" customFormat="1" ht="12.75">
      <c r="A23" s="111" t="s">
        <v>67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>
        <f>W21+W22</f>
        <v>132486.19999999995</v>
      </c>
      <c r="X23" s="112">
        <f>X21+X22</f>
        <v>98632.69459974678</v>
      </c>
      <c r="Y23" s="112">
        <f>Y21+Y22</f>
        <v>231118.89459974668</v>
      </c>
      <c r="AA23" s="67"/>
      <c r="AB23" s="67"/>
    </row>
    <row r="25" s="85" customFormat="1" ht="12.75"/>
    <row r="27" spans="1:11" ht="12.75">
      <c r="A27" s="109" t="s">
        <v>91</v>
      </c>
      <c r="D27" s="45">
        <v>2005</v>
      </c>
      <c r="E27" s="45">
        <v>2006</v>
      </c>
      <c r="F27" s="45">
        <v>2007</v>
      </c>
      <c r="G27" s="45">
        <v>2008</v>
      </c>
      <c r="H27" s="45">
        <v>2009</v>
      </c>
      <c r="I27" s="45">
        <v>2010</v>
      </c>
      <c r="J27" s="45">
        <v>2011</v>
      </c>
      <c r="K27" s="45" t="s">
        <v>28</v>
      </c>
    </row>
    <row r="28" spans="1:11" s="85" customFormat="1" ht="12.75">
      <c r="A28" s="90" t="s">
        <v>42</v>
      </c>
      <c r="D28" s="77">
        <f>B21</f>
        <v>0</v>
      </c>
      <c r="E28" s="77">
        <f>E21</f>
        <v>1067367.5</v>
      </c>
      <c r="F28" s="77">
        <f>H21</f>
        <v>0</v>
      </c>
      <c r="G28" s="77">
        <f>K21</f>
        <v>0</v>
      </c>
      <c r="H28" s="77">
        <f>N21</f>
        <v>0</v>
      </c>
      <c r="I28" s="77">
        <f>Q21</f>
        <v>0</v>
      </c>
      <c r="J28" s="77">
        <f>T21</f>
        <v>0</v>
      </c>
      <c r="K28" s="77">
        <f>SUM(D28:J28)</f>
        <v>1067367.5</v>
      </c>
    </row>
    <row r="29" spans="1:11" s="85" customFormat="1" ht="12.75">
      <c r="A29" s="91" t="s">
        <v>62</v>
      </c>
      <c r="D29" s="84">
        <f>C21</f>
        <v>0</v>
      </c>
      <c r="E29" s="84">
        <f>F21</f>
        <v>3952.3675000000003</v>
      </c>
      <c r="F29" s="84">
        <f>I21</f>
        <v>14976.8348425</v>
      </c>
      <c r="G29" s="84">
        <f>L21</f>
        <v>17077.054943875</v>
      </c>
      <c r="H29" s="84">
        <f>O21</f>
        <v>19489.998060456244</v>
      </c>
      <c r="I29" s="84">
        <f>R21</f>
        <v>22262.457144524677</v>
      </c>
      <c r="J29" s="84">
        <f>U21</f>
        <v>20873.98210839088</v>
      </c>
      <c r="K29" s="84">
        <f>SUM(D29:J29)</f>
        <v>98632.6945997468</v>
      </c>
    </row>
    <row r="30" spans="1:11" s="85" customFormat="1" ht="12.75">
      <c r="A30" s="110" t="s">
        <v>28</v>
      </c>
      <c r="D30" s="105">
        <f aca="true" t="shared" si="11" ref="D30:J30">SUM(D28:D29)</f>
        <v>0</v>
      </c>
      <c r="E30" s="105">
        <f t="shared" si="11"/>
        <v>1071319.8675</v>
      </c>
      <c r="F30" s="105">
        <f t="shared" si="11"/>
        <v>14976.8348425</v>
      </c>
      <c r="G30" s="105">
        <f t="shared" si="11"/>
        <v>17077.054943875</v>
      </c>
      <c r="H30" s="105">
        <f t="shared" si="11"/>
        <v>19489.998060456244</v>
      </c>
      <c r="I30" s="105">
        <f t="shared" si="11"/>
        <v>22262.457144524677</v>
      </c>
      <c r="J30" s="105">
        <f t="shared" si="11"/>
        <v>20873.98210839088</v>
      </c>
      <c r="K30" s="105">
        <f>SUM(K28:K29)</f>
        <v>1166000.1945997467</v>
      </c>
    </row>
    <row r="31" s="85" customFormat="1" ht="12.75"/>
    <row r="34" spans="1:11" ht="12.75" outlineLevel="1">
      <c r="A34" s="109" t="s">
        <v>91</v>
      </c>
      <c r="D34" s="45">
        <v>2005</v>
      </c>
      <c r="E34" s="45">
        <v>2006</v>
      </c>
      <c r="F34" s="45">
        <v>2007</v>
      </c>
      <c r="G34" s="45">
        <v>2008</v>
      </c>
      <c r="H34" s="45">
        <v>2009</v>
      </c>
      <c r="I34" s="45">
        <v>2010</v>
      </c>
      <c r="J34" s="45">
        <v>2011</v>
      </c>
      <c r="K34" s="45" t="s">
        <v>28</v>
      </c>
    </row>
    <row r="35" spans="1:11" ht="12.75" outlineLevel="1">
      <c r="A35" s="92" t="s">
        <v>10</v>
      </c>
      <c r="D35" s="75">
        <v>0</v>
      </c>
      <c r="E35" s="77">
        <f>E28-E38</f>
        <v>132486.19999999995</v>
      </c>
      <c r="F35" s="77">
        <f aca="true" t="shared" si="12" ref="F35:J36">F28</f>
        <v>0</v>
      </c>
      <c r="G35" s="77">
        <f t="shared" si="12"/>
        <v>0</v>
      </c>
      <c r="H35" s="77">
        <f t="shared" si="12"/>
        <v>0</v>
      </c>
      <c r="I35" s="77">
        <f t="shared" si="12"/>
        <v>0</v>
      </c>
      <c r="J35" s="77">
        <f t="shared" si="12"/>
        <v>0</v>
      </c>
      <c r="K35" s="77">
        <f>SUM(D35:J35)</f>
        <v>132486.19999999995</v>
      </c>
    </row>
    <row r="36" spans="1:11" ht="12.75" outlineLevel="1">
      <c r="A36" s="93" t="s">
        <v>92</v>
      </c>
      <c r="D36" s="84">
        <f>D29</f>
        <v>0</v>
      </c>
      <c r="E36" s="84">
        <f>E29</f>
        <v>3952.3675000000003</v>
      </c>
      <c r="F36" s="84">
        <f t="shared" si="12"/>
        <v>14976.8348425</v>
      </c>
      <c r="G36" s="84">
        <f t="shared" si="12"/>
        <v>17077.054943875</v>
      </c>
      <c r="H36" s="84">
        <f t="shared" si="12"/>
        <v>19489.998060456244</v>
      </c>
      <c r="I36" s="84">
        <f t="shared" si="12"/>
        <v>22262.457144524677</v>
      </c>
      <c r="J36" s="84">
        <f t="shared" si="12"/>
        <v>20873.98210839088</v>
      </c>
      <c r="K36" s="84">
        <f>SUM(D36:J36)</f>
        <v>98632.6945997468</v>
      </c>
    </row>
    <row r="37" spans="1:11" ht="12.75" outlineLevel="1">
      <c r="A37" s="110" t="s">
        <v>93</v>
      </c>
      <c r="D37" s="105">
        <f aca="true" t="shared" si="13" ref="D37:J37">SUM(D35:D36)</f>
        <v>0</v>
      </c>
      <c r="E37" s="105">
        <f t="shared" si="13"/>
        <v>136438.56749999995</v>
      </c>
      <c r="F37" s="105">
        <f t="shared" si="13"/>
        <v>14976.8348425</v>
      </c>
      <c r="G37" s="105">
        <f t="shared" si="13"/>
        <v>17077.054943875</v>
      </c>
      <c r="H37" s="105">
        <f t="shared" si="13"/>
        <v>19489.998060456244</v>
      </c>
      <c r="I37" s="105">
        <f t="shared" si="13"/>
        <v>22262.457144524677</v>
      </c>
      <c r="J37" s="105">
        <f t="shared" si="13"/>
        <v>20873.98210839088</v>
      </c>
      <c r="K37" s="105">
        <f>SUM(D37:J37)</f>
        <v>231118.89459974674</v>
      </c>
    </row>
    <row r="38" spans="1:11" ht="12.75" outlineLevel="1">
      <c r="A38" s="110" t="s">
        <v>90</v>
      </c>
      <c r="D38" s="105">
        <f>D28</f>
        <v>0</v>
      </c>
      <c r="E38" s="105">
        <f>-D38-Y22</f>
        <v>934881.3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105">
        <f>SUM(D38:J38)</f>
        <v>934881.3</v>
      </c>
    </row>
  </sheetData>
  <mergeCells count="8">
    <mergeCell ref="B8:D8"/>
    <mergeCell ref="E8:G8"/>
    <mergeCell ref="H8:J8"/>
    <mergeCell ref="K8:M8"/>
    <mergeCell ref="N8:P8"/>
    <mergeCell ref="Q8:S8"/>
    <mergeCell ref="W8:Y8"/>
    <mergeCell ref="T8:V8"/>
  </mergeCells>
  <printOptions/>
  <pageMargins left="0.75" right="0.75" top="1" bottom="1" header="0.5" footer="0.5"/>
  <pageSetup horizontalDpi="600" verticalDpi="600" orientation="landscape" paperSize="9" scale="65" r:id="rId3"/>
  <headerFooter alignWithMargins="0">
    <oddFooter>&amp;R&amp;P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I41"/>
  <sheetViews>
    <sheetView tabSelected="1" workbookViewId="0" topLeftCell="A13">
      <selection activeCell="F11" sqref="F11"/>
    </sheetView>
  </sheetViews>
  <sheetFormatPr defaultColWidth="9.00390625" defaultRowHeight="12.75" outlineLevelCol="1"/>
  <cols>
    <col min="1" max="1" width="29.375" style="0" bestFit="1" customWidth="1"/>
    <col min="2" max="2" width="0" style="0" hidden="1" customWidth="1" outlineLevel="1"/>
    <col min="3" max="3" width="9.125" style="0" customWidth="1" collapsed="1"/>
  </cols>
  <sheetData>
    <row r="3" spans="1:8" ht="12.75">
      <c r="A3" t="s">
        <v>139</v>
      </c>
      <c r="H3" s="113" t="s">
        <v>140</v>
      </c>
    </row>
    <row r="8" ht="12.75">
      <c r="A8" s="85" t="s">
        <v>123</v>
      </c>
    </row>
    <row r="9" spans="1:8" s="85" customFormat="1" ht="12.75">
      <c r="A9" s="108" t="s">
        <v>91</v>
      </c>
      <c r="B9" s="86">
        <v>2005</v>
      </c>
      <c r="C9" s="86">
        <v>2006</v>
      </c>
      <c r="D9" s="86">
        <v>2007</v>
      </c>
      <c r="E9" s="86">
        <v>2008</v>
      </c>
      <c r="F9" s="86">
        <v>2009</v>
      </c>
      <c r="G9" s="86">
        <v>2010</v>
      </c>
      <c r="H9" s="86">
        <v>2011</v>
      </c>
    </row>
    <row r="10" spans="1:8" ht="12.75">
      <c r="A10" s="75" t="s">
        <v>98</v>
      </c>
      <c r="B10" s="77"/>
      <c r="C10" s="77">
        <f aca="true" t="shared" si="0" ref="C10:H10">(C13*0.2)+(C14*0.2)</f>
        <v>468.75</v>
      </c>
      <c r="D10" s="77">
        <f t="shared" si="0"/>
        <v>3234.375</v>
      </c>
      <c r="E10" s="77">
        <f t="shared" si="0"/>
        <v>3719.5312499999995</v>
      </c>
      <c r="F10" s="77">
        <f t="shared" si="0"/>
        <v>4277.460937499999</v>
      </c>
      <c r="G10" s="77">
        <f t="shared" si="0"/>
        <v>4919.080078124997</v>
      </c>
      <c r="H10" s="77">
        <f t="shared" si="0"/>
        <v>4701.118408203122</v>
      </c>
    </row>
    <row r="11" spans="1:8" ht="12.75">
      <c r="A11" s="82" t="s">
        <v>99</v>
      </c>
      <c r="B11" s="84"/>
      <c r="C11" s="84"/>
      <c r="D11" s="84"/>
      <c r="E11" s="84"/>
      <c r="F11" s="84"/>
      <c r="G11" s="84"/>
      <c r="H11" s="84"/>
    </row>
    <row r="12" spans="1:9" s="85" customFormat="1" ht="12.75">
      <c r="A12" s="86" t="s">
        <v>100</v>
      </c>
      <c r="B12" s="103">
        <f>SUM(B10:B11)</f>
        <v>0</v>
      </c>
      <c r="C12" s="103">
        <f aca="true" t="shared" si="1" ref="C12:H12">SUM(C10:C11)</f>
        <v>468.75</v>
      </c>
      <c r="D12" s="103">
        <f t="shared" si="1"/>
        <v>3234.375</v>
      </c>
      <c r="E12" s="103">
        <f t="shared" si="1"/>
        <v>3719.5312499999995</v>
      </c>
      <c r="F12" s="103">
        <f t="shared" si="1"/>
        <v>4277.460937499999</v>
      </c>
      <c r="G12" s="103">
        <f t="shared" si="1"/>
        <v>4919.080078124997</v>
      </c>
      <c r="H12" s="103">
        <f t="shared" si="1"/>
        <v>4701.118408203122</v>
      </c>
      <c r="I12" s="89"/>
    </row>
    <row r="13" spans="1:9" ht="12.75">
      <c r="A13" s="75" t="s">
        <v>101</v>
      </c>
      <c r="B13" s="77">
        <f>'Plán rozpočtu podľa položiek'!D18</f>
        <v>0</v>
      </c>
      <c r="C13" s="77">
        <f>'Plán rozpočtu podľa položiek'!G18/0.8</f>
        <v>93.75</v>
      </c>
      <c r="D13" s="77">
        <f>'Plán rozpočtu podľa položiek'!J18/0.8</f>
        <v>646.875</v>
      </c>
      <c r="E13" s="77">
        <f>'Plán rozpočtu podľa položiek'!M18/0.8</f>
        <v>743.90625</v>
      </c>
      <c r="F13" s="77">
        <f>'Plán rozpočtu podľa položiek'!P18/0.8</f>
        <v>855.4921874999999</v>
      </c>
      <c r="G13" s="77">
        <f>'Plán rozpočtu podľa položiek'!S18/0.8</f>
        <v>983.8160156249997</v>
      </c>
      <c r="H13" s="77">
        <f>'Plán rozpočtu podľa položiek'!V18/0.8</f>
        <v>942.8236816406247</v>
      </c>
      <c r="I13" s="74"/>
    </row>
    <row r="14" spans="1:9" ht="12.75">
      <c r="A14" s="1" t="s">
        <v>97</v>
      </c>
      <c r="B14" s="4">
        <f>'Plán rozpočtu podľa položiek'!D13</f>
        <v>0</v>
      </c>
      <c r="C14" s="4">
        <f>'Plán rozpočtu podľa položiek'!G13/0.8</f>
        <v>2250</v>
      </c>
      <c r="D14" s="4">
        <f>'Plán rozpočtu podľa položiek'!J13/0.8</f>
        <v>15525</v>
      </c>
      <c r="E14" s="4">
        <f>'Plán rozpočtu podľa položiek'!M13/0.8</f>
        <v>17853.749999999996</v>
      </c>
      <c r="F14" s="4">
        <f>'Plán rozpočtu podľa položiek'!P13/0.8</f>
        <v>20531.812499999996</v>
      </c>
      <c r="G14" s="4">
        <f>'Plán rozpočtu podľa položiek'!S13/0.8</f>
        <v>23611.584374999988</v>
      </c>
      <c r="H14" s="4">
        <f>'Plán rozpočtu podľa položiek'!V13/0.8</f>
        <v>22562.768359374986</v>
      </c>
      <c r="I14" s="74"/>
    </row>
    <row r="15" spans="1:8" ht="12.75">
      <c r="A15" s="1" t="s">
        <v>56</v>
      </c>
      <c r="B15" s="4">
        <f>'Plán rozpočtu podľa položiek'!D15</f>
        <v>0</v>
      </c>
      <c r="C15" s="4">
        <f>'Plán rozpočtu podľa položiek'!G15</f>
        <v>440</v>
      </c>
      <c r="D15" s="4">
        <f>'Plán rozpočtu podľa položiek'!J15</f>
        <v>462</v>
      </c>
      <c r="E15" s="4">
        <f>'Plán rozpočtu podľa položiek'!M15</f>
        <v>485.1</v>
      </c>
      <c r="F15" s="4">
        <f>'Plán rozpočtu podľa položiek'!P15</f>
        <v>509.355</v>
      </c>
      <c r="G15" s="4">
        <f>'Plán rozpočtu podľa položiek'!S15</f>
        <v>534.82275</v>
      </c>
      <c r="H15" s="4">
        <f>'Plán rozpočtu podľa položiek'!V15</f>
        <v>467.96990625000007</v>
      </c>
    </row>
    <row r="16" spans="1:8" ht="12.75">
      <c r="A16" s="1" t="s">
        <v>63</v>
      </c>
      <c r="B16" s="4">
        <v>0</v>
      </c>
      <c r="C16" s="4">
        <f>'Plán rozpočtu podľa položiek'!G12</f>
        <v>900</v>
      </c>
      <c r="D16" s="4">
        <f>'Plán rozpočtu podľa položiek'!J12</f>
        <v>909.9673424999999</v>
      </c>
      <c r="E16" s="4">
        <f>'Plán rozpočtu podľa položiek'!M12</f>
        <v>1046.462443875</v>
      </c>
      <c r="F16" s="4">
        <f>'Plán rozpočtu podľa položiek'!P12</f>
        <v>1203.4318104562497</v>
      </c>
      <c r="G16" s="4">
        <f>'Plán rozpočtu podľa položiek'!S12</f>
        <v>1383.946582024687</v>
      </c>
      <c r="H16" s="4">
        <f>'Plán rozpočtu podľa položiek'!V12</f>
        <v>1591.53856932839</v>
      </c>
    </row>
    <row r="17" spans="1:8" ht="12.75">
      <c r="A17" s="1" t="s">
        <v>102</v>
      </c>
      <c r="B17" s="4">
        <f>'Plán rozpočtu podľa položiek'!D16</f>
        <v>0</v>
      </c>
      <c r="C17" s="4">
        <f>'Plán rozpočtu podľa položiek'!G16</f>
        <v>10</v>
      </c>
      <c r="D17" s="4">
        <f>'Plán rozpočtu podľa položiek'!J16</f>
        <v>10</v>
      </c>
      <c r="E17" s="4">
        <f>'Plán rozpočtu podľa položiek'!M16</f>
        <v>10</v>
      </c>
      <c r="F17" s="4">
        <f>'Plán rozpočtu podľa položiek'!P16</f>
        <v>10</v>
      </c>
      <c r="G17" s="4">
        <f>'Plán rozpočtu podľa položiek'!S16</f>
        <v>10</v>
      </c>
      <c r="H17" s="4">
        <f>'Plán rozpočtu podľa položiek'!V16</f>
        <v>10</v>
      </c>
    </row>
    <row r="18" spans="1:8" ht="12.75">
      <c r="A18" s="1" t="s">
        <v>64</v>
      </c>
      <c r="B18" s="4">
        <f>'Plán rozpočtu podľa položiek'!C14</f>
        <v>0</v>
      </c>
      <c r="C18" s="4">
        <f>'Plán rozpočtu podľa položiek'!G14</f>
        <v>70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.75">
      <c r="A19" s="1" t="s">
        <v>103</v>
      </c>
      <c r="B19" s="4">
        <v>0</v>
      </c>
      <c r="C19" s="4">
        <f>'Odpisy SPV'!I20/1000</f>
        <v>36393.375</v>
      </c>
      <c r="D19" s="4">
        <f>'Odpisy SPV'!J20/1000</f>
        <v>36393.375</v>
      </c>
      <c r="E19" s="4">
        <f>'Odpisy SPV'!K20/1000</f>
        <v>36393.375</v>
      </c>
      <c r="F19" s="4">
        <f>'Odpisy SPV'!L20/1000</f>
        <v>36393.375</v>
      </c>
      <c r="G19" s="4">
        <f>'Odpisy SPV'!M20/1000</f>
        <v>36393.375</v>
      </c>
      <c r="H19" s="4">
        <f>'Odpisy SPV'!N20/1000</f>
        <v>36393.375</v>
      </c>
    </row>
    <row r="20" spans="1:8" ht="12.75">
      <c r="A20" s="82" t="s">
        <v>104</v>
      </c>
      <c r="B20" s="84">
        <v>0</v>
      </c>
      <c r="C20" s="84">
        <f>'Plán rozpočtu podľa položiek'!F17/12*2</f>
        <v>109.56125000000002</v>
      </c>
      <c r="D20" s="84">
        <f>'Plán rozpočtu podľa položiek'!J17</f>
        <v>657.3675000000001</v>
      </c>
      <c r="E20" s="84">
        <f>'Plán rozpočtu podľa položiek'!M17</f>
        <v>657.3675000000001</v>
      </c>
      <c r="F20" s="84">
        <f>'Plán rozpočtu podľa položiek'!P17</f>
        <v>657.3675000000001</v>
      </c>
      <c r="G20" s="84">
        <f>'Plán rozpočtu podľa položiek'!S17</f>
        <v>657.3675000000001</v>
      </c>
      <c r="H20" s="84">
        <f>G20-C20</f>
        <v>547.8062500000001</v>
      </c>
    </row>
    <row r="21" spans="1:8" s="85" customFormat="1" ht="12.75">
      <c r="A21" s="86" t="s">
        <v>105</v>
      </c>
      <c r="B21" s="103">
        <f>SUM(B14:B20)</f>
        <v>0</v>
      </c>
      <c r="C21" s="103">
        <f aca="true" t="shared" si="2" ref="C21:H21">SUM(C13:C20)</f>
        <v>40266.68625</v>
      </c>
      <c r="D21" s="103">
        <f t="shared" si="2"/>
        <v>54604.5848425</v>
      </c>
      <c r="E21" s="103">
        <f t="shared" si="2"/>
        <v>57189.961193874995</v>
      </c>
      <c r="F21" s="103">
        <f t="shared" si="2"/>
        <v>60160.833997956244</v>
      </c>
      <c r="G21" s="103">
        <f t="shared" si="2"/>
        <v>63574.91222264968</v>
      </c>
      <c r="H21" s="103">
        <f t="shared" si="2"/>
        <v>62516.281766594</v>
      </c>
    </row>
    <row r="22" spans="1:8" s="85" customFormat="1" ht="12.75">
      <c r="A22" s="45" t="s">
        <v>106</v>
      </c>
      <c r="B22" s="105">
        <f aca="true" t="shared" si="3" ref="B22:H22">B12-B21</f>
        <v>0</v>
      </c>
      <c r="C22" s="105">
        <f t="shared" si="3"/>
        <v>-39797.93625</v>
      </c>
      <c r="D22" s="105">
        <f t="shared" si="3"/>
        <v>-51370.2098425</v>
      </c>
      <c r="E22" s="105">
        <f t="shared" si="3"/>
        <v>-53470.429943874995</v>
      </c>
      <c r="F22" s="105">
        <f t="shared" si="3"/>
        <v>-55883.373060456244</v>
      </c>
      <c r="G22" s="105">
        <f t="shared" si="3"/>
        <v>-58655.83214452468</v>
      </c>
      <c r="H22" s="105">
        <f t="shared" si="3"/>
        <v>-57815.16335839088</v>
      </c>
    </row>
    <row r="23" spans="1:8" ht="13.5" thickBot="1">
      <c r="A23" s="75" t="s">
        <v>107</v>
      </c>
      <c r="B23" s="77">
        <f>IF(B22&gt;0,B22*0.19,0)</f>
        <v>0</v>
      </c>
      <c r="C23" s="77">
        <f aca="true" t="shared" si="4" ref="C23:H23">IF(C22&gt;0,C22*0.19,0)</f>
        <v>0</v>
      </c>
      <c r="D23" s="77">
        <f t="shared" si="4"/>
        <v>0</v>
      </c>
      <c r="E23" s="77">
        <f t="shared" si="4"/>
        <v>0</v>
      </c>
      <c r="F23" s="77">
        <f t="shared" si="4"/>
        <v>0</v>
      </c>
      <c r="G23" s="77">
        <f t="shared" si="4"/>
        <v>0</v>
      </c>
      <c r="H23" s="77">
        <f t="shared" si="4"/>
        <v>0</v>
      </c>
    </row>
    <row r="24" spans="1:8" s="85" customFormat="1" ht="13.5" thickTop="1">
      <c r="A24" s="106" t="s">
        <v>108</v>
      </c>
      <c r="B24" s="107">
        <f>B22-B23</f>
        <v>0</v>
      </c>
      <c r="C24" s="107">
        <f aca="true" t="shared" si="5" ref="C24:H24">C22-C23</f>
        <v>-39797.93625</v>
      </c>
      <c r="D24" s="107">
        <f t="shared" si="5"/>
        <v>-51370.2098425</v>
      </c>
      <c r="E24" s="107">
        <f t="shared" si="5"/>
        <v>-53470.429943874995</v>
      </c>
      <c r="F24" s="107">
        <f t="shared" si="5"/>
        <v>-55883.373060456244</v>
      </c>
      <c r="G24" s="107">
        <f t="shared" si="5"/>
        <v>-58655.83214452468</v>
      </c>
      <c r="H24" s="107">
        <f t="shared" si="5"/>
        <v>-57815.16335839088</v>
      </c>
    </row>
    <row r="25" spans="2:8" ht="12.75">
      <c r="B25" s="74"/>
      <c r="C25" s="74"/>
      <c r="D25" s="74"/>
      <c r="E25" s="74"/>
      <c r="F25" s="74"/>
      <c r="G25" s="74"/>
      <c r="H25" s="74"/>
    </row>
    <row r="26" spans="2:8" ht="12.75">
      <c r="B26" s="74"/>
      <c r="C26" s="74"/>
      <c r="D26" s="74"/>
      <c r="E26" s="74"/>
      <c r="F26" s="74"/>
      <c r="G26" s="74"/>
      <c r="H26" s="74"/>
    </row>
    <row r="27" ht="12.75">
      <c r="A27" s="85" t="s">
        <v>124</v>
      </c>
    </row>
    <row r="28" spans="1:8" s="85" customFormat="1" ht="12.75">
      <c r="A28" s="109" t="s">
        <v>91</v>
      </c>
      <c r="B28" s="45">
        <v>2005</v>
      </c>
      <c r="C28" s="45">
        <v>2006</v>
      </c>
      <c r="D28" s="45">
        <v>2007</v>
      </c>
      <c r="E28" s="45">
        <v>2008</v>
      </c>
      <c r="F28" s="45">
        <v>2009</v>
      </c>
      <c r="G28" s="45">
        <v>2010</v>
      </c>
      <c r="H28" s="45">
        <v>2011</v>
      </c>
    </row>
    <row r="29" spans="1:8" ht="12.75">
      <c r="A29" s="99" t="s">
        <v>54</v>
      </c>
      <c r="B29" s="77">
        <f>'Odpisy SPV'!H23/1000</f>
        <v>0</v>
      </c>
      <c r="C29" s="77">
        <f>'Odpisy SPV'!I23/1000</f>
        <v>410000</v>
      </c>
      <c r="D29" s="77">
        <f>'Odpisy SPV'!J23/1000</f>
        <v>410000</v>
      </c>
      <c r="E29" s="77">
        <f>'Odpisy SPV'!K23/1000</f>
        <v>410000</v>
      </c>
      <c r="F29" s="77">
        <f>'Odpisy SPV'!L23/1000</f>
        <v>410000</v>
      </c>
      <c r="G29" s="77">
        <f>'Odpisy SPV'!M23/1000</f>
        <v>410000</v>
      </c>
      <c r="H29" s="77">
        <f>'Odpisy SPV'!N23/1000</f>
        <v>410000</v>
      </c>
    </row>
    <row r="30" spans="1:8" ht="12.75">
      <c r="A30" s="100" t="s">
        <v>122</v>
      </c>
      <c r="B30" s="4">
        <f>'Odpisy SPV'!H24/1000</f>
        <v>0</v>
      </c>
      <c r="C30" s="4">
        <f>'Odpisy SPV'!I24/1000</f>
        <v>579849.125</v>
      </c>
      <c r="D30" s="4">
        <f>'Odpisy SPV'!J24/1000</f>
        <v>549330.75</v>
      </c>
      <c r="E30" s="4">
        <f>'Odpisy SPV'!K24/1000</f>
        <v>518812.375</v>
      </c>
      <c r="F30" s="4">
        <f>'Odpisy SPV'!L24/1000</f>
        <v>488294</v>
      </c>
      <c r="G30" s="4">
        <f>'Odpisy SPV'!M24/1000</f>
        <v>457775.625</v>
      </c>
      <c r="H30" s="4">
        <f>'Odpisy SPV'!N24/1000</f>
        <v>427257.25</v>
      </c>
    </row>
    <row r="31" spans="1:8" ht="12.75">
      <c r="A31" s="100" t="s">
        <v>111</v>
      </c>
      <c r="B31" s="4">
        <f>'Odpisy SPV'!H25/1000</f>
        <v>0</v>
      </c>
      <c r="C31" s="4">
        <f>'Odpisy SPV'!I25/1000</f>
        <v>41125</v>
      </c>
      <c r="D31" s="4">
        <f>'Odpisy SPV'!J25/1000</f>
        <v>35250</v>
      </c>
      <c r="E31" s="4">
        <f>'Odpisy SPV'!K25/1000</f>
        <v>29375</v>
      </c>
      <c r="F31" s="4">
        <f>'Odpisy SPV'!L25/1000</f>
        <v>23500</v>
      </c>
      <c r="G31" s="4">
        <f>'Odpisy SPV'!M25/1000</f>
        <v>17625</v>
      </c>
      <c r="H31" s="4">
        <f>'Odpisy SPV'!N25/1000</f>
        <v>11750</v>
      </c>
    </row>
    <row r="32" spans="1:8" ht="12.75">
      <c r="A32" s="1" t="s">
        <v>112</v>
      </c>
      <c r="B32" s="4">
        <f>SUM(B29:B31)</f>
        <v>0</v>
      </c>
      <c r="C32" s="4">
        <f aca="true" t="shared" si="6" ref="C32:H32">SUM(C29:C31)</f>
        <v>1030974.125</v>
      </c>
      <c r="D32" s="4">
        <f t="shared" si="6"/>
        <v>994580.75</v>
      </c>
      <c r="E32" s="4">
        <f t="shared" si="6"/>
        <v>958187.375</v>
      </c>
      <c r="F32" s="4">
        <f t="shared" si="6"/>
        <v>921794</v>
      </c>
      <c r="G32" s="4">
        <f t="shared" si="6"/>
        <v>885400.625</v>
      </c>
      <c r="H32" s="4">
        <f t="shared" si="6"/>
        <v>849007.25</v>
      </c>
    </row>
    <row r="33" spans="1:8" ht="12.75">
      <c r="A33" s="101" t="s">
        <v>113</v>
      </c>
      <c r="B33" s="84">
        <v>0</v>
      </c>
      <c r="C33" s="84">
        <v>95280</v>
      </c>
      <c r="D33" s="84">
        <v>80303</v>
      </c>
      <c r="E33" s="84">
        <v>63226</v>
      </c>
      <c r="F33" s="84">
        <v>43736</v>
      </c>
      <c r="G33" s="84">
        <v>21474</v>
      </c>
      <c r="H33" s="84">
        <v>0</v>
      </c>
    </row>
    <row r="34" spans="1:8" s="85" customFormat="1" ht="12.75">
      <c r="A34" s="102" t="s">
        <v>114</v>
      </c>
      <c r="B34" s="103">
        <f>SUM(B32:B33)</f>
        <v>0</v>
      </c>
      <c r="C34" s="103">
        <f aca="true" t="shared" si="7" ref="C34:H34">SUM(C32:C33)</f>
        <v>1126254.125</v>
      </c>
      <c r="D34" s="103">
        <f t="shared" si="7"/>
        <v>1074883.75</v>
      </c>
      <c r="E34" s="103">
        <f t="shared" si="7"/>
        <v>1021413.375</v>
      </c>
      <c r="F34" s="103">
        <f t="shared" si="7"/>
        <v>965530</v>
      </c>
      <c r="G34" s="103">
        <f t="shared" si="7"/>
        <v>906874.625</v>
      </c>
      <c r="H34" s="103">
        <f t="shared" si="7"/>
        <v>849007.25</v>
      </c>
    </row>
    <row r="35" spans="1:8" ht="12.75">
      <c r="A35" s="99" t="s">
        <v>115</v>
      </c>
      <c r="B35" s="77">
        <v>0</v>
      </c>
      <c r="C35" s="77">
        <f>'Plán rozpočtu podľa položiek'!K30</f>
        <v>1166000.1945997467</v>
      </c>
      <c r="D35" s="77">
        <f>C35</f>
        <v>1166000.1945997467</v>
      </c>
      <c r="E35" s="77">
        <f>D35</f>
        <v>1166000.1945997467</v>
      </c>
      <c r="F35" s="77">
        <f>E35</f>
        <v>1166000.1945997467</v>
      </c>
      <c r="G35" s="77">
        <f>F35</f>
        <v>1166000.1945997467</v>
      </c>
      <c r="H35" s="77">
        <f>G35</f>
        <v>1166000.1945997467</v>
      </c>
    </row>
    <row r="36" spans="1:8" ht="12.75">
      <c r="A36" s="100" t="s">
        <v>116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</row>
    <row r="37" spans="1:8" ht="12.75">
      <c r="A37" s="100" t="s">
        <v>117</v>
      </c>
      <c r="B37" s="4">
        <v>0</v>
      </c>
      <c r="C37" s="4">
        <f>B38</f>
        <v>0</v>
      </c>
      <c r="D37" s="4">
        <f>C37+C38</f>
        <v>-39797.93625</v>
      </c>
      <c r="E37" s="4">
        <f>D37+D38</f>
        <v>-91168.1460925</v>
      </c>
      <c r="F37" s="4">
        <f>E37+E38</f>
        <v>-144638.576036375</v>
      </c>
      <c r="G37" s="4">
        <f>F37+F38</f>
        <v>-200521.94909683123</v>
      </c>
      <c r="H37" s="4">
        <f>G37+G38</f>
        <v>-259177.7812413559</v>
      </c>
    </row>
    <row r="38" spans="1:8" ht="12.75">
      <c r="A38" s="100" t="s">
        <v>118</v>
      </c>
      <c r="B38" s="4">
        <f aca="true" t="shared" si="8" ref="B38:H38">B24</f>
        <v>0</v>
      </c>
      <c r="C38" s="4">
        <f t="shared" si="8"/>
        <v>-39797.93625</v>
      </c>
      <c r="D38" s="4">
        <f t="shared" si="8"/>
        <v>-51370.2098425</v>
      </c>
      <c r="E38" s="4">
        <f t="shared" si="8"/>
        <v>-53470.429943874995</v>
      </c>
      <c r="F38" s="4">
        <f t="shared" si="8"/>
        <v>-55883.373060456244</v>
      </c>
      <c r="G38" s="4">
        <f t="shared" si="8"/>
        <v>-58655.83214452468</v>
      </c>
      <c r="H38" s="4">
        <f t="shared" si="8"/>
        <v>-57815.16335839088</v>
      </c>
    </row>
    <row r="39" spans="1:8" ht="12.75">
      <c r="A39" s="104" t="s">
        <v>120</v>
      </c>
      <c r="B39" s="4">
        <f>SUM(B35:B38)</f>
        <v>0</v>
      </c>
      <c r="C39" s="4">
        <f aca="true" t="shared" si="9" ref="C39:H39">SUM(C35:C38)</f>
        <v>1126202.2583497467</v>
      </c>
      <c r="D39" s="4">
        <f t="shared" si="9"/>
        <v>1074832.0485072467</v>
      </c>
      <c r="E39" s="4">
        <f t="shared" si="9"/>
        <v>1021361.6185633717</v>
      </c>
      <c r="F39" s="4">
        <f t="shared" si="9"/>
        <v>965478.2455029155</v>
      </c>
      <c r="G39" s="4">
        <f t="shared" si="9"/>
        <v>906822.4133583908</v>
      </c>
      <c r="H39" s="4">
        <f t="shared" si="9"/>
        <v>849007.2499999999</v>
      </c>
    </row>
    <row r="40" spans="1:8" ht="12.75">
      <c r="A40" s="101" t="s">
        <v>119</v>
      </c>
      <c r="B40" s="84">
        <v>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</row>
    <row r="41" spans="1:8" s="85" customFormat="1" ht="12.75">
      <c r="A41" s="102" t="s">
        <v>121</v>
      </c>
      <c r="B41" s="103">
        <f>SUM(B39:B40)</f>
        <v>0</v>
      </c>
      <c r="C41" s="103">
        <f aca="true" t="shared" si="10" ref="C41:H41">SUM(C39:C40)</f>
        <v>1126202.2583497467</v>
      </c>
      <c r="D41" s="103">
        <f t="shared" si="10"/>
        <v>1074832.0485072467</v>
      </c>
      <c r="E41" s="103">
        <f t="shared" si="10"/>
        <v>1021361.6185633717</v>
      </c>
      <c r="F41" s="103">
        <f t="shared" si="10"/>
        <v>965478.2455029155</v>
      </c>
      <c r="G41" s="103">
        <f t="shared" si="10"/>
        <v>906822.4133583908</v>
      </c>
      <c r="H41" s="103">
        <f t="shared" si="10"/>
        <v>849007.2499999999</v>
      </c>
    </row>
  </sheetData>
  <printOptions/>
  <pageMargins left="0.75" right="0.75" top="1" bottom="1" header="0.5" footer="0.5"/>
  <pageSetup horizontalDpi="600" verticalDpi="600" orientation="portrait" paperSize="9" scale="94" r:id="rId1"/>
  <headerFooter alignWithMargins="0">
    <oddFooter>&amp;R&amp;P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B1">
      <selection activeCell="H24" sqref="H24"/>
    </sheetView>
  </sheetViews>
  <sheetFormatPr defaultColWidth="9.00390625" defaultRowHeight="12.75" outlineLevelCol="1"/>
  <cols>
    <col min="1" max="1" width="9.125" style="1" hidden="1" customWidth="1" outlineLevel="1"/>
    <col min="2" max="2" width="20.375" style="1" bestFit="1" customWidth="1" collapsed="1"/>
    <col min="3" max="3" width="6.00390625" style="1" bestFit="1" customWidth="1"/>
    <col min="4" max="5" width="13.375" style="1" hidden="1" customWidth="1" outlineLevel="1"/>
    <col min="6" max="6" width="9.125" style="1" hidden="1" customWidth="1" outlineLevel="1"/>
    <col min="7" max="7" width="21.875" style="1" customWidth="1" collapsed="1"/>
    <col min="8" max="8" width="15.125" style="1" customWidth="1"/>
    <col min="9" max="9" width="15.25390625" style="1" customWidth="1"/>
    <col min="10" max="14" width="13.875" style="1" customWidth="1"/>
    <col min="15" max="16384" width="9.125" style="1" customWidth="1"/>
  </cols>
  <sheetData>
    <row r="1" ht="12.75">
      <c r="B1" s="1" t="s">
        <v>68</v>
      </c>
    </row>
    <row r="2" spans="1:14" s="30" customFormat="1" ht="12.75">
      <c r="A2" s="43" t="s">
        <v>14</v>
      </c>
      <c r="B2" s="43" t="s">
        <v>13</v>
      </c>
      <c r="C2" s="43" t="s">
        <v>36</v>
      </c>
      <c r="D2" s="27" t="s">
        <v>4</v>
      </c>
      <c r="E2" s="27" t="s">
        <v>1</v>
      </c>
      <c r="F2" s="28" t="s">
        <v>3</v>
      </c>
      <c r="G2" s="29" t="s">
        <v>19</v>
      </c>
      <c r="H2" s="29">
        <v>2005</v>
      </c>
      <c r="I2" s="29">
        <v>2006</v>
      </c>
      <c r="J2" s="29">
        <v>2007</v>
      </c>
      <c r="K2" s="29">
        <v>2008</v>
      </c>
      <c r="L2" s="29">
        <v>2009</v>
      </c>
      <c r="M2" s="29">
        <v>2010</v>
      </c>
      <c r="N2" s="29">
        <v>2011</v>
      </c>
    </row>
    <row r="3" spans="1:14" ht="12.75">
      <c r="A3" s="7" t="s">
        <v>10</v>
      </c>
      <c r="B3" s="7" t="s">
        <v>11</v>
      </c>
      <c r="C3" s="21">
        <v>1</v>
      </c>
      <c r="D3" s="22">
        <v>100000</v>
      </c>
      <c r="E3" s="22" t="s">
        <v>5</v>
      </c>
      <c r="F3" s="23">
        <v>4100</v>
      </c>
      <c r="G3" s="24">
        <f aca="true" t="shared" si="0" ref="G3:G13">C3*D3*F3</f>
        <v>410000000</v>
      </c>
      <c r="H3" s="24">
        <v>0</v>
      </c>
      <c r="I3" s="24">
        <v>0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</row>
    <row r="4" spans="1:14" ht="12.75">
      <c r="A4" s="8" t="s">
        <v>10</v>
      </c>
      <c r="B4" s="8" t="s">
        <v>44</v>
      </c>
      <c r="C4" s="11">
        <v>1</v>
      </c>
      <c r="D4" s="2">
        <v>1</v>
      </c>
      <c r="E4" s="2" t="s">
        <v>8</v>
      </c>
      <c r="F4" s="17">
        <v>18000000</v>
      </c>
      <c r="G4" s="25">
        <f t="shared" si="0"/>
        <v>18000000</v>
      </c>
      <c r="H4" s="25">
        <v>0</v>
      </c>
      <c r="I4" s="25">
        <f>$G4*0.05</f>
        <v>900000</v>
      </c>
      <c r="J4" s="25">
        <f aca="true" t="shared" si="1" ref="J4:N19">$G4*0.05</f>
        <v>900000</v>
      </c>
      <c r="K4" s="25">
        <f t="shared" si="1"/>
        <v>900000</v>
      </c>
      <c r="L4" s="25">
        <f t="shared" si="1"/>
        <v>900000</v>
      </c>
      <c r="M4" s="25">
        <f t="shared" si="1"/>
        <v>900000</v>
      </c>
      <c r="N4" s="25">
        <f t="shared" si="1"/>
        <v>900000</v>
      </c>
    </row>
    <row r="5" spans="1:14" ht="12.75">
      <c r="A5" s="8" t="s">
        <v>10</v>
      </c>
      <c r="B5" s="9" t="s">
        <v>45</v>
      </c>
      <c r="C5" s="11">
        <v>1</v>
      </c>
      <c r="D5" s="2">
        <v>1</v>
      </c>
      <c r="E5" s="2" t="s">
        <v>8</v>
      </c>
      <c r="F5" s="17">
        <v>3000000</v>
      </c>
      <c r="G5" s="25">
        <f t="shared" si="0"/>
        <v>3000000</v>
      </c>
      <c r="H5" s="25">
        <v>0</v>
      </c>
      <c r="I5" s="25">
        <f aca="true" t="shared" si="2" ref="I5:I19">$G5*0.05</f>
        <v>150000</v>
      </c>
      <c r="J5" s="25">
        <f t="shared" si="1"/>
        <v>150000</v>
      </c>
      <c r="K5" s="25">
        <f t="shared" si="1"/>
        <v>150000</v>
      </c>
      <c r="L5" s="25">
        <f t="shared" si="1"/>
        <v>150000</v>
      </c>
      <c r="M5" s="25">
        <f t="shared" si="1"/>
        <v>150000</v>
      </c>
      <c r="N5" s="25">
        <f t="shared" si="1"/>
        <v>150000</v>
      </c>
    </row>
    <row r="6" spans="1:14" ht="12.75">
      <c r="A6" s="8" t="s">
        <v>10</v>
      </c>
      <c r="B6" s="8" t="s">
        <v>20</v>
      </c>
      <c r="C6" s="11">
        <v>34</v>
      </c>
      <c r="D6" s="2">
        <v>1210</v>
      </c>
      <c r="E6" s="2" t="s">
        <v>2</v>
      </c>
      <c r="F6" s="17">
        <v>4500</v>
      </c>
      <c r="G6" s="25">
        <f t="shared" si="0"/>
        <v>185130000</v>
      </c>
      <c r="H6" s="25">
        <v>0</v>
      </c>
      <c r="I6" s="25">
        <f t="shared" si="2"/>
        <v>9256500</v>
      </c>
      <c r="J6" s="25">
        <f t="shared" si="1"/>
        <v>9256500</v>
      </c>
      <c r="K6" s="25">
        <f t="shared" si="1"/>
        <v>9256500</v>
      </c>
      <c r="L6" s="25">
        <f t="shared" si="1"/>
        <v>9256500</v>
      </c>
      <c r="M6" s="25">
        <f t="shared" si="1"/>
        <v>9256500</v>
      </c>
      <c r="N6" s="25">
        <f t="shared" si="1"/>
        <v>9256500</v>
      </c>
    </row>
    <row r="7" spans="1:14" ht="12.75">
      <c r="A7" s="8" t="s">
        <v>10</v>
      </c>
      <c r="B7" s="8" t="s">
        <v>21</v>
      </c>
      <c r="C7" s="11">
        <v>33</v>
      </c>
      <c r="D7" s="2">
        <v>1210</v>
      </c>
      <c r="E7" s="2" t="s">
        <v>2</v>
      </c>
      <c r="F7" s="17">
        <v>4500</v>
      </c>
      <c r="G7" s="25">
        <f t="shared" si="0"/>
        <v>179685000</v>
      </c>
      <c r="H7" s="25">
        <v>0</v>
      </c>
      <c r="I7" s="25">
        <f t="shared" si="2"/>
        <v>8984250</v>
      </c>
      <c r="J7" s="25">
        <f t="shared" si="1"/>
        <v>8984250</v>
      </c>
      <c r="K7" s="25">
        <f t="shared" si="1"/>
        <v>8984250</v>
      </c>
      <c r="L7" s="25">
        <f t="shared" si="1"/>
        <v>8984250</v>
      </c>
      <c r="M7" s="25">
        <f t="shared" si="1"/>
        <v>8984250</v>
      </c>
      <c r="N7" s="25">
        <f t="shared" si="1"/>
        <v>8984250</v>
      </c>
    </row>
    <row r="8" spans="1:14" ht="12.75">
      <c r="A8" s="8" t="s">
        <v>10</v>
      </c>
      <c r="B8" s="8" t="s">
        <v>22</v>
      </c>
      <c r="C8" s="11">
        <v>6</v>
      </c>
      <c r="D8" s="2">
        <v>1510</v>
      </c>
      <c r="E8" s="2" t="s">
        <v>2</v>
      </c>
      <c r="F8" s="17">
        <v>4500</v>
      </c>
      <c r="G8" s="25">
        <f t="shared" si="0"/>
        <v>40770000</v>
      </c>
      <c r="H8" s="25">
        <v>0</v>
      </c>
      <c r="I8" s="25">
        <f t="shared" si="2"/>
        <v>2038500</v>
      </c>
      <c r="J8" s="25">
        <f t="shared" si="1"/>
        <v>2038500</v>
      </c>
      <c r="K8" s="25">
        <f t="shared" si="1"/>
        <v>2038500</v>
      </c>
      <c r="L8" s="25">
        <f t="shared" si="1"/>
        <v>2038500</v>
      </c>
      <c r="M8" s="25">
        <f t="shared" si="1"/>
        <v>2038500</v>
      </c>
      <c r="N8" s="25">
        <f t="shared" si="1"/>
        <v>2038500</v>
      </c>
    </row>
    <row r="9" spans="1:14" ht="12.75">
      <c r="A9" s="8" t="s">
        <v>10</v>
      </c>
      <c r="B9" s="8" t="s">
        <v>23</v>
      </c>
      <c r="C9" s="11">
        <v>1</v>
      </c>
      <c r="D9" s="2">
        <v>1510</v>
      </c>
      <c r="E9" s="2" t="s">
        <v>2</v>
      </c>
      <c r="F9" s="17">
        <v>4500</v>
      </c>
      <c r="G9" s="25">
        <f t="shared" si="0"/>
        <v>6795000</v>
      </c>
      <c r="H9" s="25">
        <v>0</v>
      </c>
      <c r="I9" s="25">
        <f t="shared" si="2"/>
        <v>339750</v>
      </c>
      <c r="J9" s="25">
        <f t="shared" si="1"/>
        <v>339750</v>
      </c>
      <c r="K9" s="25">
        <f t="shared" si="1"/>
        <v>339750</v>
      </c>
      <c r="L9" s="25">
        <f t="shared" si="1"/>
        <v>339750</v>
      </c>
      <c r="M9" s="25">
        <f t="shared" si="1"/>
        <v>339750</v>
      </c>
      <c r="N9" s="25">
        <f t="shared" si="1"/>
        <v>339750</v>
      </c>
    </row>
    <row r="10" spans="1:14" ht="12.75">
      <c r="A10" s="8" t="s">
        <v>10</v>
      </c>
      <c r="B10" s="8" t="s">
        <v>24</v>
      </c>
      <c r="C10" s="11">
        <v>1</v>
      </c>
      <c r="D10" s="2">
        <v>1800</v>
      </c>
      <c r="E10" s="2" t="s">
        <v>2</v>
      </c>
      <c r="F10" s="17">
        <v>4500</v>
      </c>
      <c r="G10" s="25">
        <f t="shared" si="0"/>
        <v>8100000</v>
      </c>
      <c r="H10" s="25">
        <v>0</v>
      </c>
      <c r="I10" s="25">
        <f t="shared" si="2"/>
        <v>405000</v>
      </c>
      <c r="J10" s="25">
        <f t="shared" si="1"/>
        <v>405000</v>
      </c>
      <c r="K10" s="25">
        <f t="shared" si="1"/>
        <v>405000</v>
      </c>
      <c r="L10" s="25">
        <f t="shared" si="1"/>
        <v>405000</v>
      </c>
      <c r="M10" s="25">
        <f t="shared" si="1"/>
        <v>405000</v>
      </c>
      <c r="N10" s="25">
        <f t="shared" si="1"/>
        <v>405000</v>
      </c>
    </row>
    <row r="11" spans="1:14" ht="12.75">
      <c r="A11" s="8" t="s">
        <v>10</v>
      </c>
      <c r="B11" s="8" t="s">
        <v>18</v>
      </c>
      <c r="C11" s="11">
        <v>1</v>
      </c>
      <c r="D11" s="2">
        <v>21320</v>
      </c>
      <c r="E11" s="2" t="s">
        <v>5</v>
      </c>
      <c r="F11" s="17">
        <v>2300</v>
      </c>
      <c r="G11" s="25">
        <f t="shared" si="0"/>
        <v>49036000</v>
      </c>
      <c r="H11" s="25">
        <v>0</v>
      </c>
      <c r="I11" s="25">
        <f t="shared" si="2"/>
        <v>2451800</v>
      </c>
      <c r="J11" s="25">
        <f t="shared" si="1"/>
        <v>2451800</v>
      </c>
      <c r="K11" s="25">
        <f t="shared" si="1"/>
        <v>2451800</v>
      </c>
      <c r="L11" s="25">
        <f t="shared" si="1"/>
        <v>2451800</v>
      </c>
      <c r="M11" s="25">
        <f t="shared" si="1"/>
        <v>2451800</v>
      </c>
      <c r="N11" s="25">
        <f t="shared" si="1"/>
        <v>2451800</v>
      </c>
    </row>
    <row r="12" spans="1:14" ht="12.75">
      <c r="A12" s="8" t="s">
        <v>10</v>
      </c>
      <c r="B12" s="8" t="s">
        <v>6</v>
      </c>
      <c r="C12" s="11">
        <v>1</v>
      </c>
      <c r="D12" s="2">
        <v>1900</v>
      </c>
      <c r="E12" s="2" t="s">
        <v>7</v>
      </c>
      <c r="F12" s="17">
        <v>1600</v>
      </c>
      <c r="G12" s="25">
        <f t="shared" si="0"/>
        <v>3040000</v>
      </c>
      <c r="H12" s="25">
        <v>0</v>
      </c>
      <c r="I12" s="25">
        <f t="shared" si="2"/>
        <v>152000</v>
      </c>
      <c r="J12" s="25">
        <f t="shared" si="1"/>
        <v>152000</v>
      </c>
      <c r="K12" s="25">
        <f t="shared" si="1"/>
        <v>152000</v>
      </c>
      <c r="L12" s="25">
        <f t="shared" si="1"/>
        <v>152000</v>
      </c>
      <c r="M12" s="25">
        <f t="shared" si="1"/>
        <v>152000</v>
      </c>
      <c r="N12" s="25">
        <f t="shared" si="1"/>
        <v>152000</v>
      </c>
    </row>
    <row r="13" spans="1:14" ht="12.75">
      <c r="A13" s="8" t="s">
        <v>10</v>
      </c>
      <c r="B13" s="8" t="s">
        <v>9</v>
      </c>
      <c r="C13" s="11">
        <v>1</v>
      </c>
      <c r="D13" s="2">
        <v>110000</v>
      </c>
      <c r="E13" s="2" t="s">
        <v>5</v>
      </c>
      <c r="F13" s="17">
        <v>200</v>
      </c>
      <c r="G13" s="25">
        <f t="shared" si="0"/>
        <v>22000000</v>
      </c>
      <c r="H13" s="25">
        <v>0</v>
      </c>
      <c r="I13" s="25">
        <f t="shared" si="2"/>
        <v>1100000</v>
      </c>
      <c r="J13" s="25">
        <f t="shared" si="1"/>
        <v>1100000</v>
      </c>
      <c r="K13" s="25">
        <f t="shared" si="1"/>
        <v>1100000</v>
      </c>
      <c r="L13" s="25">
        <f t="shared" si="1"/>
        <v>1100000</v>
      </c>
      <c r="M13" s="25">
        <f t="shared" si="1"/>
        <v>1100000</v>
      </c>
      <c r="N13" s="25">
        <f t="shared" si="1"/>
        <v>1100000</v>
      </c>
    </row>
    <row r="14" spans="1:14" ht="12.75">
      <c r="A14" s="9" t="s">
        <v>10</v>
      </c>
      <c r="B14" s="9" t="s">
        <v>12</v>
      </c>
      <c r="C14" s="12">
        <v>75</v>
      </c>
      <c r="E14" s="5" t="s">
        <v>8</v>
      </c>
      <c r="F14" s="15"/>
      <c r="G14" s="25">
        <v>47000000</v>
      </c>
      <c r="H14" s="25">
        <v>0</v>
      </c>
      <c r="I14" s="25">
        <f aca="true" t="shared" si="3" ref="I14:N14">$G14*0.125</f>
        <v>5875000</v>
      </c>
      <c r="J14" s="25">
        <f t="shared" si="3"/>
        <v>5875000</v>
      </c>
      <c r="K14" s="25">
        <f t="shared" si="3"/>
        <v>5875000</v>
      </c>
      <c r="L14" s="25">
        <f t="shared" si="3"/>
        <v>5875000</v>
      </c>
      <c r="M14" s="25">
        <f t="shared" si="3"/>
        <v>5875000</v>
      </c>
      <c r="N14" s="25">
        <f t="shared" si="3"/>
        <v>5875000</v>
      </c>
    </row>
    <row r="15" spans="1:14" ht="12.75">
      <c r="A15" s="8" t="s">
        <v>10</v>
      </c>
      <c r="B15" s="8" t="s">
        <v>0</v>
      </c>
      <c r="C15" s="11">
        <v>1</v>
      </c>
      <c r="D15" s="2">
        <v>12950</v>
      </c>
      <c r="E15" s="2" t="s">
        <v>2</v>
      </c>
      <c r="F15" s="17">
        <v>6000</v>
      </c>
      <c r="G15" s="25">
        <f>C15*D15*F15</f>
        <v>77700000</v>
      </c>
      <c r="H15" s="25">
        <v>0</v>
      </c>
      <c r="I15" s="25">
        <f t="shared" si="2"/>
        <v>3885000</v>
      </c>
      <c r="J15" s="25">
        <f t="shared" si="1"/>
        <v>3885000</v>
      </c>
      <c r="K15" s="25">
        <f t="shared" si="1"/>
        <v>3885000</v>
      </c>
      <c r="L15" s="25">
        <f t="shared" si="1"/>
        <v>3885000</v>
      </c>
      <c r="M15" s="25">
        <f t="shared" si="1"/>
        <v>3885000</v>
      </c>
      <c r="N15" s="25">
        <f t="shared" si="1"/>
        <v>3885000</v>
      </c>
    </row>
    <row r="16" spans="1:14" ht="12.75">
      <c r="A16" s="8" t="s">
        <v>10</v>
      </c>
      <c r="B16" s="8" t="s">
        <v>25</v>
      </c>
      <c r="C16" s="11">
        <v>1</v>
      </c>
      <c r="D16" s="2">
        <v>175</v>
      </c>
      <c r="E16" s="2" t="s">
        <v>2</v>
      </c>
      <c r="F16" s="17">
        <v>3500</v>
      </c>
      <c r="G16" s="25">
        <f>C16*D16*F16</f>
        <v>612500</v>
      </c>
      <c r="H16" s="25">
        <v>0</v>
      </c>
      <c r="I16" s="25">
        <f t="shared" si="2"/>
        <v>30625</v>
      </c>
      <c r="J16" s="25">
        <f t="shared" si="1"/>
        <v>30625</v>
      </c>
      <c r="K16" s="25">
        <f t="shared" si="1"/>
        <v>30625</v>
      </c>
      <c r="L16" s="25">
        <f t="shared" si="1"/>
        <v>30625</v>
      </c>
      <c r="M16" s="25">
        <f t="shared" si="1"/>
        <v>30625</v>
      </c>
      <c r="N16" s="25">
        <f t="shared" si="1"/>
        <v>30625</v>
      </c>
    </row>
    <row r="17" spans="1:14" ht="12.75">
      <c r="A17" s="9" t="s">
        <v>10</v>
      </c>
      <c r="B17" s="9" t="s">
        <v>17</v>
      </c>
      <c r="C17" s="11">
        <v>1</v>
      </c>
      <c r="D17" s="2">
        <v>2530</v>
      </c>
      <c r="E17" s="2" t="s">
        <v>5</v>
      </c>
      <c r="F17" s="17">
        <v>2300</v>
      </c>
      <c r="G17" s="25">
        <f>C17*D17*F17</f>
        <v>5819000</v>
      </c>
      <c r="H17" s="25">
        <v>0</v>
      </c>
      <c r="I17" s="25">
        <f t="shared" si="2"/>
        <v>290950</v>
      </c>
      <c r="J17" s="25">
        <f t="shared" si="1"/>
        <v>290950</v>
      </c>
      <c r="K17" s="25">
        <f t="shared" si="1"/>
        <v>290950</v>
      </c>
      <c r="L17" s="25">
        <f t="shared" si="1"/>
        <v>290950</v>
      </c>
      <c r="M17" s="25">
        <f t="shared" si="1"/>
        <v>290950</v>
      </c>
      <c r="N17" s="25">
        <f t="shared" si="1"/>
        <v>290950</v>
      </c>
    </row>
    <row r="18" spans="1:14" ht="12.75">
      <c r="A18" s="8" t="s">
        <v>10</v>
      </c>
      <c r="B18" s="8" t="s">
        <v>26</v>
      </c>
      <c r="C18" s="11">
        <v>4</v>
      </c>
      <c r="D18" s="2">
        <v>755</v>
      </c>
      <c r="E18" s="2" t="s">
        <v>8</v>
      </c>
      <c r="F18" s="17">
        <v>2000</v>
      </c>
      <c r="G18" s="25">
        <f>C18*D18*F18</f>
        <v>6040000</v>
      </c>
      <c r="H18" s="25">
        <v>0</v>
      </c>
      <c r="I18" s="25">
        <f t="shared" si="2"/>
        <v>302000</v>
      </c>
      <c r="J18" s="25">
        <f t="shared" si="1"/>
        <v>302000</v>
      </c>
      <c r="K18" s="25">
        <f t="shared" si="1"/>
        <v>302000</v>
      </c>
      <c r="L18" s="25">
        <f t="shared" si="1"/>
        <v>302000</v>
      </c>
      <c r="M18" s="25">
        <f t="shared" si="1"/>
        <v>302000</v>
      </c>
      <c r="N18" s="25">
        <f t="shared" si="1"/>
        <v>302000</v>
      </c>
    </row>
    <row r="19" spans="1:14" ht="12.75">
      <c r="A19" s="10" t="s">
        <v>10</v>
      </c>
      <c r="B19" s="10" t="s">
        <v>27</v>
      </c>
      <c r="C19" s="13">
        <v>2</v>
      </c>
      <c r="D19" s="19">
        <v>1160</v>
      </c>
      <c r="E19" s="19" t="s">
        <v>5</v>
      </c>
      <c r="F19" s="20">
        <v>2000</v>
      </c>
      <c r="G19" s="26">
        <f>C19*D19*F19</f>
        <v>4640000</v>
      </c>
      <c r="H19" s="25">
        <v>0</v>
      </c>
      <c r="I19" s="25">
        <f t="shared" si="2"/>
        <v>232000</v>
      </c>
      <c r="J19" s="25">
        <f t="shared" si="1"/>
        <v>232000</v>
      </c>
      <c r="K19" s="25">
        <f t="shared" si="1"/>
        <v>232000</v>
      </c>
      <c r="L19" s="25">
        <f t="shared" si="1"/>
        <v>232000</v>
      </c>
      <c r="M19" s="25">
        <f t="shared" si="1"/>
        <v>232000</v>
      </c>
      <c r="N19" s="25">
        <f t="shared" si="1"/>
        <v>232000</v>
      </c>
    </row>
    <row r="20" spans="1:14" s="30" customFormat="1" ht="12.75">
      <c r="A20" s="31"/>
      <c r="B20" s="29" t="s">
        <v>49</v>
      </c>
      <c r="C20" s="56"/>
      <c r="D20" s="32"/>
      <c r="E20" s="32"/>
      <c r="F20" s="33"/>
      <c r="G20" s="34">
        <f>SUM(G3:G19)</f>
        <v>1067367500</v>
      </c>
      <c r="H20" s="34">
        <f>SUM(H3:H19)</f>
        <v>0</v>
      </c>
      <c r="I20" s="34">
        <f aca="true" t="shared" si="4" ref="I20:N20">SUM(I3:I19)</f>
        <v>36393375</v>
      </c>
      <c r="J20" s="34">
        <f t="shared" si="4"/>
        <v>36393375</v>
      </c>
      <c r="K20" s="34">
        <f t="shared" si="4"/>
        <v>36393375</v>
      </c>
      <c r="L20" s="34">
        <f t="shared" si="4"/>
        <v>36393375</v>
      </c>
      <c r="M20" s="34">
        <f t="shared" si="4"/>
        <v>36393375</v>
      </c>
      <c r="N20" s="34">
        <f t="shared" si="4"/>
        <v>36393375</v>
      </c>
    </row>
    <row r="22" spans="7:14" s="30" customFormat="1" ht="12.75">
      <c r="G22" s="27" t="s">
        <v>109</v>
      </c>
      <c r="H22" s="27">
        <v>2005</v>
      </c>
      <c r="I22" s="27">
        <v>2006</v>
      </c>
      <c r="J22" s="27">
        <v>2007</v>
      </c>
      <c r="K22" s="27">
        <v>2008</v>
      </c>
      <c r="L22" s="27">
        <v>2009</v>
      </c>
      <c r="M22" s="27">
        <v>2010</v>
      </c>
      <c r="N22" s="27">
        <v>2011</v>
      </c>
    </row>
    <row r="23" spans="4:14" ht="12.75">
      <c r="D23" s="3"/>
      <c r="E23" s="2"/>
      <c r="F23" s="2"/>
      <c r="G23" s="94" t="s">
        <v>54</v>
      </c>
      <c r="H23" s="94"/>
      <c r="I23" s="94">
        <f aca="true" t="shared" si="5" ref="I23:N23">$G3-I3</f>
        <v>410000000</v>
      </c>
      <c r="J23" s="94">
        <f t="shared" si="5"/>
        <v>410000000</v>
      </c>
      <c r="K23" s="94">
        <f t="shared" si="5"/>
        <v>410000000</v>
      </c>
      <c r="L23" s="94">
        <f t="shared" si="5"/>
        <v>410000000</v>
      </c>
      <c r="M23" s="94">
        <f t="shared" si="5"/>
        <v>410000000</v>
      </c>
      <c r="N23" s="94">
        <f t="shared" si="5"/>
        <v>410000000</v>
      </c>
    </row>
    <row r="24" spans="4:14" ht="12.75">
      <c r="D24" s="3"/>
      <c r="E24" s="2"/>
      <c r="F24" s="2"/>
      <c r="G24" s="3" t="s">
        <v>55</v>
      </c>
      <c r="H24" s="3"/>
      <c r="I24" s="3">
        <f>SUM($G4:$G13,$G15:$G19)-SUM(I4:I13,I15:I19)</f>
        <v>579849125</v>
      </c>
      <c r="J24" s="3">
        <f>I24-SUM(J4:J13,J15:J19)</f>
        <v>549330750</v>
      </c>
      <c r="K24" s="3">
        <f>J24-SUM(K4:K13,K15:K19)</f>
        <v>518812375</v>
      </c>
      <c r="L24" s="3">
        <f>K24-SUM(L4:L13,L15:L19)</f>
        <v>488294000</v>
      </c>
      <c r="M24" s="3">
        <f>L24-SUM(M4:M13,M15:M19)</f>
        <v>457775625</v>
      </c>
      <c r="N24" s="3">
        <f>M24-SUM(N4:N13,N15:N19)</f>
        <v>427257250</v>
      </c>
    </row>
    <row r="25" spans="4:14" ht="12.75">
      <c r="D25" s="3"/>
      <c r="E25" s="2"/>
      <c r="F25" s="2"/>
      <c r="G25" s="95" t="s">
        <v>110</v>
      </c>
      <c r="H25" s="82">
        <v>0</v>
      </c>
      <c r="I25" s="95">
        <f>$G14-I14</f>
        <v>41125000</v>
      </c>
      <c r="J25" s="95">
        <f>I25-J14</f>
        <v>35250000</v>
      </c>
      <c r="K25" s="95">
        <f>J25-K14</f>
        <v>29375000</v>
      </c>
      <c r="L25" s="95">
        <f>K25-L14</f>
        <v>23500000</v>
      </c>
      <c r="M25" s="95">
        <f>L25-M14</f>
        <v>17625000</v>
      </c>
      <c r="N25" s="95">
        <f>M25-N14</f>
        <v>11750000</v>
      </c>
    </row>
    <row r="26" spans="4:14" s="30" customFormat="1" ht="12.75">
      <c r="D26" s="96"/>
      <c r="E26" s="97"/>
      <c r="F26" s="97"/>
      <c r="G26" s="98" t="s">
        <v>28</v>
      </c>
      <c r="H26" s="98">
        <f aca="true" t="shared" si="6" ref="H26:N26">SUM(H23:H25)</f>
        <v>0</v>
      </c>
      <c r="I26" s="98">
        <f t="shared" si="6"/>
        <v>1030974125</v>
      </c>
      <c r="J26" s="98">
        <f t="shared" si="6"/>
        <v>994580750</v>
      </c>
      <c r="K26" s="98">
        <f t="shared" si="6"/>
        <v>958187375</v>
      </c>
      <c r="L26" s="98">
        <f t="shared" si="6"/>
        <v>921794000</v>
      </c>
      <c r="M26" s="98">
        <f t="shared" si="6"/>
        <v>885400625</v>
      </c>
      <c r="N26" s="98">
        <f t="shared" si="6"/>
        <v>849007250</v>
      </c>
    </row>
    <row r="27" spans="4:14" ht="12.75">
      <c r="D27" s="3"/>
      <c r="E27" s="2"/>
      <c r="F27" s="2"/>
      <c r="G27" s="3"/>
      <c r="I27" s="3"/>
      <c r="J27" s="3"/>
      <c r="K27" s="3"/>
      <c r="L27" s="3"/>
      <c r="M27" s="3"/>
      <c r="N27" s="3"/>
    </row>
    <row r="28" spans="4:7" ht="12.75">
      <c r="D28" s="3"/>
      <c r="E28" s="2"/>
      <c r="F28" s="2"/>
      <c r="G28" s="3"/>
    </row>
    <row r="29" spans="4:7" ht="12.75">
      <c r="D29" s="3"/>
      <c r="E29" s="2"/>
      <c r="F29" s="2"/>
      <c r="G29" s="3"/>
    </row>
    <row r="30" ht="12.75">
      <c r="G30" s="3"/>
    </row>
    <row r="31" ht="12.75">
      <c r="G31" s="3"/>
    </row>
    <row r="32" ht="12.75">
      <c r="G32" s="3"/>
    </row>
    <row r="33" ht="12.75">
      <c r="G33" s="4"/>
    </row>
    <row r="34" ht="12.75">
      <c r="G34" s="3"/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8" scale="120" r:id="rId3"/>
  <headerFooter alignWithMargins="0">
    <oddHeader>&amp;LTabuľka č. 1&amp;CUbytovanie pre zahraničných investorov&amp;R&amp;A</oddHeader>
    <oddFooter>&amp;L8.11.2005&amp;R&amp;P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7" sqref="G7"/>
    </sheetView>
  </sheetViews>
  <sheetFormatPr defaultColWidth="9.00390625" defaultRowHeight="12.75" outlineLevelCol="1"/>
  <cols>
    <col min="1" max="1" width="21.875" style="1" bestFit="1" customWidth="1"/>
    <col min="2" max="2" width="6.00390625" style="1" bestFit="1" customWidth="1"/>
    <col min="3" max="3" width="12.75390625" style="0" hidden="1" customWidth="1" outlineLevel="1"/>
    <col min="4" max="4" width="12.625" style="1" customWidth="1" collapsed="1"/>
    <col min="5" max="8" width="12.625" style="1" customWidth="1"/>
    <col min="9" max="9" width="14.625" style="1" customWidth="1"/>
    <col min="10" max="10" width="13.00390625" style="1" customWidth="1"/>
    <col min="11" max="11" width="11.625" style="1" hidden="1" customWidth="1" outlineLevel="1"/>
    <col min="12" max="12" width="9.125" style="1" customWidth="1" collapsed="1"/>
    <col min="13" max="16384" width="9.125" style="1" customWidth="1"/>
  </cols>
  <sheetData>
    <row r="1" spans="1:11" s="30" customFormat="1" ht="12.75">
      <c r="A1" s="43"/>
      <c r="B1" s="43"/>
      <c r="C1" s="55" t="s">
        <v>52</v>
      </c>
      <c r="D1" s="29">
        <v>1</v>
      </c>
      <c r="E1" s="29">
        <v>2</v>
      </c>
      <c r="F1" s="29">
        <v>3</v>
      </c>
      <c r="G1" s="29">
        <v>4</v>
      </c>
      <c r="H1" s="29">
        <v>5</v>
      </c>
      <c r="I1" s="43"/>
      <c r="J1" s="43"/>
      <c r="K1" s="43"/>
    </row>
    <row r="2" spans="1:11" s="42" customFormat="1" ht="63.75">
      <c r="A2" s="38" t="s">
        <v>13</v>
      </c>
      <c r="B2" s="38" t="s">
        <v>36</v>
      </c>
      <c r="C2" s="38" t="s">
        <v>48</v>
      </c>
      <c r="D2" s="38" t="s">
        <v>53</v>
      </c>
      <c r="E2" s="38" t="s">
        <v>53</v>
      </c>
      <c r="F2" s="38" t="s">
        <v>53</v>
      </c>
      <c r="G2" s="38" t="s">
        <v>53</v>
      </c>
      <c r="H2" s="38" t="s">
        <v>53</v>
      </c>
      <c r="I2" s="38" t="s">
        <v>43</v>
      </c>
      <c r="J2" s="38" t="s">
        <v>38</v>
      </c>
      <c r="K2" s="38" t="s">
        <v>40</v>
      </c>
    </row>
    <row r="3" spans="1:11" s="6" customFormat="1" ht="12.75">
      <c r="A3" s="58" t="s">
        <v>37</v>
      </c>
      <c r="B3" s="58"/>
      <c r="C3" s="59"/>
      <c r="D3" s="58">
        <v>1</v>
      </c>
      <c r="E3" s="58">
        <v>1.15</v>
      </c>
      <c r="F3" s="58">
        <v>1.15</v>
      </c>
      <c r="G3" s="58">
        <v>1.15</v>
      </c>
      <c r="H3" s="58">
        <v>1.15</v>
      </c>
      <c r="I3" s="58" t="s">
        <v>41</v>
      </c>
      <c r="J3" s="58" t="s">
        <v>42</v>
      </c>
      <c r="K3" s="58" t="s">
        <v>28</v>
      </c>
    </row>
    <row r="4" spans="1:11" s="6" customFormat="1" ht="12.75">
      <c r="A4" s="8" t="s">
        <v>44</v>
      </c>
      <c r="B4" s="11">
        <v>1</v>
      </c>
      <c r="C4" s="50">
        <v>0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35">
        <v>0</v>
      </c>
      <c r="J4" s="35">
        <f>'Rozpočet výstavby'!H10</f>
        <v>3600000</v>
      </c>
      <c r="K4" s="35">
        <f>I4+J4</f>
        <v>3600000</v>
      </c>
    </row>
    <row r="5" spans="1:11" s="6" customFormat="1" ht="12.75">
      <c r="A5" s="9" t="s">
        <v>45</v>
      </c>
      <c r="B5" s="11">
        <v>1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35">
        <v>0</v>
      </c>
      <c r="J5" s="35">
        <f>'Rozpočet výstavby'!H11</f>
        <v>600000</v>
      </c>
      <c r="K5" s="35">
        <f>I5+J5</f>
        <v>600000</v>
      </c>
    </row>
    <row r="6" spans="1:11" ht="12.75">
      <c r="A6" s="8" t="s">
        <v>29</v>
      </c>
      <c r="B6" s="11">
        <v>34</v>
      </c>
      <c r="C6" s="35">
        <v>12000</v>
      </c>
      <c r="D6" s="35">
        <f aca="true" t="shared" si="0" ref="D6:D14">B6*C6*12</f>
        <v>4896000</v>
      </c>
      <c r="E6" s="35">
        <f>D6*E$3</f>
        <v>5630400</v>
      </c>
      <c r="F6" s="35">
        <f>E6*F$3</f>
        <v>6474959.999999999</v>
      </c>
      <c r="G6" s="35">
        <f>F6*G$3</f>
        <v>7446203.999999998</v>
      </c>
      <c r="H6" s="35">
        <f>G6*H$3</f>
        <v>8563134.599999998</v>
      </c>
      <c r="I6" s="35">
        <f aca="true" t="shared" si="1" ref="I6:I14">SUM(D6:H6)</f>
        <v>33010698.599999998</v>
      </c>
      <c r="J6" s="35">
        <f>'Rozpočet výstavby'!H12</f>
        <v>37026000</v>
      </c>
      <c r="K6" s="35">
        <f>I6+J6</f>
        <v>70036698.6</v>
      </c>
    </row>
    <row r="7" spans="1:11" ht="12.75">
      <c r="A7" s="8" t="s">
        <v>30</v>
      </c>
      <c r="B7" s="11">
        <v>33</v>
      </c>
      <c r="C7" s="35">
        <v>12000</v>
      </c>
      <c r="D7" s="35">
        <f t="shared" si="0"/>
        <v>4752000</v>
      </c>
      <c r="E7" s="35">
        <f aca="true" t="shared" si="2" ref="E7:H11">D7*E$3</f>
        <v>5464800</v>
      </c>
      <c r="F7" s="35">
        <f t="shared" si="2"/>
        <v>6284519.999999999</v>
      </c>
      <c r="G7" s="35">
        <f t="shared" si="2"/>
        <v>7227197.999999998</v>
      </c>
      <c r="H7" s="35">
        <f t="shared" si="2"/>
        <v>8311277.699999997</v>
      </c>
      <c r="I7" s="35">
        <f t="shared" si="1"/>
        <v>32039795.699999996</v>
      </c>
      <c r="J7" s="35">
        <f>'Rozpočet výstavby'!H13</f>
        <v>35937000</v>
      </c>
      <c r="K7" s="35">
        <f aca="true" t="shared" si="3" ref="K7:K14">I7+J7</f>
        <v>67976795.69999999</v>
      </c>
    </row>
    <row r="8" spans="1:11" ht="12.75">
      <c r="A8" s="8" t="s">
        <v>31</v>
      </c>
      <c r="B8" s="11">
        <v>6</v>
      </c>
      <c r="C8" s="35">
        <v>12000</v>
      </c>
      <c r="D8" s="35">
        <f t="shared" si="0"/>
        <v>864000</v>
      </c>
      <c r="E8" s="35">
        <f t="shared" si="2"/>
        <v>993599.9999999999</v>
      </c>
      <c r="F8" s="35">
        <f t="shared" si="2"/>
        <v>1142639.9999999998</v>
      </c>
      <c r="G8" s="35">
        <f t="shared" si="2"/>
        <v>1314035.9999999995</v>
      </c>
      <c r="H8" s="35">
        <f t="shared" si="2"/>
        <v>1511141.3999999994</v>
      </c>
      <c r="I8" s="35">
        <f t="shared" si="1"/>
        <v>5825417.399999999</v>
      </c>
      <c r="J8" s="35">
        <f>'Rozpočet výstavby'!H14</f>
        <v>8154000</v>
      </c>
      <c r="K8" s="35">
        <f t="shared" si="3"/>
        <v>13979417.399999999</v>
      </c>
    </row>
    <row r="9" spans="1:11" ht="12.75">
      <c r="A9" s="8" t="s">
        <v>32</v>
      </c>
      <c r="B9" s="11">
        <v>1</v>
      </c>
      <c r="C9" s="35">
        <v>12000</v>
      </c>
      <c r="D9" s="35">
        <f t="shared" si="0"/>
        <v>144000</v>
      </c>
      <c r="E9" s="35">
        <f t="shared" si="2"/>
        <v>165600</v>
      </c>
      <c r="F9" s="35">
        <f t="shared" si="2"/>
        <v>190439.99999999997</v>
      </c>
      <c r="G9" s="35">
        <f t="shared" si="2"/>
        <v>219005.99999999994</v>
      </c>
      <c r="H9" s="35">
        <f t="shared" si="2"/>
        <v>251856.8999999999</v>
      </c>
      <c r="I9" s="35">
        <f t="shared" si="1"/>
        <v>970902.8999999999</v>
      </c>
      <c r="J9" s="35">
        <f>'Rozpočet výstavby'!H15</f>
        <v>1359000</v>
      </c>
      <c r="K9" s="35">
        <f t="shared" si="3"/>
        <v>2329902.9</v>
      </c>
    </row>
    <row r="10" spans="1:11" ht="12.75">
      <c r="A10" s="8" t="s">
        <v>33</v>
      </c>
      <c r="B10" s="11">
        <v>1</v>
      </c>
      <c r="C10" s="35">
        <v>12000</v>
      </c>
      <c r="D10" s="35">
        <f t="shared" si="0"/>
        <v>144000</v>
      </c>
      <c r="E10" s="35">
        <f t="shared" si="2"/>
        <v>165600</v>
      </c>
      <c r="F10" s="35">
        <f t="shared" si="2"/>
        <v>190439.99999999997</v>
      </c>
      <c r="G10" s="35">
        <f t="shared" si="2"/>
        <v>219005.99999999994</v>
      </c>
      <c r="H10" s="35">
        <f t="shared" si="2"/>
        <v>251856.8999999999</v>
      </c>
      <c r="I10" s="35">
        <f t="shared" si="1"/>
        <v>970902.8999999999</v>
      </c>
      <c r="J10" s="35">
        <f>'Rozpočet výstavby'!H16</f>
        <v>1620000</v>
      </c>
      <c r="K10" s="35">
        <f t="shared" si="3"/>
        <v>2590902.9</v>
      </c>
    </row>
    <row r="11" spans="1:11" ht="12.75">
      <c r="A11" s="9" t="s">
        <v>18</v>
      </c>
      <c r="B11" s="12">
        <v>1</v>
      </c>
      <c r="C11" s="35">
        <v>0</v>
      </c>
      <c r="D11" s="51">
        <f t="shared" si="0"/>
        <v>0</v>
      </c>
      <c r="E11" s="35">
        <f t="shared" si="2"/>
        <v>0</v>
      </c>
      <c r="F11" s="35">
        <f t="shared" si="2"/>
        <v>0</v>
      </c>
      <c r="G11" s="35">
        <f t="shared" si="2"/>
        <v>0</v>
      </c>
      <c r="H11" s="35">
        <f t="shared" si="2"/>
        <v>0</v>
      </c>
      <c r="I11" s="35">
        <f t="shared" si="1"/>
        <v>0</v>
      </c>
      <c r="J11" s="35">
        <f>'Rozpočet výstavby'!H17</f>
        <v>9807200</v>
      </c>
      <c r="K11" s="35">
        <f t="shared" si="3"/>
        <v>9807200</v>
      </c>
    </row>
    <row r="12" spans="1:11" ht="12.75">
      <c r="A12" s="8" t="s">
        <v>6</v>
      </c>
      <c r="B12" s="12">
        <v>1</v>
      </c>
      <c r="C12" s="35">
        <v>0</v>
      </c>
      <c r="D12" s="51">
        <f t="shared" si="0"/>
        <v>0</v>
      </c>
      <c r="E12" s="35">
        <f aca="true" t="shared" si="4" ref="E12:H14">D12*E$3</f>
        <v>0</v>
      </c>
      <c r="F12" s="35">
        <f t="shared" si="4"/>
        <v>0</v>
      </c>
      <c r="G12" s="35">
        <f t="shared" si="4"/>
        <v>0</v>
      </c>
      <c r="H12" s="35">
        <f t="shared" si="4"/>
        <v>0</v>
      </c>
      <c r="I12" s="35">
        <f t="shared" si="1"/>
        <v>0</v>
      </c>
      <c r="J12" s="35">
        <f>'Rozpočet výstavby'!H18</f>
        <v>608000</v>
      </c>
      <c r="K12" s="35">
        <f t="shared" si="3"/>
        <v>608000</v>
      </c>
    </row>
    <row r="13" spans="1:11" ht="12.75">
      <c r="A13" s="8" t="s">
        <v>9</v>
      </c>
      <c r="B13" s="12">
        <v>1</v>
      </c>
      <c r="C13" s="35">
        <v>0</v>
      </c>
      <c r="D13" s="51">
        <f t="shared" si="0"/>
        <v>0</v>
      </c>
      <c r="E13" s="35">
        <f t="shared" si="4"/>
        <v>0</v>
      </c>
      <c r="F13" s="35">
        <f t="shared" si="4"/>
        <v>0</v>
      </c>
      <c r="G13" s="35">
        <f t="shared" si="4"/>
        <v>0</v>
      </c>
      <c r="H13" s="35">
        <f t="shared" si="4"/>
        <v>0</v>
      </c>
      <c r="I13" s="35">
        <f t="shared" si="1"/>
        <v>0</v>
      </c>
      <c r="J13" s="35">
        <f>'Rozpočet výstavby'!H19</f>
        <v>4400000</v>
      </c>
      <c r="K13" s="35">
        <f t="shared" si="3"/>
        <v>4400000</v>
      </c>
    </row>
    <row r="14" spans="1:11" ht="12.75">
      <c r="A14" s="54" t="s">
        <v>12</v>
      </c>
      <c r="B14" s="53">
        <v>75</v>
      </c>
      <c r="C14" s="36">
        <v>0</v>
      </c>
      <c r="D14" s="52">
        <f t="shared" si="0"/>
        <v>0</v>
      </c>
      <c r="E14" s="36">
        <f t="shared" si="4"/>
        <v>0</v>
      </c>
      <c r="F14" s="36">
        <f t="shared" si="4"/>
        <v>0</v>
      </c>
      <c r="G14" s="36">
        <f t="shared" si="4"/>
        <v>0</v>
      </c>
      <c r="H14" s="36">
        <f t="shared" si="4"/>
        <v>0</v>
      </c>
      <c r="I14" s="36">
        <f t="shared" si="1"/>
        <v>0</v>
      </c>
      <c r="J14" s="36">
        <f>'Rozpočet výstavby'!H20</f>
        <v>29375000</v>
      </c>
      <c r="K14" s="36">
        <f t="shared" si="3"/>
        <v>29375000</v>
      </c>
    </row>
    <row r="15" spans="1:11" s="30" customFormat="1" ht="12.75">
      <c r="A15" s="56" t="s">
        <v>39</v>
      </c>
      <c r="B15" s="56"/>
      <c r="C15" s="56"/>
      <c r="D15" s="57">
        <f aca="true" t="shared" si="5" ref="D15:I15">SUM(D4:D14)</f>
        <v>10800000</v>
      </c>
      <c r="E15" s="57">
        <f t="shared" si="5"/>
        <v>12420000</v>
      </c>
      <c r="F15" s="57">
        <f t="shared" si="5"/>
        <v>14282999.999999998</v>
      </c>
      <c r="G15" s="57">
        <f t="shared" si="5"/>
        <v>16425449.999999996</v>
      </c>
      <c r="H15" s="57">
        <f t="shared" si="5"/>
        <v>18889267.499999993</v>
      </c>
      <c r="I15" s="57">
        <f t="shared" si="5"/>
        <v>72817717.50000001</v>
      </c>
      <c r="J15" s="57">
        <f>SUM(J4:J14)</f>
        <v>132486200</v>
      </c>
      <c r="K15" s="57">
        <f>SUM(K6:K14)</f>
        <v>201103917.5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scale="86" r:id="rId1"/>
  <headerFooter alignWithMargins="0">
    <oddHeader>&amp;LTabuľka č. 3&amp;CObytný súbor Záhorská Bystrica&amp;R&amp;A</oddHeader>
    <oddFooter>&amp;L12.10.2005&amp;R&amp;P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G28" sqref="G28"/>
    </sheetView>
  </sheetViews>
  <sheetFormatPr defaultColWidth="9.00390625" defaultRowHeight="12.75" outlineLevelRow="1"/>
  <cols>
    <col min="1" max="1" width="16.875" style="0" bestFit="1" customWidth="1"/>
    <col min="2" max="2" width="6.125" style="0" bestFit="1" customWidth="1"/>
    <col min="3" max="3" width="7.25390625" style="0" bestFit="1" customWidth="1"/>
    <col min="4" max="4" width="8.00390625" style="0" customWidth="1"/>
    <col min="5" max="5" width="9.25390625" style="0" bestFit="1" customWidth="1"/>
    <col min="6" max="6" width="5.75390625" style="0" bestFit="1" customWidth="1"/>
    <col min="7" max="7" width="10.875" style="0" customWidth="1"/>
    <col min="9" max="10" width="7.625" style="0" bestFit="1" customWidth="1"/>
  </cols>
  <sheetData>
    <row r="1" spans="1:15" ht="12.75">
      <c r="A1" s="86"/>
      <c r="B1" s="86"/>
      <c r="C1" s="86"/>
      <c r="D1" s="86"/>
      <c r="E1" s="86"/>
      <c r="F1" s="86"/>
      <c r="G1" s="86"/>
      <c r="H1" s="86" t="s">
        <v>86</v>
      </c>
      <c r="I1" s="86">
        <v>1</v>
      </c>
      <c r="J1" s="86">
        <v>1.15</v>
      </c>
      <c r="K1" s="86">
        <v>1.15</v>
      </c>
      <c r="L1" s="86">
        <v>1.15</v>
      </c>
      <c r="M1" s="86">
        <v>1.15</v>
      </c>
      <c r="N1" s="86">
        <v>1.15</v>
      </c>
      <c r="O1" s="86">
        <v>1.15</v>
      </c>
    </row>
    <row r="2" spans="1:15" s="88" customFormat="1" ht="25.5">
      <c r="A2" s="87" t="s">
        <v>71</v>
      </c>
      <c r="B2" s="87" t="s">
        <v>78</v>
      </c>
      <c r="C2" s="87" t="s">
        <v>88</v>
      </c>
      <c r="D2" s="87" t="s">
        <v>75</v>
      </c>
      <c r="E2" s="87" t="s">
        <v>73</v>
      </c>
      <c r="F2" s="87" t="s">
        <v>87</v>
      </c>
      <c r="G2" s="87" t="s">
        <v>74</v>
      </c>
      <c r="H2" s="87">
        <v>2005</v>
      </c>
      <c r="I2" s="87">
        <v>2006</v>
      </c>
      <c r="J2" s="87">
        <v>2007</v>
      </c>
      <c r="K2" s="87">
        <v>2008</v>
      </c>
      <c r="L2" s="87">
        <v>2009</v>
      </c>
      <c r="M2" s="87">
        <v>2010</v>
      </c>
      <c r="N2" s="87">
        <v>2011</v>
      </c>
      <c r="O2" s="87" t="s">
        <v>28</v>
      </c>
    </row>
    <row r="3" spans="1:15" ht="12.75">
      <c r="A3" s="75" t="s">
        <v>72</v>
      </c>
      <c r="B3" s="75">
        <v>1</v>
      </c>
      <c r="C3" s="75">
        <v>100000</v>
      </c>
      <c r="D3" s="75">
        <f>B3*C3</f>
        <v>100000</v>
      </c>
      <c r="E3" s="76">
        <v>1</v>
      </c>
      <c r="F3" s="76">
        <v>4.5</v>
      </c>
      <c r="G3" s="76">
        <f>E3*F3*2</f>
        <v>9</v>
      </c>
      <c r="H3" s="77"/>
      <c r="I3" s="77">
        <f>D3*G3</f>
        <v>900000</v>
      </c>
      <c r="J3" s="77"/>
      <c r="K3" s="77"/>
      <c r="L3" s="77"/>
      <c r="M3" s="77"/>
      <c r="N3" s="77"/>
      <c r="O3" s="77">
        <f>SUM(H3:N3)</f>
        <v>900000</v>
      </c>
    </row>
    <row r="4" spans="1:15" ht="12.75">
      <c r="A4" s="1" t="s">
        <v>76</v>
      </c>
      <c r="B4" s="1">
        <v>1</v>
      </c>
      <c r="C4" s="1"/>
      <c r="D4" s="1">
        <f>D3-D10-D12</f>
        <v>86901</v>
      </c>
      <c r="E4" s="78">
        <v>0.1</v>
      </c>
      <c r="F4" s="78">
        <v>4.5</v>
      </c>
      <c r="G4" s="1">
        <f>E4*F4</f>
        <v>0.45</v>
      </c>
      <c r="H4" s="4"/>
      <c r="I4" s="4"/>
      <c r="J4" s="4">
        <f>D4*G4*J1</f>
        <v>44971.2675</v>
      </c>
      <c r="K4" s="4">
        <f>J4*K1</f>
        <v>51716.957624999995</v>
      </c>
      <c r="L4" s="4">
        <f>K4*L1</f>
        <v>59474.50126874999</v>
      </c>
      <c r="M4" s="4">
        <f>L4*M1</f>
        <v>68395.67645906248</v>
      </c>
      <c r="N4" s="4">
        <f>M4*N1</f>
        <v>78655.02792792185</v>
      </c>
      <c r="O4" s="4">
        <f>SUM(H4:N4)</f>
        <v>303213.43078073434</v>
      </c>
    </row>
    <row r="5" spans="1:15" s="73" customFormat="1" ht="11.25" hidden="1" outlineLevel="1">
      <c r="A5" s="79" t="s">
        <v>79</v>
      </c>
      <c r="B5" s="79">
        <v>1</v>
      </c>
      <c r="C5" s="79">
        <v>210</v>
      </c>
      <c r="D5" s="79">
        <f>B5*C5</f>
        <v>210</v>
      </c>
      <c r="E5" s="80"/>
      <c r="F5" s="80"/>
      <c r="G5" s="79"/>
      <c r="H5" s="81"/>
      <c r="I5" s="81"/>
      <c r="J5" s="81"/>
      <c r="K5" s="81"/>
      <c r="L5" s="81"/>
      <c r="M5" s="81"/>
      <c r="N5" s="81"/>
      <c r="O5" s="81"/>
    </row>
    <row r="6" spans="1:15" s="73" customFormat="1" ht="11.25" hidden="1" outlineLevel="1">
      <c r="A6" s="79" t="s">
        <v>80</v>
      </c>
      <c r="B6" s="79">
        <v>1</v>
      </c>
      <c r="C6" s="79">
        <v>135</v>
      </c>
      <c r="D6" s="79">
        <f>B6*C6</f>
        <v>135</v>
      </c>
      <c r="E6" s="80"/>
      <c r="F6" s="80"/>
      <c r="G6" s="79"/>
      <c r="H6" s="81"/>
      <c r="I6" s="81"/>
      <c r="J6" s="81"/>
      <c r="K6" s="81"/>
      <c r="L6" s="81"/>
      <c r="M6" s="81"/>
      <c r="N6" s="81"/>
      <c r="O6" s="81"/>
    </row>
    <row r="7" spans="1:15" s="73" customFormat="1" ht="11.25" hidden="1" outlineLevel="1">
      <c r="A7" s="79" t="s">
        <v>81</v>
      </c>
      <c r="B7" s="79">
        <v>6</v>
      </c>
      <c r="C7" s="79">
        <v>135</v>
      </c>
      <c r="D7" s="79">
        <f>B7*C7</f>
        <v>810</v>
      </c>
      <c r="E7" s="80"/>
      <c r="F7" s="80"/>
      <c r="G7" s="79"/>
      <c r="H7" s="81"/>
      <c r="I7" s="81"/>
      <c r="J7" s="81"/>
      <c r="K7" s="81"/>
      <c r="L7" s="81"/>
      <c r="M7" s="81"/>
      <c r="N7" s="81"/>
      <c r="O7" s="81"/>
    </row>
    <row r="8" spans="1:15" s="73" customFormat="1" ht="11.25" hidden="1" outlineLevel="1">
      <c r="A8" s="79" t="s">
        <v>82</v>
      </c>
      <c r="B8" s="79">
        <v>34</v>
      </c>
      <c r="C8" s="79">
        <v>161</v>
      </c>
      <c r="D8" s="79">
        <f>B8*C8</f>
        <v>5474</v>
      </c>
      <c r="E8" s="80"/>
      <c r="F8" s="80"/>
      <c r="G8" s="79"/>
      <c r="H8" s="81"/>
      <c r="I8" s="81"/>
      <c r="J8" s="81"/>
      <c r="K8" s="81"/>
      <c r="L8" s="81"/>
      <c r="M8" s="81"/>
      <c r="N8" s="81"/>
      <c r="O8" s="81"/>
    </row>
    <row r="9" spans="1:15" s="73" customFormat="1" ht="11.25" hidden="1" outlineLevel="1">
      <c r="A9" s="79" t="s">
        <v>83</v>
      </c>
      <c r="B9" s="79">
        <v>33</v>
      </c>
      <c r="C9" s="79">
        <v>159</v>
      </c>
      <c r="D9" s="79">
        <f>B9*C9</f>
        <v>5247</v>
      </c>
      <c r="E9" s="80"/>
      <c r="F9" s="80"/>
      <c r="G9" s="79"/>
      <c r="H9" s="81"/>
      <c r="I9" s="81"/>
      <c r="J9" s="81"/>
      <c r="K9" s="81"/>
      <c r="L9" s="81"/>
      <c r="M9" s="81"/>
      <c r="N9" s="81"/>
      <c r="O9" s="81"/>
    </row>
    <row r="10" spans="1:15" ht="12.75" collapsed="1">
      <c r="A10" s="1" t="s">
        <v>77</v>
      </c>
      <c r="B10" s="1">
        <f>SUM(B5:B9)</f>
        <v>75</v>
      </c>
      <c r="C10" s="1">
        <f>SUM(C5:C9)</f>
        <v>800</v>
      </c>
      <c r="D10" s="1">
        <f>SUM(D5:D9)</f>
        <v>11876</v>
      </c>
      <c r="E10" s="78">
        <f>1.5+10</f>
        <v>11.5</v>
      </c>
      <c r="F10" s="78">
        <v>4.5</v>
      </c>
      <c r="G10" s="1">
        <f>E10*F10</f>
        <v>51.75</v>
      </c>
      <c r="H10" s="4"/>
      <c r="I10" s="4"/>
      <c r="J10" s="4">
        <f>D10*G10*J1</f>
        <v>706770.45</v>
      </c>
      <c r="K10" s="4">
        <f>J10*K1</f>
        <v>812786.0174999998</v>
      </c>
      <c r="L10" s="4">
        <f>K10*L1</f>
        <v>934703.9201249997</v>
      </c>
      <c r="M10" s="4">
        <f>L10*M1</f>
        <v>1074909.5081437496</v>
      </c>
      <c r="N10" s="4">
        <f>M10*N1</f>
        <v>1236145.9343653119</v>
      </c>
      <c r="O10" s="4">
        <f>SUM(H10:N10)</f>
        <v>4765315.830134061</v>
      </c>
    </row>
    <row r="11" spans="1:15" s="73" customFormat="1" ht="11.25" hidden="1" outlineLevel="1">
      <c r="A11" s="79" t="s">
        <v>84</v>
      </c>
      <c r="B11" s="79">
        <v>1</v>
      </c>
      <c r="C11" s="79">
        <v>1223</v>
      </c>
      <c r="D11" s="79">
        <f>B11*C11</f>
        <v>1223</v>
      </c>
      <c r="E11" s="80"/>
      <c r="F11" s="80"/>
      <c r="G11" s="79"/>
      <c r="H11" s="81"/>
      <c r="I11" s="81"/>
      <c r="J11" s="81"/>
      <c r="K11" s="81"/>
      <c r="L11" s="81"/>
      <c r="M11" s="81"/>
      <c r="N11" s="81"/>
      <c r="O11" s="81"/>
    </row>
    <row r="12" spans="1:15" ht="12.75" collapsed="1">
      <c r="A12" s="82" t="s">
        <v>85</v>
      </c>
      <c r="B12" s="82">
        <f>SUM(B11)</f>
        <v>1</v>
      </c>
      <c r="C12" s="82">
        <f>SUM(C11)</f>
        <v>1223</v>
      </c>
      <c r="D12" s="82">
        <f>SUM(D11)</f>
        <v>1223</v>
      </c>
      <c r="E12" s="83">
        <f>15+10</f>
        <v>25</v>
      </c>
      <c r="F12" s="83">
        <v>4.5</v>
      </c>
      <c r="G12" s="83">
        <f>E12*F12</f>
        <v>112.5</v>
      </c>
      <c r="H12" s="84"/>
      <c r="I12" s="84"/>
      <c r="J12" s="84">
        <f>D12*G12*J1</f>
        <v>158225.625</v>
      </c>
      <c r="K12" s="84">
        <f>J12*K1</f>
        <v>181959.46875</v>
      </c>
      <c r="L12" s="84">
        <f>K12*L1</f>
        <v>209253.38906249998</v>
      </c>
      <c r="M12" s="84">
        <f>L12*M1</f>
        <v>240641.39742187495</v>
      </c>
      <c r="N12" s="84">
        <f>M12*N1</f>
        <v>276737.60703515616</v>
      </c>
      <c r="O12" s="84">
        <f>SUM(H12:N12)</f>
        <v>1066817.487269531</v>
      </c>
    </row>
    <row r="13" spans="8:15" s="85" customFormat="1" ht="12.75">
      <c r="H13" s="89"/>
      <c r="I13" s="89">
        <f>I3+I4+I10+I12</f>
        <v>900000</v>
      </c>
      <c r="J13" s="89">
        <f aca="true" t="shared" si="0" ref="J13:O13">J3+J4+J10+J12</f>
        <v>909967.3424999999</v>
      </c>
      <c r="K13" s="89">
        <f t="shared" si="0"/>
        <v>1046462.4438749999</v>
      </c>
      <c r="L13" s="89">
        <f t="shared" si="0"/>
        <v>1203431.8104562496</v>
      </c>
      <c r="M13" s="89">
        <f t="shared" si="0"/>
        <v>1383946.582024687</v>
      </c>
      <c r="N13" s="89">
        <f t="shared" si="0"/>
        <v>1591538.5693283898</v>
      </c>
      <c r="O13" s="89">
        <f t="shared" si="0"/>
        <v>7035346.748184326</v>
      </c>
    </row>
  </sheetData>
  <printOptions/>
  <pageMargins left="0.75" right="0.75" top="1" bottom="1" header="0.5" footer="0.5"/>
  <pageSetup horizontalDpi="600" verticalDpi="600" orientation="landscape" paperSize="9" scale="98" r:id="rId1"/>
  <headerFooter alignWithMargins="0">
    <oddHeader>&amp;LTabuľka č. 3&amp;CUbytovanie pre zahraničných investorov&amp;R&amp;A</oddHeader>
    <oddFooter>&amp;L8.11.2005&amp;R&amp;P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EURODESIGN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sirotiak</dc:creator>
  <cp:keywords/>
  <dc:description/>
  <cp:lastModifiedBy>gustafikova</cp:lastModifiedBy>
  <cp:lastPrinted>2005-12-09T13:11:56Z</cp:lastPrinted>
  <dcterms:created xsi:type="dcterms:W3CDTF">2005-08-22T09:54:47Z</dcterms:created>
  <dcterms:modified xsi:type="dcterms:W3CDTF">2006-01-27T10:53:57Z</dcterms:modified>
  <cp:category/>
  <cp:version/>
  <cp:contentType/>
  <cp:contentStatus/>
</cp:coreProperties>
</file>