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5925" windowWidth="19140" windowHeight="5985" tabRatio="960" activeTab="0"/>
  </bookViews>
  <sheets>
    <sheet name="S.13" sheetId="34" r:id="rId1"/>
    <sheet name="ŠR" sheetId="4" r:id="rId2"/>
    <sheet name="ŠFA" sheetId="5" r:id="rId3"/>
    <sheet name="MRÚ" sheetId="28" r:id="rId4"/>
    <sheet name="NJF" sheetId="26" r:id="rId5"/>
    <sheet name="ŠFRB" sheetId="25" r:id="rId6"/>
    <sheet name="Envir" sheetId="6" r:id="rId7"/>
    <sheet name="FNM" sheetId="7" r:id="rId8"/>
    <sheet name="SPF" sheetId="8" r:id="rId9"/>
    <sheet name="SKA" sheetId="9" r:id="rId10"/>
    <sheet name="VVŠ" sheetId="11" r:id="rId11"/>
    <sheet name="POŠ" sheetId="12" r:id="rId12"/>
    <sheet name="ÚDZS" sheetId="13" r:id="rId13"/>
    <sheet name="ÚPN" sheetId="14" r:id="rId14"/>
    <sheet name="SNSĽP" sheetId="15" r:id="rId15"/>
    <sheet name="STV" sheetId="30" r:id="rId16"/>
    <sheet name="SRo" sheetId="29" r:id="rId17"/>
    <sheet name="UDVA" sheetId="32" r:id="rId18"/>
    <sheet name="RTVS" sheetId="31" r:id="rId19"/>
    <sheet name="TASR" sheetId="36" r:id="rId20"/>
    <sheet name="AVF" sheetId="35" r:id="rId21"/>
    <sheet name="VÚC" sheetId="16" r:id="rId22"/>
    <sheet name="POvúc" sheetId="17" r:id="rId23"/>
    <sheet name="Obce" sheetId="18" r:id="rId24"/>
    <sheet name="POO" sheetId="20" r:id="rId25"/>
    <sheet name="NOO" sheetId="37" r:id="rId26"/>
    <sheet name="SoPo" sheetId="22" r:id="rId27"/>
    <sheet name="ZdPo" sheetId="21" r:id="rId28"/>
    <sheet name="Skut vs. rozpoč" sheetId="38" r:id="rId29"/>
    <sheet name="Hárok1" sheetId="39" r:id="rId30"/>
  </sheets>
  <externalReferences>
    <externalReference r:id="rId33"/>
  </externalReferences>
  <definedNames>
    <definedName name="_xlnm.Print_Area" localSheetId="20">'AVF'!$B$1:$G$93</definedName>
    <definedName name="_xlnm.Print_Area" localSheetId="6">'Envir'!$B$1:$G$92</definedName>
    <definedName name="_xlnm.Print_Area" localSheetId="7">'FNM'!$B$1:$G$94</definedName>
    <definedName name="_xlnm.Print_Area" localSheetId="3">'MRÚ'!$B$1:$G$58</definedName>
    <definedName name="_xlnm.Print_Area" localSheetId="4">'NJF'!$B$1:$G$92</definedName>
    <definedName name="_xlnm.Print_Area" localSheetId="25">'NOO'!$B$1:$G$91</definedName>
    <definedName name="_xlnm.Print_Area" localSheetId="23">'Obce'!$B$1:$G$93</definedName>
    <definedName name="_xlnm.Print_Area" localSheetId="24">'POO'!$A$1:$F$92</definedName>
    <definedName name="_xlnm.Print_Area" localSheetId="11">'POŠ'!$B$1:$G$93</definedName>
    <definedName name="_xlnm.Print_Area" localSheetId="22">'POvúc'!$B$1:$G$92</definedName>
    <definedName name="_xlnm.Print_Area" localSheetId="18">'RTVS'!$B$2:$G$93</definedName>
    <definedName name="_xlnm.Print_Area" localSheetId="0">'S.13'!$B$1:$G$101</definedName>
    <definedName name="_xlnm.Print_Area" localSheetId="9">'SKA'!$B$1:$G$95</definedName>
    <definedName name="_xlnm.Print_Area" localSheetId="28">'Skut vs. rozpoč'!$A$1:$AB$69</definedName>
    <definedName name="_xlnm.Print_Area" localSheetId="14">'SNSĽP'!$B$1:$G$92</definedName>
    <definedName name="_xlnm.Print_Area" localSheetId="26">'SoPo'!$B$1:$G$98</definedName>
    <definedName name="_xlnm.Print_Area" localSheetId="8">'SPF'!$B$1:$G$92</definedName>
    <definedName name="_xlnm.Print_Area" localSheetId="16">'SRo'!$B$1:$G$91</definedName>
    <definedName name="_xlnm.Print_Area" localSheetId="15">'STV'!$B$1:$G$93</definedName>
    <definedName name="_xlnm.Print_Area" localSheetId="2">'ŠFA'!$B$1:$G$34</definedName>
    <definedName name="_xlnm.Print_Area" localSheetId="5">'ŠFRB'!$B$1:$G$91</definedName>
    <definedName name="_xlnm.Print_Area" localSheetId="1">'ŠR'!$B$1:$G$137</definedName>
    <definedName name="_xlnm.Print_Area" localSheetId="19">'TASR'!$B$1:$G$93</definedName>
    <definedName name="_xlnm.Print_Area" localSheetId="17">'UDVA'!$B$1:$G$92</definedName>
    <definedName name="_xlnm.Print_Area" localSheetId="12">'ÚDZS'!$B$1:$G$92</definedName>
    <definedName name="_xlnm.Print_Area" localSheetId="13">'ÚPN'!$B$1:$G$92</definedName>
    <definedName name="_xlnm.Print_Area" localSheetId="21">'VÚC'!$B$1:$G$96</definedName>
    <definedName name="_xlnm.Print_Area" localSheetId="10">'VVŠ'!$B$1:$G$92</definedName>
    <definedName name="_xlnm.Print_Area" localSheetId="27">'ZdPo'!$A$1:$F$102</definedName>
  </definedNames>
  <calcPr calcId="125725"/>
</workbook>
</file>

<file path=xl/comments2.xml><?xml version="1.0" encoding="utf-8"?>
<comments xmlns="http://schemas.openxmlformats.org/spreadsheetml/2006/main">
  <authors>
    <author>pbeno</author>
  </authors>
  <commentList>
    <comment ref="G76" authorId="0">
      <text>
        <r>
          <rPr>
            <b/>
            <sz val="8"/>
            <rFont val="Tahoma"/>
            <family val="2"/>
          </rPr>
          <t>na pasíva okrom vkladov dobrovolných musíme doplniť aj vklady ostatných klientov zo sektora-VS, zdrav, VUC</t>
        </r>
      </text>
    </comment>
    <comment ref="G80" authorId="0">
      <text>
        <r>
          <rPr>
            <b/>
            <sz val="8"/>
            <rFont val="Tahoma"/>
            <family val="2"/>
          </rPr>
          <t>pbeno:</t>
        </r>
        <r>
          <rPr>
            <sz val="8"/>
            <rFont val="Tahoma"/>
            <family val="2"/>
          </rPr>
          <t xml:space="preserve">
na pasíva okrom vkladov dobrovolných musíme doplniť aj vklady ostatných klientov zo sektora-VS, zdrav, VUC</t>
        </r>
      </text>
    </comment>
  </commentList>
</comments>
</file>

<file path=xl/comments22.xml><?xml version="1.0" encoding="utf-8"?>
<comments xmlns="http://schemas.openxmlformats.org/spreadsheetml/2006/main">
  <authors>
    <author>dilavska</author>
  </authors>
  <commentList>
    <comment ref="G45" authorId="0">
      <text>
        <r>
          <rPr>
            <b/>
            <sz val="8"/>
            <rFont val="Tahoma"/>
            <family val="2"/>
          </rPr>
          <t>dilavska:</t>
        </r>
        <r>
          <rPr>
            <sz val="8"/>
            <rFont val="Tahoma"/>
            <family val="2"/>
          </rPr>
          <t xml:space="preserve">
túto splátku nedali do VUC TT do Fin 1-04, ale patrí sem</t>
        </r>
      </text>
    </comment>
  </commentList>
</comments>
</file>

<file path=xl/comments25.xml><?xml version="1.0" encoding="utf-8"?>
<comments xmlns="http://schemas.openxmlformats.org/spreadsheetml/2006/main">
  <authors>
    <author>dilavska</author>
  </authors>
  <commentList>
    <comment ref="F46" authorId="0">
      <text>
        <r>
          <rPr>
            <b/>
            <sz val="8"/>
            <rFont val="Tahoma"/>
            <family val="2"/>
          </rPr>
          <t>dilavska:</t>
        </r>
        <r>
          <rPr>
            <sz val="8"/>
            <rFont val="Tahoma"/>
            <family val="2"/>
          </rPr>
          <t xml:space="preserve">
PO Dombyt Čadca nesprávne zaklasifikovala splátku úveru, preto presúvam do EK 820</t>
        </r>
      </text>
    </comment>
  </commentList>
</comments>
</file>

<file path=xl/comments27.xml><?xml version="1.0" encoding="utf-8"?>
<comments xmlns="http://schemas.openxmlformats.org/spreadsheetml/2006/main">
  <authors>
    <author>dczikoova</author>
  </authors>
  <commentList>
    <comment ref="F12" authorId="0">
      <text>
        <r>
          <rPr>
            <b/>
            <sz val="8"/>
            <rFont val="Tahoma"/>
            <family val="2"/>
          </rPr>
          <t>dczikoova:</t>
        </r>
        <r>
          <rPr>
            <sz val="8"/>
            <rFont val="Tahoma"/>
            <family val="2"/>
          </rPr>
          <t xml:space="preserve">
vylúčiť vnútorný transfer 943500</t>
        </r>
      </text>
    </comment>
    <comment ref="F19" authorId="0">
      <text>
        <r>
          <rPr>
            <b/>
            <sz val="8"/>
            <rFont val="Tahoma"/>
            <family val="2"/>
          </rPr>
          <t>dczikoova:</t>
        </r>
        <r>
          <rPr>
            <sz val="8"/>
            <rFont val="Tahoma"/>
            <family val="2"/>
          </rPr>
          <t xml:space="preserve">
vylúčený vnútorný transfer</t>
        </r>
      </text>
    </comment>
  </commentList>
</comments>
</file>

<file path=xl/comments9.xml><?xml version="1.0" encoding="utf-8"?>
<comments xmlns="http://schemas.openxmlformats.org/spreadsheetml/2006/main">
  <authors>
    <author>dilavska</author>
  </authors>
  <commentList>
    <comment ref="G57" authorId="0">
      <text>
        <r>
          <rPr>
            <b/>
            <sz val="8"/>
            <rFont val="Tahoma"/>
            <family val="2"/>
          </rPr>
          <t>dilavska:</t>
        </r>
        <r>
          <rPr>
            <sz val="8"/>
            <rFont val="Tahoma"/>
            <family val="2"/>
          </rPr>
          <t xml:space="preserve">
vrátenie pohľ. z privatizácie a záväzkov z depozit. fondu, kt. neovplyvňujú B9</t>
        </r>
      </text>
    </comment>
  </commentList>
</comments>
</file>

<file path=xl/sharedStrings.xml><?xml version="1.0" encoding="utf-8"?>
<sst xmlns="http://schemas.openxmlformats.org/spreadsheetml/2006/main" count="2428" uniqueCount="298">
  <si>
    <t>z toho:</t>
  </si>
  <si>
    <t>Sociálna poisťovňa</t>
  </si>
  <si>
    <t>Ústav pamäti národa</t>
  </si>
  <si>
    <t>·    pohľadávky</t>
  </si>
  <si>
    <t>·    záväzky</t>
  </si>
  <si>
    <t>Príjmy podľa ESA 95</t>
  </si>
  <si>
    <t>Výdavky podľa ESA 95</t>
  </si>
  <si>
    <t>·    pohľadávky (bez pohľadávok na poistnom)</t>
  </si>
  <si>
    <t xml:space="preserve">·    pohľadávky </t>
  </si>
  <si>
    <t xml:space="preserve">·    záväzky </t>
  </si>
  <si>
    <t>·    časové rozlíšenie prijatých úrokov (ážio)</t>
  </si>
  <si>
    <t>·    časové rozlíšenie daní</t>
  </si>
  <si>
    <t>·    kapitálový transfer platený - odpustenie pohľadávok voči zahraničiu</t>
  </si>
  <si>
    <t>·    tovarové deblokácie (splátky pohľadávok voči zahraničiu)</t>
  </si>
  <si>
    <t xml:space="preserve">·    pohľadávky </t>
  </si>
  <si>
    <t xml:space="preserve">·    záväzky </t>
  </si>
  <si>
    <t>·    medziročná zmena stavu pohľadávok voči EU - priame platby</t>
  </si>
  <si>
    <t>Štátny rozpočet</t>
  </si>
  <si>
    <t>Verejné vysoké školy</t>
  </si>
  <si>
    <t>Obce</t>
  </si>
  <si>
    <t>2.2.1. Štátny rozpočet</t>
  </si>
  <si>
    <t>príjmové finančné operácie (úbytok aktív)</t>
  </si>
  <si>
    <t>·  Cenné papiere okrem akcií</t>
  </si>
  <si>
    <t>·  Pôžičky</t>
  </si>
  <si>
    <t>·  Akcie a ostatné podiely</t>
  </si>
  <si>
    <t>výdavkové finančné operácie (prírastok aktív)</t>
  </si>
  <si>
    <t>príjmové finančné operácie (prírastok pasív)</t>
  </si>
  <si>
    <t>výdavkové finančné operácie (úbytok pasív)</t>
  </si>
  <si>
    <t>Zmena stavu na bankových účtoch</t>
  </si>
  <si>
    <t>·   100 daňové príjmy</t>
  </si>
  <si>
    <t xml:space="preserve">·    200 nedaňové príjmy </t>
  </si>
  <si>
    <t xml:space="preserve">·    300 granty a transfery </t>
  </si>
  <si>
    <t>·    600 bežné výdavky</t>
  </si>
  <si>
    <t>·    700 kapitálové výdavky</t>
  </si>
  <si>
    <t xml:space="preserve">           610, 620 mzdy a poistné</t>
  </si>
  <si>
    <t xml:space="preserve">           630 tovary a služby</t>
  </si>
  <si>
    <t xml:space="preserve">           640 bežné transfery</t>
  </si>
  <si>
    <t xml:space="preserve">           650 úroky</t>
  </si>
  <si>
    <t xml:space="preserve">           710 obstarávanie kapitálových aktív</t>
  </si>
  <si>
    <t xml:space="preserve">           720 kapitálové transfery</t>
  </si>
  <si>
    <t xml:space="preserve">           220 administratívne a iné poplatky</t>
  </si>
  <si>
    <t xml:space="preserve">           230 kapitálové príjmy</t>
  </si>
  <si>
    <t xml:space="preserve">           240 úroky</t>
  </si>
  <si>
    <t xml:space="preserve">           290 iné nedaňové príjmy</t>
  </si>
  <si>
    <t xml:space="preserve">           210 príjmy z podnikania a vlastníctva majetku</t>
  </si>
  <si>
    <t>2.2.2.  Štátne finančné aktíva</t>
  </si>
  <si>
    <t>príjmy</t>
  </si>
  <si>
    <t>výdavky</t>
  </si>
  <si>
    <t xml:space="preserve">                  z toho: výdavky poistenia</t>
  </si>
  <si>
    <t xml:space="preserve">           240, 250 úroky</t>
  </si>
  <si>
    <t>·    vylúčenie EU tokov z príjmov</t>
  </si>
  <si>
    <t>·    vylúčenie EU tokov z výdavkov</t>
  </si>
  <si>
    <t xml:space="preserve">           640 bežné transfery </t>
  </si>
  <si>
    <t>2.2.3. Mimorozpočtové účty</t>
  </si>
  <si>
    <t>2.2.5. Štátny fond rozvoja bývania</t>
  </si>
  <si>
    <t>2.2.6. Environmentálny fond</t>
  </si>
  <si>
    <t>2.2.7. Fond národného majetku SR</t>
  </si>
  <si>
    <t>2.2.8. Slovenský pozemkový fond</t>
  </si>
  <si>
    <t>2.2.9. Slovenská konsolidačná, a.s.</t>
  </si>
  <si>
    <t>2.2.10. Verejné vysoké školy</t>
  </si>
  <si>
    <t>2.2.11. Príspevkové organizácie štátu zaradené do sektora</t>
  </si>
  <si>
    <t>2.2.12. Úrad pre dohľad nad zdravotnou starostlivosťou</t>
  </si>
  <si>
    <t>2.2.13 Ústav pamäti národa</t>
  </si>
  <si>
    <t>2.2.14. Slovenské národné stredisko pre ľudské práva</t>
  </si>
  <si>
    <t>2.2.15. Slovenská televízia</t>
  </si>
  <si>
    <t>2.2.16. Slovenský rozhlas</t>
  </si>
  <si>
    <t>Slovenský rozhlas</t>
  </si>
  <si>
    <t xml:space="preserve">·    300 granty a transfery  </t>
  </si>
  <si>
    <t>·  Obeživo a vklady</t>
  </si>
  <si>
    <t xml:space="preserve">·    100 daňové príjmy </t>
  </si>
  <si>
    <t>·    100 daňové príjmy</t>
  </si>
  <si>
    <t xml:space="preserve">2.2.4. Národný jadrový fond </t>
  </si>
  <si>
    <t>·    akrualizácia výnosového úroku zo zahraničných pohľadávok</t>
  </si>
  <si>
    <t>·    časové rozlíšenie dividend</t>
  </si>
  <si>
    <t xml:space="preserve">           720 kapitálové transfery </t>
  </si>
  <si>
    <t>·    superdividenda</t>
  </si>
  <si>
    <t>·    vplyv akrualizácie poistného</t>
  </si>
  <si>
    <t>·   transfer neziskovým inštitúciam - 2% daní</t>
  </si>
  <si>
    <t xml:space="preserve">       nárast (+)</t>
  </si>
  <si>
    <t xml:space="preserve">       pokles (-)</t>
  </si>
  <si>
    <t>·  Ostatné finančné aktíva</t>
  </si>
  <si>
    <t>·  Čistý nárast ostatných záväzkov (-)</t>
  </si>
  <si>
    <t>·  Emisia nad (-)/pod (+) par</t>
  </si>
  <si>
    <t>·  Rozdiel medzi úrokom akruovaným (-) a plateným (+)</t>
  </si>
  <si>
    <t>·  Zhodnotenie (+)/znehodnotenie (-) dlhu v zahraničnej mene</t>
  </si>
  <si>
    <t>·  Ostatné zmeny v objeme finančných záväzkov</t>
  </si>
  <si>
    <t>·  Ostatné štatistické diskrepancie</t>
  </si>
  <si>
    <t xml:space="preserve">               príjmy zo splátok istín (410,420)</t>
  </si>
  <si>
    <t xml:space="preserve">               splátky úverov formou tovarových deblokácií</t>
  </si>
  <si>
    <t xml:space="preserve">               nákup akcií (814)</t>
  </si>
  <si>
    <t xml:space="preserve">               preklasifikované vklady do ZI</t>
  </si>
  <si>
    <t xml:space="preserve">               príjmy z predaja majetkových účastí (430,440,450)</t>
  </si>
  <si>
    <t xml:space="preserve">               akrualizácia daní</t>
  </si>
  <si>
    <t xml:space="preserve">               pohľadávky súvisiace s EU tokmi</t>
  </si>
  <si>
    <t xml:space="preserve">               pohľadávky z dividend</t>
  </si>
  <si>
    <t xml:space="preserve">               prijaté emisné ážio cash</t>
  </si>
  <si>
    <t xml:space="preserve">              emisný diskont</t>
  </si>
  <si>
    <t xml:space="preserve">               vplyv akrualizácie diskontu</t>
  </si>
  <si>
    <t xml:space="preserve">               vplyv akrualizácie úrokov</t>
  </si>
  <si>
    <t xml:space="preserve">               vplyv akruálneho ážia</t>
  </si>
  <si>
    <t>·  Obeživo a vklady:  ostatné obchody bánk</t>
  </si>
  <si>
    <t>·  Cenné papiere okrem akcií: príjmy z realizácie ost. finančného majetku (451)</t>
  </si>
  <si>
    <t>·  Pôžičky: príjmy zo splátok úverov- istín (410, 420)</t>
  </si>
  <si>
    <t>·  Akcie a ostatné podiely: príjmy z predaja majetkových účastí (430, 442, 452</t>
  </si>
  <si>
    <t>·  Obeživo a vklady: ostatné obchody bánk</t>
  </si>
  <si>
    <t>·  Cenné papiere okrem akcií: emisné ážio</t>
  </si>
  <si>
    <t>·  Pôžičky: poskytnuté úvery (811, 812, 813, 817, 818)</t>
  </si>
  <si>
    <t>·  Akcie a ostatné podiely: účasť na majetku-nákup akcií (814)</t>
  </si>
  <si>
    <t>·  Cenné papiere okrem akcií: emisia ŠPP a dlhopisov (511, 512)</t>
  </si>
  <si>
    <t>·  Pôžičky: prijaté bankové úvery a NFV (513, 514, 520)</t>
  </si>
  <si>
    <t>·  Cenné papiere okrem akcií: splácanie istín z ŠPP a dlhopisov (821001-003)</t>
  </si>
  <si>
    <t>·  Pôžičky: splácanie istín úverov (821004-007, 822, 823, 824)</t>
  </si>
  <si>
    <t xml:space="preserve">       pokles (-) </t>
  </si>
  <si>
    <t>·  Ostatné finančné aktíva: zmena stavu pohľadávok</t>
  </si>
  <si>
    <t>·  Akcie a ostatné podiely:  príjmy z predaja majetkových účastí (430, 442, 452)</t>
  </si>
  <si>
    <t>·  Cenné papiere okrem akcií: prijaté úvery zo ŠPP a dlhopisov (511, 512)</t>
  </si>
  <si>
    <t xml:space="preserve">       pokles (-): príjmy zo splátok istín (410,420) </t>
  </si>
  <si>
    <t xml:space="preserve">       nárast (+): nákup akcií (814)</t>
  </si>
  <si>
    <t xml:space="preserve">       pokles (-): príjmy z predaja majetkových účastí (430,440,450)</t>
  </si>
  <si>
    <t xml:space="preserve">Príjmy spolu </t>
  </si>
  <si>
    <t xml:space="preserve">Výdavky spolu </t>
  </si>
  <si>
    <t>Prebytok (+) / Schodok (-) (1-2)</t>
  </si>
  <si>
    <t xml:space="preserve"> zahrnutie položiek časového rozlíšenia pre nefinančný účet </t>
  </si>
  <si>
    <t>Čisté pôžičky (+) / Čisté výpožičky (-) (3+4+5)</t>
  </si>
  <si>
    <t>Čisté nadobudnutie finančných pasív na hotovostnej báze (11-12)</t>
  </si>
  <si>
    <t xml:space="preserve">zahrnutie položiek časového rozlíšenia pre financovanie </t>
  </si>
  <si>
    <t xml:space="preserve">Zmena stavu na bankových účtoch </t>
  </si>
  <si>
    <t>Čisté pôžičky (+) / Čisté výpožičky (-) z finančného účtu (7-10+13+14)</t>
  </si>
  <si>
    <t>Diskrepancia medzi  financovaním a schodkom (16-6)</t>
  </si>
  <si>
    <t xml:space="preserve">Čisté nadobudnutie finančných aktív na akruálnej báze (+) </t>
  </si>
  <si>
    <t xml:space="preserve">Úpravy na maastrichtský dlh </t>
  </si>
  <si>
    <t>Prebytok (+) / Schodok (-) 1-2)</t>
  </si>
  <si>
    <t>Čisté pôžičky (+) / Čisté výpožičky (-) (3+4+5+6+7)</t>
  </si>
  <si>
    <t>Čisté nadobudnutie finančných aktív na hotovostnej báze (9-8+15)</t>
  </si>
  <si>
    <t>Štatistické diskrepancie (22-18-19-20)</t>
  </si>
  <si>
    <t>Čisté pôžičky (-) / Čisté výpožičky (+) (=-6)</t>
  </si>
  <si>
    <t>Vybrané položky hospodárenia</t>
  </si>
  <si>
    <t xml:space="preserve"> saldo rozpočtových operácií ŠFA </t>
  </si>
  <si>
    <t xml:space="preserve"> saldo mimorozpočtových účtov </t>
  </si>
  <si>
    <t xml:space="preserve"> ostatné úpravy</t>
  </si>
  <si>
    <t xml:space="preserve">výdavkové finančné operácie (úbytok pasív) </t>
  </si>
  <si>
    <t xml:space="preserve">príjmové finančné operácie (prírastok pasív) </t>
  </si>
  <si>
    <t xml:space="preserve">výdavkové finančné operácie (prírastok aktív) </t>
  </si>
  <si>
    <t xml:space="preserve">príjmové finančné operácie (úbytok aktív) </t>
  </si>
  <si>
    <t>Čisté pôžičky (+) / Čisté výpožičky (-) z finančného účtu (9-12+15+16)</t>
  </si>
  <si>
    <t>Čisté nadobudnutie finančných aktív na hotovostnej báze (11-10+17)</t>
  </si>
  <si>
    <t>Čisté nadobudnutie finančných pasív na hotovostnej báze (13-14)</t>
  </si>
  <si>
    <t>zahrnutie položiek časového rozlíšenia pre financovanie</t>
  </si>
  <si>
    <t>Čisté pôžičky (-) / Čisté výpožičky (+) (=-8)</t>
  </si>
  <si>
    <t>Vplyv schodku na maastrichtský dlh</t>
  </si>
  <si>
    <t>Financovanie čistých pôžičiek/výpožičiek</t>
  </si>
  <si>
    <t>ostatné úpravy (=5)</t>
  </si>
  <si>
    <t>Diskrepancia medzi  financovaním a schodkom (18+19-8)</t>
  </si>
  <si>
    <t>Štatistické diskrepancie (25-21-22-23)</t>
  </si>
  <si>
    <t>Čisté pôžičky (+) / Čisté výpožičky (-) (=3)</t>
  </si>
  <si>
    <t>Financovanie Čistých pôžičiek/výpožičiek</t>
  </si>
  <si>
    <t>Financovanie MRÚ</t>
  </si>
  <si>
    <t>2.2.17. Úrad pre dohľad nad výkonom auditu</t>
  </si>
  <si>
    <t>Úrad pre dohľad nad výkonom auditu</t>
  </si>
  <si>
    <t>·  Rozdiel medzi financovaním a schodkom (=-17)</t>
  </si>
  <si>
    <t>·  Ostatné štatistické diskrepancie (21+17)</t>
  </si>
  <si>
    <t>2.2.18. RTVS, s. r. o.</t>
  </si>
  <si>
    <t>·  Akcie a ostatné podiely: prijaté vklady do ZI (456)</t>
  </si>
  <si>
    <t>·  Akcie a ostatné podiely: Zníženie ZI (819)</t>
  </si>
  <si>
    <t xml:space="preserve">           240,250 úroky</t>
  </si>
  <si>
    <t>·    časové rozlíšenie daní</t>
  </si>
  <si>
    <t>·  Ostatné zmeny v objeme dlhu</t>
  </si>
  <si>
    <t xml:space="preserve"> zahrnutie položiek časového rozlíšenia </t>
  </si>
  <si>
    <t>.  príjmy z prevzatých daňových pohľadávok</t>
  </si>
  <si>
    <t>Zmena stavu na bankových účtoch (verejné prostriedky)</t>
  </si>
  <si>
    <t>·    obstaranie kapitálových aktív prostr. lízingu</t>
  </si>
  <si>
    <t xml:space="preserve">       nárast (+) </t>
  </si>
  <si>
    <t xml:space="preserve">               Poskytnuté úvery (811, 812, 813, 817, 818)</t>
  </si>
  <si>
    <t xml:space="preserve">               akr. výnos. úroku zo zahraničných pohľadávok</t>
  </si>
  <si>
    <t xml:space="preserve">               kapitálový transfer platený - odpustenie pohľadávok voči zahraničiu</t>
  </si>
  <si>
    <t>·    odmena mandátorovi</t>
  </si>
  <si>
    <t>Medziročná zmena  maastrichtského dlhu (+) nárast (-) pokles</t>
  </si>
  <si>
    <t>·        platba za správu verejného zdravotného poistenia 
         súkromným zdrav. poisťovniam</t>
  </si>
  <si>
    <t xml:space="preserve">ostatné úpravy </t>
  </si>
  <si>
    <t>·  Rozdiel medzi financovaním a schodkom (=17)</t>
  </si>
  <si>
    <t>·  Rozdiel medzi financovaním a schodkom (=-20)</t>
  </si>
  <si>
    <t>2.2.19. TASR</t>
  </si>
  <si>
    <t>2.2.20. Audiovizuálny fond</t>
  </si>
  <si>
    <t>2.2.21. Vyššie územné celky</t>
  </si>
  <si>
    <t>2.2.22. Príspevkové organizácie VÚC zaradené do sektora</t>
  </si>
  <si>
    <t>2.2.23. Obce</t>
  </si>
  <si>
    <t>2.2.24. Príspevkové organizácie obcí zaradené do sektora</t>
  </si>
  <si>
    <t>Štátne finančné aktíva</t>
  </si>
  <si>
    <t>Tlačová agentúra SR</t>
  </si>
  <si>
    <t>·    záväzky (bez záväzkov na poistnom)</t>
  </si>
  <si>
    <t xml:space="preserve">       pokles (-): kapitálový transfer-nevymožiteľné pohľadávky z garančného poistenia</t>
  </si>
  <si>
    <t>Čisté pôžičky (+) / Čisté výpožičky (-) z finančného účtu (7-10)</t>
  </si>
  <si>
    <t>.    preklasifikovanie výdavku na splátku dodávat. úveru</t>
  </si>
  <si>
    <t>.    obstaranie kapitálových aktív prostr. dodávat. úveru</t>
  </si>
  <si>
    <t>·    výdavok na účte grantov a darov</t>
  </si>
  <si>
    <t>·  Obeživo a vklady:  vklady ŠP, Ardal a ÚRO v komerčných bankách</t>
  </si>
  <si>
    <t>·  Cenné papiere okrem akcií: emisia ŠPP a dlhopisov (511, 512,526)</t>
  </si>
  <si>
    <t xml:space="preserve">              alikvótny úrokový výnos</t>
  </si>
  <si>
    <t xml:space="preserve">               splátky úverov formou odmeny mandátorovi</t>
  </si>
  <si>
    <t>v tis. eur</t>
  </si>
  <si>
    <t>v tis. eur</t>
  </si>
  <si>
    <t xml:space="preserve">Financovanie čistých pôžičiek/výpožičiek </t>
  </si>
  <si>
    <t xml:space="preserve">Vplyv schodku na maastrichtský dlh </t>
  </si>
  <si>
    <t xml:space="preserve">               preklasifikované úvery</t>
  </si>
  <si>
    <t>2010 schválený rozpočet</t>
  </si>
  <si>
    <t>2010 skutočnosť</t>
  </si>
  <si>
    <t>2010     rozdiel</t>
  </si>
  <si>
    <t>2010    rozdiel</t>
  </si>
  <si>
    <t>2010schválený rozpočet</t>
  </si>
  <si>
    <t>.    Výdavky nezahrnuté do výkazu o príjmoch a výdavkoch</t>
  </si>
  <si>
    <t>2.2.25. Neziskové organizácie obcí zaradené do sektora</t>
  </si>
  <si>
    <t>.    obstaranie kapitálových aktív lízingom</t>
  </si>
  <si>
    <t>2.2.26. Sociálna poisťovňa</t>
  </si>
  <si>
    <t>SKUTOČNOSŤ</t>
  </si>
  <si>
    <t>Štátne fondy</t>
  </si>
  <si>
    <t>FNM</t>
  </si>
  <si>
    <t>SPF</t>
  </si>
  <si>
    <t>PO štátu</t>
  </si>
  <si>
    <t>Úrad pre dohľad nad ZS</t>
  </si>
  <si>
    <t>Slovenské národné stredisko pre ĽP</t>
  </si>
  <si>
    <t>Slovenská telelvízia</t>
  </si>
  <si>
    <t>RTVS, 
s. r. o.</t>
  </si>
  <si>
    <t>VÚC</t>
  </si>
  <si>
    <t>PO VÚC</t>
  </si>
  <si>
    <t>PO obce</t>
  </si>
  <si>
    <t>Spolu nekonsoli-dované</t>
  </si>
  <si>
    <t>Konsoli-dácia</t>
  </si>
  <si>
    <t>Spolu konsoli-dované</t>
  </si>
  <si>
    <t>Hotovostné príjmy</t>
  </si>
  <si>
    <t>daňové príjmy</t>
  </si>
  <si>
    <t>nedaňové príjmy</t>
  </si>
  <si>
    <t>granty a transfery</t>
  </si>
  <si>
    <t>Hotovostné výdavky</t>
  </si>
  <si>
    <t>bežné výdavky</t>
  </si>
  <si>
    <t>kapitálové výdavky</t>
  </si>
  <si>
    <t>Prebytok(+) / Schodok (-)</t>
  </si>
  <si>
    <t>Časové rozlíšenie</t>
  </si>
  <si>
    <t>Ostatné úpravy</t>
  </si>
  <si>
    <t>Príjmy podľa ESA</t>
  </si>
  <si>
    <t>Výdavky podľa ESA</t>
  </si>
  <si>
    <t>Čisté pôžičky (+) / čisté výpožičky (-)</t>
  </si>
  <si>
    <t>ROZPOČET</t>
  </si>
  <si>
    <t xml:space="preserve">Štátne finančné aktíva </t>
  </si>
  <si>
    <t>ROZDIEL</t>
  </si>
  <si>
    <t>Zdroj: Ministerstvo financií SR</t>
  </si>
  <si>
    <t>Porovnanie skutočného a rozpočtovaného hospodárenia zložiek verejnej správy podľa metodiky ESA 95 v roku 2010</t>
  </si>
  <si>
    <t>Slovenská konsoli-dačná, a. s.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</si>
  <si>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Patrí sem Všeobecná zdravotná poisťovňa, a. s. a toky súkromných zdravotných poisťovní súvisiace s verejným zdrav. poistením.</t>
    </r>
  </si>
  <si>
    <r>
      <t>Zdravotné poisťovne</t>
    </r>
    <r>
      <rPr>
        <b/>
        <vertAlign val="superscript"/>
        <sz val="7"/>
        <rFont val="Arial"/>
        <family val="2"/>
      </rPr>
      <t>1)</t>
    </r>
  </si>
  <si>
    <t>Audiovizuál-ny fond</t>
  </si>
  <si>
    <t>·  Akcie a ostatné podiely: účasť na majetku-nákup akcií (456)</t>
  </si>
  <si>
    <t>·    vylúčenie Alikvótneho úrokového výnosu</t>
  </si>
  <si>
    <t>·    časové rozlíšenie platených úrokov a disážia po zohľadnení AÚV</t>
  </si>
  <si>
    <t xml:space="preserve">       z toho: záväzok voči ŽSR a ŽSSK</t>
  </si>
  <si>
    <t xml:space="preserve">       z toho: záväzok voči nemocniciam</t>
  </si>
  <si>
    <t>2.2.0. Verejná správa celkom (konsolidovaná)</t>
  </si>
  <si>
    <t xml:space="preserve">           </t>
  </si>
  <si>
    <t xml:space="preserve">               superdividenda (osobitný odvod z Tiposu)</t>
  </si>
  <si>
    <t xml:space="preserve">               zmena stavu pohľadávok zo súvah</t>
  </si>
  <si>
    <t>Medziročná zmena konsolidovaného maastrichtského dlhu (+) nárast (-) pokles</t>
  </si>
  <si>
    <t xml:space="preserve">           z toho: prijatý kapitálový transfer - splátka 
                          NFV Vodohospodárska výstavba  </t>
  </si>
  <si>
    <t>·    preklasifikovanie vkladu do zákl. imania MH 
     Invest na kapitálový transfer</t>
  </si>
  <si>
    <t>·    preklasifikovanie vkladu do zákl. imania Letiska 
     MRŠ, a.s. na kapitálový transfer</t>
  </si>
  <si>
    <t>.    superdividenda (z precenenia aktív)</t>
  </si>
  <si>
    <t>.  transfer Daňovému riaditeľstvu SR 
   z vymožených daňových pohľadávok</t>
  </si>
  <si>
    <t xml:space="preserve">.    preklasifikovanie príjmu na splátku poskytnutej 
     návratnej finančnej výpomoci </t>
  </si>
  <si>
    <t xml:space="preserve">.    odpustenie poskytnutej návratnej finančnej 
     výpomoci </t>
  </si>
  <si>
    <t xml:space="preserve">           z toho: transfer zo ŠFA na vykrytie schodku 
                          v dôsledku zavedenia kap. piliera</t>
  </si>
  <si>
    <t>·    výdavky nezachytené na výkaze o príjmoch a 
     výdavkoch</t>
  </si>
  <si>
    <t>.    odpustenie nevymožiteľných pohľadávok z 
     garančného poistenia</t>
  </si>
  <si>
    <r>
      <t>2)</t>
    </r>
    <r>
      <rPr>
        <sz val="7"/>
        <rFont val="Arial"/>
        <family val="2"/>
      </rPr>
      <t xml:space="preserve"> Ide o mimorozpočtové účty, prostriedky z Európskej únie a neziskové organizácie obcí zaradené do sektora, ktoré nie sú zahrnuté v rozpočte verejnej správy. Úprava umožňuje porovnanie rozpočtu a skutočnosti na rovnakej báze.</t>
    </r>
  </si>
  <si>
    <r>
      <t xml:space="preserve">Úprava na rozpočet </t>
    </r>
    <r>
      <rPr>
        <b/>
        <vertAlign val="superscript"/>
        <sz val="7"/>
        <rFont val="Arial"/>
        <family val="2"/>
      </rPr>
      <t>2)</t>
    </r>
  </si>
  <si>
    <t>Príloha 2</t>
  </si>
  <si>
    <r>
      <t xml:space="preserve"> zahrnutie položiek časového rozlíšenia </t>
    </r>
    <r>
      <rPr>
        <b/>
        <sz val="10"/>
        <rFont val="Arial"/>
        <family val="2"/>
      </rPr>
      <t xml:space="preserve"> </t>
    </r>
  </si>
  <si>
    <r>
      <t>·</t>
    </r>
    <r>
      <rPr>
        <sz val="10"/>
        <rFont val="Arial"/>
        <family val="2"/>
      </rPr>
      <t xml:space="preserve">       pohľadávky </t>
    </r>
  </si>
  <si>
    <r>
      <t>·</t>
    </r>
    <r>
      <rPr>
        <sz val="10"/>
        <rFont val="Arial"/>
        <family val="2"/>
      </rPr>
      <t>       záväzky</t>
    </r>
  </si>
  <si>
    <r>
      <t>·</t>
    </r>
    <r>
      <rPr>
        <sz val="10"/>
        <rFont val="Arial"/>
        <family val="2"/>
      </rPr>
      <t>       časové rozlíšenie daní a poistného</t>
    </r>
  </si>
  <si>
    <r>
      <t>·</t>
    </r>
    <r>
      <rPr>
        <sz val="10"/>
        <rFont val="Arial"/>
        <family val="2"/>
      </rPr>
      <t>       časové rozlíšenie  platených úrokov</t>
    </r>
  </si>
  <si>
    <r>
      <t>·</t>
    </r>
    <r>
      <rPr>
        <sz val="10"/>
        <rFont val="Arial"/>
        <family val="2"/>
      </rPr>
      <t>       časové rozlíšenie  prijatých úrokov</t>
    </r>
  </si>
  <si>
    <r>
      <t>·</t>
    </r>
    <r>
      <rPr>
        <sz val="10"/>
        <rFont val="Arial"/>
        <family val="2"/>
      </rPr>
      <t>       časové rozlíšenie ostatné</t>
    </r>
  </si>
  <si>
    <r>
      <t xml:space="preserve"> </t>
    </r>
    <r>
      <rPr>
        <b/>
        <i/>
        <sz val="10"/>
        <rFont val="Arial"/>
        <family val="2"/>
      </rPr>
      <t xml:space="preserve">ostatné úpravy </t>
    </r>
  </si>
  <si>
    <r>
      <t xml:space="preserve"> </t>
    </r>
    <r>
      <rPr>
        <b/>
        <i/>
        <sz val="10"/>
        <rFont val="Arial"/>
        <family val="2"/>
      </rPr>
      <t>ostatné úpravy (=5)</t>
    </r>
  </si>
  <si>
    <r>
      <t xml:space="preserve"> zahrnutie položiek časového rozlíšenia </t>
    </r>
    <r>
      <rPr>
        <sz val="10"/>
        <rFont val="Arial"/>
        <family val="2"/>
      </rPr>
      <t xml:space="preserve"> </t>
    </r>
  </si>
  <si>
    <r>
      <t xml:space="preserve"> zahrnutie položiek časového rozlíšenia (4)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</si>
  <si>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ostatné úpravy (5)</t>
    </r>
  </si>
  <si>
    <r>
      <t>2.2.27. Zdravotné poisťovne</t>
    </r>
    <r>
      <rPr>
        <b/>
        <vertAlign val="superscript"/>
        <sz val="11"/>
        <rFont val="Arial"/>
        <family val="2"/>
      </rPr>
      <t>1)</t>
    </r>
  </si>
  <si>
    <r>
      <t>·</t>
    </r>
    <r>
      <rPr>
        <sz val="10"/>
        <rFont val="Arial"/>
        <family val="2"/>
      </rPr>
      <t>       vplyv akrualizácie poistného</t>
    </r>
  </si>
  <si>
    <r>
      <t>·</t>
    </r>
    <r>
      <rPr>
        <sz val="10"/>
        <rFont val="Arial"/>
        <family val="2"/>
      </rPr>
      <t>       pohľadávky (bez pohľadávok na poistnom)</t>
    </r>
  </si>
  <si>
    <r>
      <t>·</t>
    </r>
    <r>
      <rPr>
        <sz val="10"/>
        <rFont val="Arial"/>
        <family val="2"/>
      </rPr>
      <t>       záväzky</t>
    </r>
  </si>
  <si>
    <r>
      <t>·</t>
    </r>
    <r>
      <rPr>
        <sz val="10"/>
        <rFont val="Arial"/>
        <family val="2"/>
      </rPr>
      <t>       zahrnutie príjmov  Dôvera ZP, a. s.</t>
    </r>
  </si>
  <si>
    <r>
      <t>·</t>
    </r>
    <r>
      <rPr>
        <sz val="10"/>
        <rFont val="Arial"/>
        <family val="2"/>
      </rPr>
      <t>       zahrnutie výdavkov Dôvera ZP, a. s.</t>
    </r>
  </si>
  <si>
    <r>
      <t>·</t>
    </r>
    <r>
      <rPr>
        <sz val="10"/>
        <rFont val="Arial"/>
        <family val="2"/>
      </rPr>
      <t>       vylúčenie príjmov súkromných zdrav. poisťovní</t>
    </r>
  </si>
  <si>
    <r>
      <t>·</t>
    </r>
    <r>
      <rPr>
        <sz val="10"/>
        <rFont val="Arial"/>
        <family val="2"/>
      </rPr>
      <t>       vylúčenie výdavkov súkromných zdrav. poisťovní</t>
    </r>
  </si>
  <si>
    <r>
      <t>·</t>
    </r>
    <r>
      <rPr>
        <sz val="10"/>
        <rFont val="Arial"/>
        <family val="2"/>
      </rPr>
      <t>       vylúčenie pohľadávok súkromných zdrav. poisťovní</t>
    </r>
  </si>
  <si>
    <r>
      <t>·</t>
    </r>
    <r>
      <rPr>
        <sz val="10"/>
        <rFont val="Arial"/>
        <family val="2"/>
      </rPr>
      <t>       vylúčenie záväzkov súkromných zdrav. poisťovní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</si>
  <si>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Údaje o hotovostných príjmoch a výdavkoch predložili iba VšZP, a. s. a Union ZP, a. s.</t>
    </r>
  </si>
  <si>
    <t>·    preklasifikovanie NFV poskytnutej nefinanč. Korporáciám v predchádzajúcich rokoch 
     Invest na kapitálový transfer</t>
  </si>
  <si>
    <t>Príloha 3</t>
  </si>
</sst>
</file>

<file path=xl/styles.xml><?xml version="1.0" encoding="utf-8"?>
<styleSheet xmlns="http://schemas.openxmlformats.org/spreadsheetml/2006/main">
  <numFmts count="1">
    <numFmt numFmtId="164" formatCode="0.0%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i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theme="0" tint="-0.3499799966812134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0" fontId="8" fillId="0" borderId="0" xfId="0" applyFont="1"/>
    <xf numFmtId="0" fontId="4" fillId="0" borderId="0" xfId="0" applyFont="1" applyFill="1"/>
    <xf numFmtId="3" fontId="4" fillId="0" borderId="0" xfId="0" applyNumberFormat="1" applyFont="1" applyFill="1"/>
    <xf numFmtId="3" fontId="9" fillId="0" borderId="0" xfId="0" applyNumberFormat="1" applyFont="1"/>
    <xf numFmtId="0" fontId="9" fillId="0" borderId="0" xfId="0" applyFont="1" applyFill="1" applyBorder="1"/>
    <xf numFmtId="0" fontId="11" fillId="0" borderId="0" xfId="0" applyFont="1" applyFill="1"/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 vertical="top" wrapText="1"/>
    </xf>
    <xf numFmtId="0" fontId="0" fillId="0" borderId="0" xfId="0" applyFont="1"/>
    <xf numFmtId="3" fontId="0" fillId="0" borderId="0" xfId="0" applyNumberFormat="1" applyFont="1" applyBorder="1"/>
    <xf numFmtId="3" fontId="0" fillId="0" borderId="0" xfId="0" applyNumberFormat="1" applyFont="1"/>
    <xf numFmtId="3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/>
    <xf numFmtId="0" fontId="0" fillId="0" borderId="0" xfId="0" applyFont="1" applyBorder="1"/>
    <xf numFmtId="0" fontId="16" fillId="0" borderId="0" xfId="0" applyFont="1" applyFill="1"/>
    <xf numFmtId="0" fontId="16" fillId="0" borderId="0" xfId="0" applyFont="1" applyFill="1" applyBorder="1"/>
    <xf numFmtId="3" fontId="16" fillId="0" borderId="0" xfId="0" applyNumberFormat="1" applyFont="1" applyFill="1"/>
    <xf numFmtId="0" fontId="17" fillId="0" borderId="0" xfId="0" applyFont="1"/>
    <xf numFmtId="0" fontId="3" fillId="0" borderId="1" xfId="0" applyFont="1" applyFill="1" applyBorder="1"/>
    <xf numFmtId="0" fontId="16" fillId="0" borderId="0" xfId="0" applyFont="1" applyFill="1" applyAlignment="1">
      <alignment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/>
    <xf numFmtId="0" fontId="11" fillId="0" borderId="0" xfId="0" applyFont="1" applyFill="1" applyBorder="1"/>
    <xf numFmtId="0" fontId="16" fillId="0" borderId="0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0" fontId="3" fillId="0" borderId="0" xfId="20" applyNumberFormat="1" applyFont="1" applyFill="1"/>
    <xf numFmtId="0" fontId="3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left" vertical="center" wrapText="1"/>
    </xf>
    <xf numFmtId="3" fontId="20" fillId="4" borderId="0" xfId="0" applyNumberFormat="1" applyFont="1" applyFill="1" applyBorder="1" applyAlignment="1">
      <alignment horizontal="left" vertical="center"/>
    </xf>
    <xf numFmtId="3" fontId="22" fillId="4" borderId="0" xfId="0" applyNumberFormat="1" applyFont="1" applyFill="1" applyBorder="1" applyAlignment="1">
      <alignment horizontal="left" vertical="center"/>
    </xf>
    <xf numFmtId="3" fontId="20" fillId="5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3" fontId="25" fillId="0" borderId="7" xfId="0" applyNumberFormat="1" applyFont="1" applyFill="1" applyBorder="1" applyAlignment="1">
      <alignment vertical="center"/>
    </xf>
    <xf numFmtId="3" fontId="25" fillId="0" borderId="8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horizontal="left" indent="1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25" fillId="0" borderId="9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0" fontId="29" fillId="0" borderId="0" xfId="0" applyFont="1" applyBorder="1"/>
    <xf numFmtId="0" fontId="25" fillId="0" borderId="0" xfId="0" applyFont="1" applyBorder="1"/>
    <xf numFmtId="3" fontId="25" fillId="0" borderId="0" xfId="0" applyNumberFormat="1" applyFont="1" applyFill="1" applyBorder="1"/>
    <xf numFmtId="3" fontId="25" fillId="0" borderId="0" xfId="0" applyNumberFormat="1" applyFont="1" applyBorder="1"/>
    <xf numFmtId="3" fontId="25" fillId="0" borderId="15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0" fontId="0" fillId="0" borderId="0" xfId="0" applyFont="1" applyBorder="1"/>
    <xf numFmtId="3" fontId="25" fillId="0" borderId="9" xfId="0" applyNumberFormat="1" applyFont="1" applyFill="1" applyBorder="1" applyAlignment="1">
      <alignment horizontal="left" indent="1"/>
    </xf>
    <xf numFmtId="0" fontId="9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3" fontId="25" fillId="0" borderId="15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5" fillId="0" borderId="18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164" fontId="25" fillId="0" borderId="0" xfId="20" applyNumberFormat="1" applyFont="1" applyBorder="1" applyAlignment="1">
      <alignment vertical="center"/>
    </xf>
    <xf numFmtId="3" fontId="8" fillId="0" borderId="0" xfId="0" applyNumberFormat="1" applyFont="1" applyBorder="1"/>
    <xf numFmtId="3" fontId="10" fillId="0" borderId="0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" fillId="0" borderId="0" xfId="20" applyNumberFormat="1" applyFont="1" applyFill="1" applyBorder="1" applyAlignment="1">
      <alignment horizontal="right"/>
    </xf>
    <xf numFmtId="164" fontId="1" fillId="0" borderId="0" xfId="20" applyNumberFormat="1" applyFont="1" applyFill="1" applyBorder="1" applyAlignment="1">
      <alignment horizontal="right"/>
    </xf>
    <xf numFmtId="3" fontId="3" fillId="0" borderId="24" xfId="0" applyNumberFormat="1" applyFont="1" applyFill="1" applyBorder="1"/>
    <xf numFmtId="0" fontId="3" fillId="0" borderId="25" xfId="0" applyFont="1" applyFill="1" applyBorder="1"/>
    <xf numFmtId="0" fontId="3" fillId="0" borderId="19" xfId="0" applyFont="1" applyFill="1" applyBorder="1"/>
    <xf numFmtId="3" fontId="3" fillId="0" borderId="26" xfId="0" applyNumberFormat="1" applyFont="1" applyFill="1" applyBorder="1"/>
    <xf numFmtId="0" fontId="3" fillId="0" borderId="27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/>
    </xf>
    <xf numFmtId="0" fontId="18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/>
    <xf numFmtId="0" fontId="14" fillId="0" borderId="0" xfId="0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3" fontId="3" fillId="0" borderId="4" xfId="0" applyNumberFormat="1" applyFont="1" applyFill="1" applyBorder="1" applyAlignment="1">
      <alignment vertical="center"/>
    </xf>
    <xf numFmtId="0" fontId="3" fillId="7" borderId="0" xfId="0" applyFont="1" applyFill="1" applyBorder="1"/>
    <xf numFmtId="3" fontId="5" fillId="0" borderId="4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3" fontId="15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2" borderId="28" xfId="0" applyFont="1" applyFill="1" applyBorder="1"/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/>
    <xf numFmtId="3" fontId="9" fillId="0" borderId="29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/>
    </xf>
    <xf numFmtId="0" fontId="0" fillId="0" borderId="4" xfId="0" applyFont="1" applyFill="1" applyBorder="1"/>
    <xf numFmtId="0" fontId="0" fillId="0" borderId="0" xfId="0" applyFont="1" applyFill="1" applyBorder="1" applyAlignment="1">
      <alignment horizontal="justify" vertical="top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justify" vertical="top" wrapText="1"/>
    </xf>
    <xf numFmtId="0" fontId="32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30" xfId="0" applyFont="1" applyFill="1" applyBorder="1"/>
    <xf numFmtId="3" fontId="9" fillId="0" borderId="31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top" wrapText="1"/>
    </xf>
    <xf numFmtId="3" fontId="34" fillId="0" borderId="2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/>
    <xf numFmtId="3" fontId="0" fillId="0" borderId="33" xfId="0" applyNumberFormat="1" applyFont="1" applyFill="1" applyBorder="1" applyAlignment="1">
      <alignment horizontal="right" vertical="center" wrapText="1"/>
    </xf>
    <xf numFmtId="0" fontId="0" fillId="2" borderId="30" xfId="0" applyFont="1" applyFill="1" applyBorder="1"/>
    <xf numFmtId="3" fontId="0" fillId="2" borderId="20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31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/>
    <xf numFmtId="3" fontId="9" fillId="0" borderId="2" xfId="0" applyNumberFormat="1" applyFont="1" applyFill="1" applyBorder="1" applyAlignment="1">
      <alignment vertical="center"/>
    </xf>
    <xf numFmtId="0" fontId="32" fillId="0" borderId="4" xfId="0" applyFont="1" applyFill="1" applyBorder="1"/>
    <xf numFmtId="3" fontId="32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/>
    <xf numFmtId="3" fontId="0" fillId="0" borderId="3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0" fillId="0" borderId="34" xfId="0" applyFont="1" applyFill="1" applyBorder="1"/>
    <xf numFmtId="0" fontId="0" fillId="0" borderId="35" xfId="0" applyFont="1" applyFill="1" applyBorder="1"/>
    <xf numFmtId="3" fontId="0" fillId="0" borderId="35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>
      <alignment horizontal="justify" vertical="top" wrapText="1"/>
    </xf>
    <xf numFmtId="0" fontId="32" fillId="0" borderId="0" xfId="0" applyFont="1" applyFill="1" applyBorder="1" applyAlignment="1">
      <alignment vertical="top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20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3" fontId="34" fillId="0" borderId="20" xfId="0" applyNumberFormat="1" applyFont="1" applyFill="1" applyBorder="1" applyAlignment="1">
      <alignment vertical="center"/>
    </xf>
    <xf numFmtId="0" fontId="0" fillId="0" borderId="12" xfId="0" applyFont="1" applyFill="1" applyBorder="1"/>
    <xf numFmtId="3" fontId="9" fillId="0" borderId="31" xfId="0" applyNumberFormat="1" applyFont="1" applyFill="1" applyBorder="1" applyAlignment="1">
      <alignment vertical="center"/>
    </xf>
    <xf numFmtId="0" fontId="32" fillId="0" borderId="28" xfId="0" applyFont="1" applyFill="1" applyBorder="1"/>
    <xf numFmtId="0" fontId="32" fillId="0" borderId="3" xfId="0" applyFont="1" applyFill="1" applyBorder="1"/>
    <xf numFmtId="0" fontId="9" fillId="0" borderId="0" xfId="0" applyFont="1" applyFill="1" applyBorder="1" applyAlignment="1">
      <alignment horizontal="justify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vertical="center"/>
    </xf>
    <xf numFmtId="0" fontId="8" fillId="0" borderId="4" xfId="0" applyFont="1" applyFill="1" applyBorder="1"/>
    <xf numFmtId="3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9" fillId="0" borderId="30" xfId="0" applyFont="1" applyFill="1" applyBorder="1" applyAlignment="1">
      <alignment vertical="justify"/>
    </xf>
    <xf numFmtId="0" fontId="17" fillId="0" borderId="0" xfId="0" applyFont="1" applyFill="1"/>
    <xf numFmtId="0" fontId="31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0" borderId="36" xfId="0" applyFont="1" applyFill="1" applyBorder="1"/>
    <xf numFmtId="0" fontId="9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justify" vertical="top" wrapText="1"/>
    </xf>
    <xf numFmtId="0" fontId="33" fillId="0" borderId="34" xfId="0" applyFont="1" applyFill="1" applyBorder="1"/>
    <xf numFmtId="3" fontId="0" fillId="0" borderId="20" xfId="0" applyNumberFormat="1" applyFont="1" applyFill="1" applyBorder="1" applyAlignment="1">
      <alignment vertical="center"/>
    </xf>
    <xf numFmtId="0" fontId="32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3" fontId="9" fillId="0" borderId="33" xfId="0" applyNumberFormat="1" applyFont="1" applyFill="1" applyBorder="1" applyAlignment="1">
      <alignment vertical="center"/>
    </xf>
    <xf numFmtId="0" fontId="0" fillId="0" borderId="10" xfId="0" applyFont="1" applyFill="1" applyBorder="1"/>
    <xf numFmtId="0" fontId="8" fillId="0" borderId="28" xfId="0" applyFont="1" applyFill="1" applyBorder="1"/>
    <xf numFmtId="0" fontId="17" fillId="0" borderId="36" xfId="0" applyFont="1" applyFill="1" applyBorder="1"/>
    <xf numFmtId="0" fontId="31" fillId="0" borderId="3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right" vertical="center"/>
    </xf>
    <xf numFmtId="0" fontId="0" fillId="2" borderId="37" xfId="0" applyFont="1" applyFill="1" applyBorder="1"/>
    <xf numFmtId="0" fontId="0" fillId="0" borderId="10" xfId="0" applyFont="1" applyFill="1" applyBorder="1" applyAlignment="1">
      <alignment horizontal="justify" vertical="top" wrapText="1"/>
    </xf>
    <xf numFmtId="3" fontId="0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3" fontId="0" fillId="2" borderId="3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justify" vertical="top" wrapText="1"/>
    </xf>
    <xf numFmtId="0" fontId="0" fillId="0" borderId="33" xfId="0" applyFont="1" applyFill="1" applyBorder="1" applyAlignment="1">
      <alignment vertical="center"/>
    </xf>
    <xf numFmtId="0" fontId="9" fillId="0" borderId="36" xfId="0" applyFont="1" applyFill="1" applyBorder="1"/>
    <xf numFmtId="3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3" fontId="0" fillId="2" borderId="3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32" fillId="0" borderId="34" xfId="0" applyFont="1" applyFill="1" applyBorder="1"/>
    <xf numFmtId="3" fontId="8" fillId="0" borderId="35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0" fillId="0" borderId="0" xfId="0" applyFont="1" applyFill="1"/>
    <xf numFmtId="3" fontId="17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justify" vertical="top" wrapText="1"/>
    </xf>
    <xf numFmtId="0" fontId="9" fillId="0" borderId="39" xfId="0" applyFont="1" applyFill="1" applyBorder="1"/>
    <xf numFmtId="0" fontId="0" fillId="0" borderId="39" xfId="0" applyFont="1" applyFill="1" applyBorder="1"/>
    <xf numFmtId="0" fontId="0" fillId="0" borderId="39" xfId="0" applyFont="1" applyBorder="1"/>
    <xf numFmtId="3" fontId="0" fillId="0" borderId="39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32" fillId="0" borderId="3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/>
    <xf numFmtId="0" fontId="0" fillId="0" borderId="20" xfId="0" applyFont="1" applyFill="1" applyBorder="1"/>
    <xf numFmtId="3" fontId="33" fillId="0" borderId="29" xfId="0" applyNumberFormat="1" applyFont="1" applyFill="1" applyBorder="1" applyAlignment="1">
      <alignment vertical="center"/>
    </xf>
    <xf numFmtId="3" fontId="0" fillId="0" borderId="39" xfId="0" applyNumberFormat="1" applyFont="1" applyFill="1" applyBorder="1"/>
    <xf numFmtId="3" fontId="32" fillId="0" borderId="39" xfId="0" applyNumberFormat="1" applyFont="1" applyFill="1" applyBorder="1" applyAlignment="1">
      <alignment vertical="center"/>
    </xf>
    <xf numFmtId="3" fontId="32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9" fillId="0" borderId="34" xfId="0" applyFont="1" applyFill="1" applyBorder="1"/>
    <xf numFmtId="3" fontId="0" fillId="0" borderId="10" xfId="0" applyNumberFormat="1" applyFont="1" applyFill="1" applyBorder="1" applyAlignment="1">
      <alignment horizontal="justify" vertical="top" wrapText="1"/>
    </xf>
    <xf numFmtId="3" fontId="32" fillId="0" borderId="10" xfId="0" applyNumberFormat="1" applyFont="1" applyFill="1" applyBorder="1" applyAlignment="1">
      <alignment horizontal="justify" vertical="top" wrapText="1"/>
    </xf>
    <xf numFmtId="0" fontId="0" fillId="0" borderId="35" xfId="0" applyFont="1" applyFill="1" applyBorder="1" applyAlignment="1">
      <alignment wrapText="1"/>
    </xf>
    <xf numFmtId="3" fontId="0" fillId="0" borderId="35" xfId="0" applyNumberFormat="1" applyFont="1" applyFill="1" applyBorder="1" applyAlignment="1">
      <alignment vertical="center" wrapText="1"/>
    </xf>
    <xf numFmtId="3" fontId="8" fillId="0" borderId="35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top" wrapText="1" indent="5"/>
    </xf>
    <xf numFmtId="0" fontId="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justify" vertical="top" wrapText="1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vertical="center"/>
    </xf>
    <xf numFmtId="3" fontId="17" fillId="0" borderId="36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vertical="center"/>
    </xf>
    <xf numFmtId="3" fontId="0" fillId="0" borderId="0" xfId="0" applyNumberFormat="1" applyFont="1" applyFill="1"/>
    <xf numFmtId="3" fontId="34" fillId="0" borderId="0" xfId="0" applyNumberFormat="1" applyFont="1" applyFill="1"/>
    <xf numFmtId="3" fontId="0" fillId="0" borderId="20" xfId="0" applyNumberFormat="1" applyFont="1" applyFill="1" applyBorder="1"/>
    <xf numFmtId="3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3" fontId="35" fillId="0" borderId="2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justify" vertical="top" wrapText="1"/>
    </xf>
    <xf numFmtId="3" fontId="8" fillId="0" borderId="32" xfId="0" applyNumberFormat="1" applyFont="1" applyFill="1" applyBorder="1" applyAlignment="1">
      <alignment vertical="center"/>
    </xf>
    <xf numFmtId="3" fontId="32" fillId="0" borderId="3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/>
    <xf numFmtId="3" fontId="31" fillId="0" borderId="0" xfId="0" applyNumberFormat="1" applyFont="1" applyFill="1" applyAlignment="1">
      <alignment horizontal="left"/>
    </xf>
    <xf numFmtId="3" fontId="0" fillId="0" borderId="4" xfId="0" applyNumberFormat="1" applyFont="1" applyFill="1" applyBorder="1"/>
    <xf numFmtId="3" fontId="0" fillId="0" borderId="28" xfId="0" applyNumberFormat="1" applyFont="1" applyFill="1" applyBorder="1"/>
    <xf numFmtId="0" fontId="9" fillId="0" borderId="39" xfId="0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3" fontId="9" fillId="0" borderId="3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33" fillId="0" borderId="3" xfId="0" applyFont="1" applyFill="1" applyBorder="1" applyAlignment="1">
      <alignment horizontal="justify" vertical="top" wrapText="1"/>
    </xf>
    <xf numFmtId="0" fontId="33" fillId="0" borderId="35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justify" vertical="top" wrapText="1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3" fontId="0" fillId="0" borderId="0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3" fontId="0" fillId="0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Border="1"/>
    <xf numFmtId="0" fontId="17" fillId="0" borderId="0" xfId="0" applyFont="1" applyFill="1" applyAlignment="1">
      <alignment horizontal="right" vertical="center"/>
    </xf>
    <xf numFmtId="3" fontId="0" fillId="8" borderId="3" xfId="0" applyNumberFormat="1" applyFont="1" applyFill="1" applyBorder="1" applyAlignment="1">
      <alignment vertical="center"/>
    </xf>
    <xf numFmtId="3" fontId="0" fillId="8" borderId="33" xfId="0" applyNumberFormat="1" applyFont="1" applyFill="1" applyBorder="1" applyAlignment="1">
      <alignment horizontal="center" vertical="center" wrapText="1"/>
    </xf>
    <xf numFmtId="0" fontId="0" fillId="8" borderId="37" xfId="0" applyFont="1" applyFill="1" applyBorder="1"/>
    <xf numFmtId="3" fontId="0" fillId="8" borderId="2" xfId="0" applyNumberFormat="1" applyFont="1" applyFill="1" applyBorder="1" applyAlignment="1">
      <alignment horizontal="center" vertical="center" wrapText="1"/>
    </xf>
    <xf numFmtId="3" fontId="0" fillId="8" borderId="8" xfId="0" applyNumberFormat="1" applyFont="1" applyFill="1" applyBorder="1" applyAlignment="1">
      <alignment horizontal="center" vertical="center" wrapText="1"/>
    </xf>
    <xf numFmtId="0" fontId="0" fillId="8" borderId="28" xfId="0" applyFont="1" applyFill="1" applyBorder="1"/>
    <xf numFmtId="0" fontId="0" fillId="8" borderId="30" xfId="0" applyFont="1" applyFill="1" applyBorder="1"/>
    <xf numFmtId="3" fontId="0" fillId="8" borderId="20" xfId="0" applyNumberFormat="1" applyFont="1" applyFill="1" applyBorder="1" applyAlignment="1">
      <alignment vertical="center"/>
    </xf>
    <xf numFmtId="3" fontId="0" fillId="8" borderId="12" xfId="0" applyNumberFormat="1" applyFont="1" applyFill="1" applyBorder="1" applyAlignment="1">
      <alignment vertical="center"/>
    </xf>
    <xf numFmtId="3" fontId="0" fillId="8" borderId="3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justify" vertical="top" wrapText="1"/>
    </xf>
    <xf numFmtId="0" fontId="33" fillId="0" borderId="0" xfId="0" applyFont="1" applyFill="1" applyBorder="1" applyAlignment="1">
      <alignment horizontal="justify" vertical="top" wrapText="1"/>
    </xf>
    <xf numFmtId="0" fontId="9" fillId="2" borderId="2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justify" vertical="top" wrapText="1"/>
    </xf>
    <xf numFmtId="0" fontId="33" fillId="0" borderId="35" xfId="0" applyFont="1" applyFill="1" applyBorder="1" applyAlignment="1">
      <alignment horizontal="justify" vertical="top" wrapText="1"/>
    </xf>
    <xf numFmtId="0" fontId="9" fillId="8" borderId="20" xfId="0" applyFont="1" applyFill="1" applyBorder="1" applyAlignment="1">
      <alignment horizontal="justify" vertical="center" wrapText="1"/>
    </xf>
    <xf numFmtId="0" fontId="9" fillId="8" borderId="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0" borderId="35" xfId="0" applyNumberFormat="1" applyFont="1" applyFill="1" applyBorder="1" applyAlignment="1">
      <alignment horizontal="justify" vertical="top" wrapText="1"/>
    </xf>
    <xf numFmtId="3" fontId="0" fillId="0" borderId="3" xfId="0" applyNumberFormat="1" applyFont="1" applyFill="1" applyBorder="1" applyAlignment="1">
      <alignment horizontal="justify" vertical="top" wrapText="1"/>
    </xf>
    <xf numFmtId="3" fontId="0" fillId="0" borderId="0" xfId="0" applyNumberFormat="1" applyFont="1" applyFill="1" applyBorder="1" applyAlignment="1">
      <alignment horizontal="justify" vertical="top" wrapText="1"/>
    </xf>
    <xf numFmtId="0" fontId="9" fillId="0" borderId="35" xfId="0" applyFont="1" applyFill="1" applyBorder="1" applyAlignment="1">
      <alignment horizontal="justify" vertical="top" wrapText="1"/>
    </xf>
    <xf numFmtId="0" fontId="32" fillId="0" borderId="35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  <xf numFmtId="0" fontId="9" fillId="0" borderId="32" xfId="0" applyFont="1" applyFill="1" applyBorder="1" applyAlignment="1">
      <alignment horizontal="justify" vertical="top" wrapText="1"/>
    </xf>
    <xf numFmtId="3" fontId="0" fillId="0" borderId="32" xfId="0" applyNumberFormat="1" applyFont="1" applyFill="1" applyBorder="1" applyAlignment="1">
      <alignment horizontal="justify" vertical="top" wrapText="1"/>
    </xf>
    <xf numFmtId="3" fontId="0" fillId="0" borderId="8" xfId="0" applyNumberFormat="1" applyFont="1" applyFill="1" applyBorder="1" applyAlignment="1">
      <alignment horizontal="justify" vertical="top" wrapText="1"/>
    </xf>
    <xf numFmtId="0" fontId="32" fillId="0" borderId="3" xfId="0" applyFont="1" applyFill="1" applyBorder="1" applyAlignment="1">
      <alignment horizontal="justify" vertical="top" wrapText="1"/>
    </xf>
    <xf numFmtId="0" fontId="9" fillId="2" borderId="40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top" wrapText="1"/>
    </xf>
    <xf numFmtId="0" fontId="9" fillId="2" borderId="41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customXml" Target="../customXml/item1.xml" /><Relationship Id="rId35" Type="http://schemas.openxmlformats.org/officeDocument/2006/relationships/customXml" Target="../customXml/item2.xml" /><Relationship Id="rId36" Type="http://schemas.openxmlformats.org/officeDocument/2006/relationships/customXml" Target="../customXml/item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ISS_313\STATVERFIN\SZU\2009\Plnenie_rozpo&#269;tu_2009\&#352;Z&#218;_EDP%20vs%20rozpo&#269;e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U_skut vs. rozp"/>
      <sheetName val="PaV_dľa RK"/>
      <sheetName val="Tab. do ŠZÚ"/>
    </sheetNames>
    <sheetDataSet>
      <sheetData sheetId="0"/>
      <sheetData sheetId="1">
        <row r="5">
          <cell r="Y5">
            <v>0</v>
          </cell>
        </row>
        <row r="6">
          <cell r="Y6">
            <v>0</v>
          </cell>
        </row>
        <row r="34">
          <cell r="Y34">
            <v>0</v>
          </cell>
        </row>
        <row r="35">
          <cell r="Y35">
            <v>0</v>
          </cell>
        </row>
        <row r="47">
          <cell r="Y47">
            <v>0</v>
          </cell>
        </row>
        <row r="48">
          <cell r="Y48">
            <v>0</v>
          </cell>
        </row>
        <row r="49">
          <cell r="Y49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01"/>
  <sheetViews>
    <sheetView showGridLines="0" tabSelected="1" zoomScaleSheetLayoutView="80" workbookViewId="0" topLeftCell="A1">
      <selection activeCell="J3" sqref="J3:J7"/>
    </sheetView>
  </sheetViews>
  <sheetFormatPr defaultColWidth="9.140625" defaultRowHeight="12.75"/>
  <cols>
    <col min="1" max="1" width="9.140625" style="5" customWidth="1"/>
    <col min="2" max="2" width="4.140625" style="5" bestFit="1" customWidth="1"/>
    <col min="3" max="3" width="8.00390625" style="5" customWidth="1"/>
    <col min="4" max="4" width="53.8515625" style="5" bestFit="1" customWidth="1"/>
    <col min="5" max="5" width="10.8515625" style="51" bestFit="1" customWidth="1"/>
    <col min="6" max="6" width="11.00390625" style="51" customWidth="1"/>
    <col min="7" max="7" width="11.421875" style="42" customWidth="1"/>
    <col min="8" max="9" width="10.8515625" style="5" bestFit="1" customWidth="1"/>
    <col min="10" max="10" width="10.57421875" style="5" bestFit="1" customWidth="1"/>
    <col min="11" max="11" width="9.140625" style="5" customWidth="1"/>
    <col min="12" max="12" width="14.8515625" style="5" bestFit="1" customWidth="1"/>
    <col min="13" max="13" width="13.57421875" style="5" bestFit="1" customWidth="1"/>
    <col min="14" max="16384" width="9.140625" style="5" customWidth="1"/>
  </cols>
  <sheetData>
    <row r="1" spans="2:7" s="31" customFormat="1" ht="15">
      <c r="B1" s="289"/>
      <c r="C1" s="290" t="s">
        <v>255</v>
      </c>
      <c r="D1" s="289"/>
      <c r="E1" s="291"/>
      <c r="F1" s="291"/>
      <c r="G1" s="414" t="s">
        <v>272</v>
      </c>
    </row>
    <row r="2" spans="2:7" s="1" customFormat="1" ht="12.75" customHeight="1" thickBot="1">
      <c r="B2" s="293"/>
      <c r="C2" s="294"/>
      <c r="D2" s="293"/>
      <c r="E2" s="295"/>
      <c r="F2" s="295"/>
      <c r="G2" s="295" t="s">
        <v>199</v>
      </c>
    </row>
    <row r="3" spans="2:9" s="1" customFormat="1" ht="39" thickTop="1">
      <c r="B3" s="230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425"/>
      <c r="I3" s="426"/>
    </row>
    <row r="4" spans="2:8" s="1" customFormat="1" ht="12.75" customHeight="1">
      <c r="B4" s="233">
        <v>1</v>
      </c>
      <c r="C4" s="429" t="s">
        <v>119</v>
      </c>
      <c r="D4" s="429"/>
      <c r="E4" s="234">
        <f>E5+E6+E12</f>
        <v>23625255</v>
      </c>
      <c r="F4" s="234">
        <f>F5+F6+F12</f>
        <v>21752049</v>
      </c>
      <c r="G4" s="235">
        <f>F4-E4</f>
        <v>-1873206</v>
      </c>
      <c r="H4" s="2"/>
    </row>
    <row r="5" spans="2:9" s="1" customFormat="1" ht="12.75" customHeight="1">
      <c r="B5" s="236"/>
      <c r="C5" s="237" t="s">
        <v>0</v>
      </c>
      <c r="D5" s="237" t="s">
        <v>29</v>
      </c>
      <c r="E5" s="238">
        <f>ŠR!E5+MRÚ!E5+Envir!E5+STV!E5+SRo!E5+UDVA!E5+RTVS!E6+TASR!E5+AVF!E5+VÚC!E5+Obce!E5+SoPo!E5+ZdPo!D5</f>
        <v>18243758</v>
      </c>
      <c r="F5" s="238">
        <f>ŠR!F5+MRÚ!F5+Envir!F5+STV!F5+SRo!F5+UDVA!F5+RTVS!F6+TASR!F5+AVF!F5+VÚC!F5+Obce!F5+SoPo!F5+ZdPo!E5</f>
        <v>17131373</v>
      </c>
      <c r="G5" s="239">
        <f aca="true" t="shared" si="0" ref="G5:G28">F5-E5</f>
        <v>-1112385</v>
      </c>
      <c r="I5" s="2"/>
    </row>
    <row r="6" spans="2:9" s="1" customFormat="1" ht="12.75" customHeight="1">
      <c r="B6" s="236"/>
      <c r="C6" s="237"/>
      <c r="D6" s="237" t="s">
        <v>30</v>
      </c>
      <c r="E6" s="238">
        <f>E7+E8+E9+E10+E11</f>
        <v>3008178</v>
      </c>
      <c r="F6" s="238">
        <f>F7+F8+F9+F10+F11</f>
        <v>2656099</v>
      </c>
      <c r="G6" s="239">
        <f t="shared" si="0"/>
        <v>-352079</v>
      </c>
      <c r="I6" s="2"/>
    </row>
    <row r="7" spans="2:9" s="1" customFormat="1" ht="12.75" customHeight="1">
      <c r="B7" s="236"/>
      <c r="C7" s="237"/>
      <c r="D7" s="240" t="s">
        <v>44</v>
      </c>
      <c r="E7" s="238">
        <f>ŠR!E7+ŠFA!E6+MRÚ!E7+NJF!E6+ŠFRB!E6+Envir!E7+FNM!E6+SPF!E6+SKA!E6+VVŠ!E6+POŠ!E6+ÚDZS!E6+ÚPN!E6+SNSĽP!E6+STV!E7+SRo!E7+UDVA!E7+RTVS!E8+TASR!E7+AVF!E7+VÚC!E7+POvúc!E6+Obce!E7+POO!D6+SoPo!E7+ZdPo!D7</f>
        <v>609925</v>
      </c>
      <c r="F7" s="238">
        <f>ŠR!F7+ŠFA!F6+MRÚ!F7+NJF!F6+ŠFRB!F6+Envir!F7+FNM!F6+SPF!F6+SKA!F6+VVŠ!F6+POŠ!F6+ÚDZS!F6+ÚPN!F6+SNSĽP!F6+STV!F7+SRo!F7+UDVA!F7+RTVS!F8+TASR!F7+AVF!F7+VÚC!F7+POvúc!F6+Obce!F7+POO!E6+NOO!F6+SoPo!F7+ZdPo!E7</f>
        <v>804370</v>
      </c>
      <c r="G7" s="239">
        <f t="shared" si="0"/>
        <v>194445</v>
      </c>
      <c r="I7" s="2"/>
    </row>
    <row r="8" spans="2:9" s="1" customFormat="1" ht="12.75" customHeight="1">
      <c r="B8" s="236"/>
      <c r="C8" s="237"/>
      <c r="D8" s="240" t="s">
        <v>40</v>
      </c>
      <c r="E8" s="238">
        <f>ŠR!E8+ŠFA!E7+MRÚ!E8+NJF!E7+ŠFRB!E7+Envir!E8+FNM!E7+SPF!E7+SKA!E7+VVŠ!E7+POŠ!E7+ÚDZS!E7+ÚPN!E7+SNSĽP!E7+STV!E8+SRo!E8+UDVA!E8+RTVS!E9+TASR!E8+AVF!E8+VÚC!E8+POvúc!E7+Obce!E8+POO!D7+SoPo!E8+ZdPo!D8</f>
        <v>793393</v>
      </c>
      <c r="F8" s="238">
        <f>ŠR!F8+ŠFA!F7+MRÚ!F8+NJF!F7+ŠFRB!F7+Envir!F8+FNM!F7+SPF!F7+SKA!F7+VVŠ!F7+POŠ!F7+ÚDZS!F7+ÚPN!F7+SNSĽP!F7+STV!F8+SRo!F8+UDVA!F8+RTVS!F9+TASR!F8+AVF!F8+VÚC!F8+POvúc!F7+Obce!F8+POO!E7+NOO!F7+SoPo!F8+ZdPo!E8</f>
        <v>785439</v>
      </c>
      <c r="G8" s="239">
        <f t="shared" si="0"/>
        <v>-7954</v>
      </c>
      <c r="I8" s="2"/>
    </row>
    <row r="9" spans="2:9" s="1" customFormat="1" ht="12.75" customHeight="1">
      <c r="B9" s="236"/>
      <c r="C9" s="237"/>
      <c r="D9" s="240" t="s">
        <v>41</v>
      </c>
      <c r="E9" s="238">
        <f>ŠR!E9+ŠFA!E8+MRÚ!E9+NJF!E8+ŠFRB!E8+Envir!E9+FNM!E8+SPF!E8+SKA!E8+VVŠ!E8+POŠ!E8+ÚDZS!E8+ÚPN!E8+SNSĽP!E8+STV!E9+SRo!E9+UDVA!E9+RTVS!E10+TASR!E9+AVF!E9+VÚC!E9+POvúc!E8+Obce!E9+POO!D8+SoPo!E9+ZdPo!D9</f>
        <v>1212976</v>
      </c>
      <c r="F9" s="238">
        <f>ŠR!F9+ŠFA!F8+MRÚ!F9+NJF!F8+ŠFRB!F8+Envir!F9+FNM!F8+SPF!F8+SKA!F8+VVŠ!F8+POŠ!F8+ÚDZS!F8+ÚPN!F8+SNSĽP!F8+STV!F9+SRo!F9+UDVA!F9+RTVS!F10+TASR!F9+AVF!F9+VÚC!F9+POvúc!F8+Obce!F9+POO!E8+NOO!F8+SoPo!F9+ZdPo!E9</f>
        <v>189191</v>
      </c>
      <c r="G9" s="239">
        <f t="shared" si="0"/>
        <v>-1023785</v>
      </c>
      <c r="I9" s="2"/>
    </row>
    <row r="10" spans="2:9" s="1" customFormat="1" ht="12.75" customHeight="1">
      <c r="B10" s="236"/>
      <c r="C10" s="237"/>
      <c r="D10" s="241" t="s">
        <v>164</v>
      </c>
      <c r="E10" s="238">
        <f>ŠR!E10+ŠFA!E9+MRÚ!E10+NJF!E9+ŠFRB!E9+Envir!E10+FNM!E9+SPF!E9+SKA!E9+VVŠ!E9+POŠ!E9+ÚDZS!E9+ÚPN!E9+SNSĽP!E9+STV!E10+SRo!E10+UDVA!E10+RTVS!E11+TASR!E10+AVF!E10+VÚC!E10+POvúc!E9+Obce!E10+POO!D9+SoPo!E10+ZdPo!D10-22566</f>
        <v>109485</v>
      </c>
      <c r="F10" s="238">
        <f>ŠR!F10+ŠFA!F9+MRÚ!F10+NJF!F9+ŠFRB!F9+Envir!F10+FNM!F9+SPF!F9+SKA!F9+VVŠ!F9+POŠ!F9+ÚDZS!F9+ÚPN!F9+SNSĽP!F9+STV!F10+SRo!F10+UDVA!F10+RTVS!F11+TASR!F10+AVF!F10+VÚC!F10+POvúc!F9+Obce!F10+POO!E9+NOO!F9+SoPo!F10+ZdPo!E10-24583</f>
        <v>102590</v>
      </c>
      <c r="G10" s="239">
        <f t="shared" si="0"/>
        <v>-6895</v>
      </c>
      <c r="I10" s="2"/>
    </row>
    <row r="11" spans="2:9" s="1" customFormat="1" ht="12.75" customHeight="1">
      <c r="B11" s="236"/>
      <c r="C11" s="237"/>
      <c r="D11" s="240" t="s">
        <v>43</v>
      </c>
      <c r="E11" s="238">
        <f>ŠR!E11+ŠFA!E10+MRÚ!E11+NJF!E10+ŠFRB!E10+Envir!E11+FNM!E10+SPF!E10+SKA!E10+VVŠ!E10+POŠ!E10+ÚDZS!E10+ÚPN!E10+SNSĽP!E10+STV!E11+SRo!E11+UDVA!E11+RTVS!E12+TASR!E11+AVF!E11+VÚC!E11+POvúc!E10+Obce!E11+POO!D10+SoPo!E11+ZdPo!D11</f>
        <v>282399</v>
      </c>
      <c r="F11" s="238">
        <f>ŠR!F11+ŠFA!F10+MRÚ!F11+NJF!F10+ŠFRB!F10+Envir!F11+FNM!F10+SPF!F10+SKA!F10+VVŠ!F10+POŠ!F10+ÚDZS!F10+ÚPN!F10+SNSĽP!F10+STV!F11+SRo!F11+UDVA!F11+RTVS!F12+TASR!F11+AVF!F11+VÚC!F11+POvúc!F10+Obce!F11+POO!E10+NOO!F10+SoPo!F11+ZdPo!E11-18853</f>
        <v>774509</v>
      </c>
      <c r="G11" s="239">
        <f t="shared" si="0"/>
        <v>492110</v>
      </c>
      <c r="I11" s="2"/>
    </row>
    <row r="12" spans="2:9" s="1" customFormat="1" ht="12.75" customHeight="1">
      <c r="B12" s="233"/>
      <c r="C12" s="237"/>
      <c r="D12" s="237" t="s">
        <v>31</v>
      </c>
      <c r="E12" s="238">
        <f>ŠR!E12+ŠFA!E11+MRÚ!E12+NJF!E11+ŠFRB!E11+Envir!E12+FNM!E11+SPF!E11+SKA!E11+VVŠ!E11+POŠ!E11+ÚDZS!E11+ÚPN!E11+SNSĽP!E11+STV!E12+SRo!E12+UDVA!E12+RTVS!E13+TASR!E12+AVF!E12+VÚC!E12+POvúc!E11+Obce!E12+POO!D11+NOO!E11+SoPo!E12+ZdPo!D12-5039551</f>
        <v>2373319</v>
      </c>
      <c r="F12" s="238">
        <f>ŠR!F12+ŠFA!F11+MRÚ!F12+NJF!F11+ŠFRB!F11+Envir!F12+FNM!F11+SPF!F11+SKA!F11+VVŠ!F11+POŠ!F11+ÚDZS!F11+ÚPN!F11+SNSĽP!F11+STV!F12+SRo!F12+UDVA!F12+RTVS!F13+TASR!F12+AVF!F12+VÚC!F12+POvúc!F11+Obce!F12+POO!E11+NOO!F11+SoPo!F12+ZdPo!E12-4758318-667556</f>
        <v>1964577</v>
      </c>
      <c r="G12" s="239">
        <f t="shared" si="0"/>
        <v>-408742</v>
      </c>
      <c r="I12" s="2"/>
    </row>
    <row r="13" spans="2:9" s="1" customFormat="1" ht="12.75" customHeight="1">
      <c r="B13" s="236"/>
      <c r="C13" s="237"/>
      <c r="D13" s="237"/>
      <c r="E13" s="238"/>
      <c r="F13" s="238"/>
      <c r="G13" s="242"/>
      <c r="I13" s="2"/>
    </row>
    <row r="14" spans="2:8" s="1" customFormat="1" ht="12.75" customHeight="1">
      <c r="B14" s="233">
        <v>2</v>
      </c>
      <c r="C14" s="429" t="s">
        <v>120</v>
      </c>
      <c r="D14" s="429"/>
      <c r="E14" s="243">
        <f>E15+E20</f>
        <v>28435664</v>
      </c>
      <c r="F14" s="243">
        <f>F15+F20</f>
        <v>26564803</v>
      </c>
      <c r="G14" s="235">
        <f t="shared" si="0"/>
        <v>-1870861</v>
      </c>
      <c r="H14" s="2"/>
    </row>
    <row r="15" spans="2:7" s="1" customFormat="1" ht="12.75" customHeight="1">
      <c r="B15" s="236"/>
      <c r="C15" s="237" t="s">
        <v>0</v>
      </c>
      <c r="D15" s="237" t="s">
        <v>32</v>
      </c>
      <c r="E15" s="238">
        <f>E16+E17+E18+E19</f>
        <v>24498946</v>
      </c>
      <c r="F15" s="238">
        <f>F16+F17+F18+F19</f>
        <v>23260674</v>
      </c>
      <c r="G15" s="239">
        <f t="shared" si="0"/>
        <v>-1238272</v>
      </c>
    </row>
    <row r="16" spans="2:7" s="1" customFormat="1" ht="12.75" customHeight="1">
      <c r="B16" s="236"/>
      <c r="C16" s="237"/>
      <c r="D16" s="240" t="s">
        <v>34</v>
      </c>
      <c r="E16" s="238">
        <f>ŠR!E16+ŠFA!E16+MRÚ!E16+NJF!E16+ŠFRB!E16+Envir!E16+FNM!E16+SPF!E16+SKA!E16+VVŠ!E16+POŠ!E16+ÚDZS!E16+ÚPN!E16+SNSĽP!E16+STV!E16+SRo!E16+UDVA!E16+RTVS!E17+TASR!E16+AVF!E16+VÚC!E16+POvúc!E16+Obce!E16+POO!D16+SoPo!E17+ZdPo!D16</f>
        <v>4548563</v>
      </c>
      <c r="F16" s="238">
        <f>ŠR!F16+ŠFA!F16+MRÚ!F16+NJF!F16+ŠFRB!F16+Envir!F16+FNM!F16+SPF!F16+SKA!F16+VVŠ!F16+POŠ!F16+ÚDZS!F16+ÚPN!F16+SNSĽP!F16+STV!F16+SRo!F16+UDVA!F16+RTVS!F17+TASR!F16+AVF!F16+VÚC!F16+POvúc!F16+Obce!F16+POO!E16+NOO!F16+SoPo!F17+ZdPo!E16</f>
        <v>4722662</v>
      </c>
      <c r="G16" s="239">
        <f t="shared" si="0"/>
        <v>174099</v>
      </c>
    </row>
    <row r="17" spans="2:7" s="1" customFormat="1" ht="12.75" customHeight="1">
      <c r="B17" s="236"/>
      <c r="C17" s="237"/>
      <c r="D17" s="240" t="s">
        <v>35</v>
      </c>
      <c r="E17" s="238">
        <f>ŠR!E17+ŠFA!E17+MRÚ!E17+NJF!E17+ŠFRB!E17+Envir!E17+FNM!E17+SPF!E17+SKA!E17+VVŠ!E17+POŠ!E17+ÚDZS!E17+ÚPN!E17+SNSĽP!E17+STV!E17+SRo!E17+UDVA!E17+RTVS!E18+TASR!E17+AVF!E17+VÚC!E17+POvúc!E17+Obce!E17+POO!D17+SoPo!E18+ZdPo!D17</f>
        <v>6930334</v>
      </c>
      <c r="F17" s="238">
        <f>ŠR!F17+ŠFA!F17+MRÚ!F17+NJF!F17+ŠFRB!F17+Envir!F17+FNM!F17+SPF!F17+SKA!F17+VVŠ!F17+POŠ!F17+ÚDZS!F17+ÚPN!F17+SNSĽP!F17+STV!F17+SRo!F17+UDVA!F17+RTVS!F18+TASR!F17+AVF!F17+VÚC!F17+POvúc!F17+Obce!F17+POO!E17+NOO!F17+SoPo!F18+ZdPo!E17</f>
        <v>5867855</v>
      </c>
      <c r="G17" s="239">
        <f t="shared" si="0"/>
        <v>-1062479</v>
      </c>
    </row>
    <row r="18" spans="2:7" s="1" customFormat="1" ht="12.75" customHeight="1">
      <c r="B18" s="236"/>
      <c r="C18" s="237"/>
      <c r="D18" s="240" t="s">
        <v>36</v>
      </c>
      <c r="E18" s="238">
        <f>ŠR!E18+ŠFA!E18+MRÚ!E18+NJF!E18+ŠFRB!E18+Envir!E18+FNM!E18+SPF!E18+SKA!E18+VVŠ!E18+POŠ!E18+ÚDZS!E18+ÚPN!E18+SNSĽP!E18+STV!E18+SRo!E18+UDVA!E18+RTVS!E19+TASR!E18+AVF!E18+VÚC!E18+POvúc!E18+Obce!E18+POO!D18+SoPo!E19+ZdPo!D18-4796450</f>
        <v>11863964</v>
      </c>
      <c r="F18" s="238">
        <f>ŠR!F18+ŠFA!F18+MRÚ!F18+NJF!F18+ŠFRB!F18+Envir!F18+FNM!F18+SPF!F18+SKA!F18+VVŠ!F18+POŠ!F18+ÚDZS!F18+ÚPN!F18+SNSĽP!F18+STV!F18+SRo!F18+UDVA!F18+RTVS!F19+TASR!F18+AVF!F18+VÚC!F18+POvúc!F18+Obce!F18+POO!E18+NOO!F18+SoPo!F19+ZdPo!E18-(4801754-24583)</f>
        <v>11802872</v>
      </c>
      <c r="G18" s="239">
        <f t="shared" si="0"/>
        <v>-61092</v>
      </c>
    </row>
    <row r="19" spans="2:7" s="1" customFormat="1" ht="12.75" customHeight="1">
      <c r="B19" s="236"/>
      <c r="C19" s="237"/>
      <c r="D19" s="240" t="s">
        <v>37</v>
      </c>
      <c r="E19" s="238">
        <f>ŠR!E19+MRÚ!E19+NJF!E19+ŠFRB!E19+Envir!E19+FNM!E19+SPF!E19+SKA!E19+VVŠ!E19+POŠ!E19+ÚDZS!E19+ÚPN!E19+SNSĽP!E19+STV!E19+SRo!E19+UDVA!E19+RTVS!E20+TASR!E19+AVF!E19+VÚC!E19+POvúc!E19+Obce!E19+POO!D19+SoPo!E21+ZdPo!D19-22566</f>
        <v>1156085</v>
      </c>
      <c r="F19" s="238">
        <f>ŠR!F19+MRÚ!F19+ŠFA!F19+NJF!F19+ŠFRB!F19+Envir!F19+FNM!F19+SPF!F19+SKA!F19+VVŠ!F19+POŠ!F19+ÚDZS!F19+ÚPN!F19+SNSĽP!F19+STV!F19+SRo!F19+UDVA!F19+RTVS!F20+TASR!F19+AVF!F19+VÚC!F19+POvúc!F19+Obce!F19+POO!E19+NOO!F19+SoPo!F21+ZdPo!E19-24583</f>
        <v>867285</v>
      </c>
      <c r="G19" s="239">
        <f t="shared" si="0"/>
        <v>-288800</v>
      </c>
    </row>
    <row r="20" spans="2:7" s="1" customFormat="1" ht="12.75" customHeight="1">
      <c r="B20" s="236"/>
      <c r="C20" s="237"/>
      <c r="D20" s="237" t="s">
        <v>33</v>
      </c>
      <c r="E20" s="238">
        <f>E21+E22</f>
        <v>3936718</v>
      </c>
      <c r="F20" s="238">
        <f>F21+F22</f>
        <v>3304129</v>
      </c>
      <c r="G20" s="239">
        <f t="shared" si="0"/>
        <v>-632589</v>
      </c>
    </row>
    <row r="21" spans="2:7" s="1" customFormat="1" ht="12.75" customHeight="1">
      <c r="B21" s="236"/>
      <c r="C21" s="237"/>
      <c r="D21" s="240" t="s">
        <v>38</v>
      </c>
      <c r="E21" s="238">
        <f>ŠR!E21+ŠFA!E21+MRÚ!E21+NJF!E21+ŠFRB!E21+Envir!E21+FNM!E21+SPF!E21+SKA!E21+VVŠ!E21+POŠ!E21+ÚDZS!E21+ÚPN!E21+SNSĽP!E21+STV!E21+SRo!E21+UDVA!E21+RTVS!E22+TASR!E21+AVF!E21+VÚC!E21+POvúc!E21+Obce!E21+POO!D21+SoPo!E23+ZdPo!D21</f>
        <v>2018187</v>
      </c>
      <c r="F21" s="238">
        <f>ŠR!F21+ŠFA!F21+MRÚ!F21+NJF!F21+ŠFRB!F21+Envir!F21+FNM!F21+SPF!F21+SKA!F21+VVŠ!F21+POŠ!F21+ÚDZS!F21+ÚPN!F21+SNSĽP!F21+STV!F21+SRo!F21+UDVA!F21+RTVS!F22+TASR!F21+AVF!F21+VÚC!F21+POvúc!F21+Obce!F21+POO!E21+NOO!F21+SoPo!F23+ZdPo!E21</f>
        <v>1906794</v>
      </c>
      <c r="G21" s="239">
        <f t="shared" si="0"/>
        <v>-111393</v>
      </c>
    </row>
    <row r="22" spans="2:7" s="1" customFormat="1" ht="12.75" customHeight="1">
      <c r="B22" s="233"/>
      <c r="C22" s="237"/>
      <c r="D22" s="240" t="s">
        <v>39</v>
      </c>
      <c r="E22" s="238">
        <f>ŠR!E22+ŠFA!E22+MRÚ!E22+NJF!E22+ŠFRB!E22+Envir!E22+FNM!E22+SPF!E22+SKA!E22+VVŠ!E22+POŠ!E22+ÚDZS!E22+ÚPN!E22+SNSĽP!E22+STV!E22+SRo!E22+UDVA!E22+RTVS!E23+TASR!E22+AVF!E22+VÚC!E22+POvúc!E22+Obce!E22+POO!D22+SoPo!E24+ZdPo!D22-243101</f>
        <v>1918531</v>
      </c>
      <c r="F22" s="238">
        <f>ŠR!F22+ŠFA!F22+MRÚ!F22+NJF!F22+ŠFRB!F22+Envir!F22+FNM!F22+SPF!F22+SKA!F22+VVŠ!F22+POŠ!F22+ÚDZS!F22+ÚPN!F22+SNSĽP!F22+STV!F22+SRo!F22+UDVA!F22+RTVS!F23+TASR!F22+AVF!F22+VÚC!F22+POvúc!F22+Obce!F22+POO!E22+NOO!F22+SoPo!F24+ZdPo!E22-667556</f>
        <v>1397335</v>
      </c>
      <c r="G22" s="239">
        <f t="shared" si="0"/>
        <v>-521196</v>
      </c>
    </row>
    <row r="23" spans="2:11" s="1" customFormat="1" ht="12.75" customHeight="1">
      <c r="B23" s="236"/>
      <c r="C23" s="237"/>
      <c r="D23" s="237"/>
      <c r="E23" s="238"/>
      <c r="F23" s="238"/>
      <c r="G23" s="242"/>
      <c r="K23" s="3"/>
    </row>
    <row r="24" spans="2:11" s="1" customFormat="1" ht="12.75" customHeight="1">
      <c r="B24" s="244">
        <v>3</v>
      </c>
      <c r="C24" s="434" t="s">
        <v>121</v>
      </c>
      <c r="D24" s="435"/>
      <c r="E24" s="245">
        <f>E4-E14</f>
        <v>-4810409</v>
      </c>
      <c r="F24" s="245">
        <f>F4-F14</f>
        <v>-4812754</v>
      </c>
      <c r="G24" s="246">
        <f t="shared" si="0"/>
        <v>-2345</v>
      </c>
      <c r="H24" s="2"/>
      <c r="I24" s="2"/>
      <c r="K24" s="3"/>
    </row>
    <row r="25" spans="2:11" s="1" customFormat="1" ht="12.75" customHeight="1">
      <c r="B25" s="236"/>
      <c r="C25" s="247"/>
      <c r="D25" s="247"/>
      <c r="E25" s="243"/>
      <c r="F25" s="243"/>
      <c r="G25" s="242"/>
      <c r="K25" s="84"/>
    </row>
    <row r="26" spans="2:11" s="1" customFormat="1" ht="12.75" customHeight="1">
      <c r="B26" s="233">
        <v>4</v>
      </c>
      <c r="C26" s="430" t="s">
        <v>273</v>
      </c>
      <c r="D26" s="430"/>
      <c r="E26" s="243">
        <f>SUM(E27:E32)</f>
        <v>70535</v>
      </c>
      <c r="F26" s="243">
        <f>SUM(F27:F32)</f>
        <v>-25718</v>
      </c>
      <c r="G26" s="235">
        <f t="shared" si="0"/>
        <v>-96253</v>
      </c>
      <c r="H26" s="2"/>
      <c r="K26" s="84"/>
    </row>
    <row r="27" spans="2:7" s="1" customFormat="1" ht="12.75" customHeight="1">
      <c r="B27" s="236"/>
      <c r="C27" s="237" t="s">
        <v>0</v>
      </c>
      <c r="D27" s="240" t="s">
        <v>274</v>
      </c>
      <c r="E27" s="238">
        <f>ŠR!E27+MRÚ!E27+NJF!E27+ŠFRB!E27+Envir!E27+FNM!E28+SPF!E27+SKA!E27+VVŠ!E27+POŠ!E27+ÚDZS!E27+ÚPN!E27+SNSĽP!E27+STV!E27+SRo!E27+UDVA!E27+RTVS!E28+TASR!E27+AVF!E27+VÚC!E27+POvúc!E27+Obce!E27+POO!D27+SoPo!E30+ZdPo!D28</f>
        <v>0</v>
      </c>
      <c r="F27" s="238">
        <f>ŠR!F27+MRÚ!F27+NJF!F27+ŠFRB!F27+Envir!F27+FNM!F28+SPF!F27+SKA!F27+VVŠ!F27+POŠ!F27+ÚDZS!F27+ÚPN!F27+SNSĽP!F27+STV!F27+SRo!F27+UDVA!F27+RTVS!F28+TASR!F27+AVF!F27+VÚC!F27+POvúc!F27+Obce!F27+POO!E27+NOO!F27+SoPo!F30+ZdPo!E28</f>
        <v>37358</v>
      </c>
      <c r="G27" s="239">
        <f t="shared" si="0"/>
        <v>37358</v>
      </c>
    </row>
    <row r="28" spans="2:7" s="1" customFormat="1" ht="12.75" customHeight="1">
      <c r="B28" s="233"/>
      <c r="C28" s="237"/>
      <c r="D28" s="240" t="s">
        <v>275</v>
      </c>
      <c r="E28" s="238">
        <f>ŠR!E28+MRÚ!E28+NJF!E28+ŠFRB!E28+Envir!E28+FNM!E29+SPF!E28+SKA!E28+VVŠ!E28+POŠ!E28+ÚDZS!E28+ÚPN!E28+SNSĽP!E28+STV!E28+SRo!E28+UDVA!E28+RTVS!E29+TASR!E28+AVF!E28+VÚC!E28+POvúc!E28+Obce!E28+POO!D28+NOO!E28+SoPo!E31+ZdPo!D29</f>
        <v>0</v>
      </c>
      <c r="F28" s="238">
        <f>ŠR!F28+MRÚ!F28+NJF!F28+ŠFRB!F28+Envir!F28+FNM!F29+SPF!F28+SKA!F28+VVŠ!F28+POŠ!F28+ÚDZS!F28+ÚPN!F28+SNSĽP!F28+STV!F28+SRo!F28+UDVA!F28+RTVS!F29+TASR!F28+AVF!F28+VÚC!F28+POvúc!F28+Obce!F28+POO!E28+NOO!F28+SoPo!F31+ZdPo!E29</f>
        <v>-541226</v>
      </c>
      <c r="G28" s="239">
        <f t="shared" si="0"/>
        <v>-541226</v>
      </c>
    </row>
    <row r="29" spans="2:7" s="1" customFormat="1" ht="12.75" customHeight="1">
      <c r="B29" s="236"/>
      <c r="C29" s="237"/>
      <c r="D29" s="240" t="s">
        <v>276</v>
      </c>
      <c r="E29" s="238">
        <f>ŠR!E35+VÚC!E29+SoPo!E29+ZdPo!D27</f>
        <v>169875</v>
      </c>
      <c r="F29" s="238">
        <f>ŠR!F35+VÚC!F29+SoPo!F29+ZdPo!E27</f>
        <v>277881</v>
      </c>
      <c r="G29" s="239">
        <f>F29-E29</f>
        <v>108006</v>
      </c>
    </row>
    <row r="30" spans="2:7" s="1" customFormat="1" ht="12.75" customHeight="1">
      <c r="B30" s="233"/>
      <c r="C30" s="237"/>
      <c r="D30" s="240" t="s">
        <v>277</v>
      </c>
      <c r="E30" s="238">
        <f>ŠR!E31</f>
        <v>-142866</v>
      </c>
      <c r="F30" s="238">
        <f>ŠR!F31</f>
        <v>-32231</v>
      </c>
      <c r="G30" s="239">
        <f>F30-E30</f>
        <v>110635</v>
      </c>
    </row>
    <row r="31" spans="2:7" s="1" customFormat="1" ht="12.75" customHeight="1">
      <c r="B31" s="236"/>
      <c r="C31" s="237"/>
      <c r="D31" s="240" t="s">
        <v>278</v>
      </c>
      <c r="E31" s="238">
        <f>ŠR!E32+ŠR!E33</f>
        <v>0</v>
      </c>
      <c r="F31" s="238">
        <f>ŠR!F32+ŠR!F33</f>
        <v>6564</v>
      </c>
      <c r="G31" s="239">
        <f>F31-E31</f>
        <v>6564</v>
      </c>
    </row>
    <row r="32" spans="2:7" s="1" customFormat="1" ht="12.75" customHeight="1">
      <c r="B32" s="236"/>
      <c r="C32" s="237"/>
      <c r="D32" s="240" t="s">
        <v>279</v>
      </c>
      <c r="E32" s="238">
        <f>ŠR!E34+ŠR!E36</f>
        <v>43526</v>
      </c>
      <c r="F32" s="238">
        <f>ŠR!F34+ŠR!F36</f>
        <v>225936</v>
      </c>
      <c r="G32" s="239">
        <f>F32-E32</f>
        <v>182410</v>
      </c>
    </row>
    <row r="33" spans="2:7" s="1" customFormat="1" ht="12.75" customHeight="1">
      <c r="B33" s="236"/>
      <c r="C33" s="237"/>
      <c r="D33" s="237"/>
      <c r="E33" s="238"/>
      <c r="F33" s="238"/>
      <c r="G33" s="242"/>
    </row>
    <row r="34" spans="2:7" s="1" customFormat="1" ht="12.75" customHeight="1">
      <c r="B34" s="233">
        <v>5</v>
      </c>
      <c r="C34" s="433" t="s">
        <v>280</v>
      </c>
      <c r="D34" s="433"/>
      <c r="E34" s="243">
        <f>ŠR!E37+ŠFA!E26+MRÚ!E30+NJF!E30+ŠFRB!E30+Envir!E30+FNM!E31+SPF!E30+SKA!E30+VVŠ!E30+POŠ!E30+ÚDZS!E30+ÚPN!E30+SNSĽP!E30+STV!E30+SRo!E30+UDVA!E30+RTVS!E31+TASR!E30+AVF!E30+VÚC!E31+POvúc!E30+Obce!E30+POO!D30+SoPo!E33+ZdPo!D31</f>
        <v>-53553</v>
      </c>
      <c r="F34" s="243">
        <f>ŠR!F37+ŠFA!F26+MRÚ!F30+NJF!F30+ŠFRB!F30+Envir!F30+FNM!F31+SPF!F30+SKA!F30+VVŠ!F30+POŠ!F30+ÚDZS!F30+ÚPN!F30+SNSĽP!F30+STV!F30+SRo!F30+UDVA!F30+RTVS!F31+TASR!F30+AVF!F30+VÚC!F31+POvúc!F30+Obce!F30+POO!E30+NOO!F30+SoPo!F33+ZdPo!E31</f>
        <v>-368579</v>
      </c>
      <c r="G34" s="235">
        <f>F34-E34</f>
        <v>-315026</v>
      </c>
    </row>
    <row r="35" spans="2:7" s="1" customFormat="1" ht="12.75" customHeight="1">
      <c r="B35" s="236"/>
      <c r="C35" s="237"/>
      <c r="D35" s="237"/>
      <c r="E35" s="248"/>
      <c r="F35" s="238"/>
      <c r="G35" s="242"/>
    </row>
    <row r="36" spans="2:13" s="1" customFormat="1" ht="12.75" customHeight="1">
      <c r="B36" s="244">
        <v>6</v>
      </c>
      <c r="C36" s="434" t="s">
        <v>123</v>
      </c>
      <c r="D36" s="435"/>
      <c r="E36" s="234">
        <f>E24+E26+E34</f>
        <v>-4793427</v>
      </c>
      <c r="F36" s="234">
        <f>ŠR!F55+ŠFA!F31+MRÚ!F33+NJF!F32+ŠFRB!F32+Envir!F32+FNM!F34+SPF!F32+SKA!F34+VVŠ!F32+POŠ!F33+ÚDZS!F32+ÚPN!F32+SNSĽP!F33+STV!F33+SRo!F32+UDVA!F32+RTVS!F33+TASR!F32+AVF!F32+VÚC!F37+POvúc!F33+Obce!F33+POO!E33+NOO!F32+SoPo!F38+ZdPo!E40-ŠR!F51-ŠR!F47</f>
        <v>-5207051</v>
      </c>
      <c r="G36" s="249">
        <f>F36-E36</f>
        <v>-413624</v>
      </c>
      <c r="H36" s="2"/>
      <c r="I36" s="2"/>
      <c r="L36" s="2"/>
      <c r="M36" s="2"/>
    </row>
    <row r="37" spans="2:13" s="1" customFormat="1" ht="12.75" customHeight="1">
      <c r="B37" s="236"/>
      <c r="C37" s="433" t="s">
        <v>5</v>
      </c>
      <c r="D37" s="433"/>
      <c r="E37" s="250">
        <f>ŠR!E56+NJF!E33+ŠFRB!E33+Envir!E33+FNM!E35+SPF!E33+SKA!E35+VVŠ!E33+POŠ!E34+ÚDZS!E33+ÚPN!E33+SNSĽP!E34+STV!E34+SRo!E33+UDVA!E33+RTVS!E34+TASR!E33+AVF!E33+VÚC!E38+POvúc!E34+Obce!E34+POO!D34+NOO!E33+SoPo!E39+ZdPo!D41-5062117</f>
        <v>23838656</v>
      </c>
      <c r="F37" s="250">
        <f>ŠR!F56+NJF!F33+ŠFRB!F33+Envir!F33+FNM!F35+SPF!F33+SKA!F35+VVŠ!F33+POŠ!F34+ÚDZS!F33+ÚPN!F33+SNSĽP!F34+STV!F34+SRo!F33+UDVA!F33+RTVS!F34+TASR!F33+AVF!F33+VÚC!F38+POvúc!F34+Obce!F34+POO!E34+NOO!F33+SoPo!F39+ZdPo!E41-5469477</f>
        <v>21788940</v>
      </c>
      <c r="G37" s="250">
        <f>F37-E37</f>
        <v>-2049716</v>
      </c>
      <c r="L37" s="2"/>
      <c r="M37" s="2"/>
    </row>
    <row r="38" spans="2:13" s="1" customFormat="1" ht="12.75" customHeight="1">
      <c r="B38" s="251"/>
      <c r="C38" s="436" t="s">
        <v>6</v>
      </c>
      <c r="D38" s="436"/>
      <c r="E38" s="252">
        <f>ŠR!E57+NJF!E34+ŠFRB!E34+Envir!E34+FNM!E36+SPF!E34+SKA!E36+VVŠ!E34+POŠ!E35+ÚDZS!E34+ÚPN!E34+SNSĽP!E35+STV!E35+SRo!E34+UDVA!E34+RTVS!E35+TASR!E34+AVF!E34+VÚC!E39+POvúc!E35+Obce!E35+POO!D35+NOO!E34+SoPo!E40+ZdPo!D42-5062117</f>
        <v>28632083</v>
      </c>
      <c r="F38" s="252">
        <f>ŠR!F57+NJF!F34+ŠFRB!F34+Envir!F34+FNM!F36+SPF!F34+SKA!F36+VVŠ!F34+POŠ!F35+ÚDZS!F34+ÚPN!F34+SNSĽP!F35+STV!F35+SRo!F34+UDVA!F34+RTVS!F35+TASR!F34+AVF!F34+VÚC!F39+POvúc!F35+Obce!F35+POO!E35+NOO!F34+SoPo!F40+ZdPo!E42-5469477</f>
        <v>26995991</v>
      </c>
      <c r="G38" s="252">
        <f>F38-E38</f>
        <v>-1636092</v>
      </c>
      <c r="H38" s="2"/>
      <c r="I38" s="2"/>
      <c r="L38" s="86"/>
      <c r="M38" s="86"/>
    </row>
    <row r="39" spans="2:7" s="1" customFormat="1" ht="12.75" customHeight="1">
      <c r="B39" s="162"/>
      <c r="C39" s="162"/>
      <c r="D39" s="162"/>
      <c r="E39" s="196"/>
      <c r="F39" s="196"/>
      <c r="G39" s="198"/>
    </row>
    <row r="40" spans="2:7" s="1" customFormat="1" ht="25.5">
      <c r="B40" s="253"/>
      <c r="C40" s="431" t="s">
        <v>201</v>
      </c>
      <c r="D40" s="431"/>
      <c r="E40" s="254"/>
      <c r="F40" s="255"/>
      <c r="G40" s="256" t="s">
        <v>205</v>
      </c>
    </row>
    <row r="41" spans="2:8" s="1" customFormat="1" ht="12.75" customHeight="1">
      <c r="B41" s="257">
        <v>7</v>
      </c>
      <c r="C41" s="430" t="s">
        <v>133</v>
      </c>
      <c r="D41" s="430"/>
      <c r="E41" s="196"/>
      <c r="F41" s="162"/>
      <c r="G41" s="258">
        <f>G48-G42+G71</f>
        <v>-224021</v>
      </c>
      <c r="H41" s="2"/>
    </row>
    <row r="42" spans="2:8" s="1" customFormat="1" ht="12.75" customHeight="1" thickBot="1">
      <c r="B42" s="259">
        <v>8</v>
      </c>
      <c r="C42" s="432" t="s">
        <v>21</v>
      </c>
      <c r="D42" s="432"/>
      <c r="E42" s="196"/>
      <c r="F42" s="162"/>
      <c r="G42" s="260">
        <f>SUM(G43:G46)</f>
        <v>168043</v>
      </c>
      <c r="H42" s="2"/>
    </row>
    <row r="43" spans="2:11" s="1" customFormat="1" ht="12.75" customHeight="1">
      <c r="B43" s="236"/>
      <c r="C43" s="240"/>
      <c r="D43" s="162" t="s">
        <v>100</v>
      </c>
      <c r="E43" s="196"/>
      <c r="F43" s="162"/>
      <c r="G43" s="261">
        <f>ŠR!G61</f>
        <v>0</v>
      </c>
      <c r="J43" s="188"/>
      <c r="K43" s="189"/>
    </row>
    <row r="44" spans="2:11" s="1" customFormat="1" ht="12.75" customHeight="1">
      <c r="B44" s="236"/>
      <c r="C44" s="262"/>
      <c r="D44" s="162" t="s">
        <v>101</v>
      </c>
      <c r="E44" s="196"/>
      <c r="F44" s="162"/>
      <c r="G44" s="261">
        <f>ŠR!G62+MRÚ!G40+NJF!G39+ŠFRB!G39+Envir!G39+FNM!G41+SPF!G39+SKA!G41+VVŠ!G39+POŠ!G40+ÚDZS!G39+ÚPN!G39+SNSĽP!G40+STV!G40+SRo!G39+UDVA!G39+RTVS!G40+TASR!G39+AVF!G39+VÚC!G44+POvúc!G40+Obce!G40+POO!F40+NOO!G39+SoPo!G45+ZdPo!F47</f>
        <v>773</v>
      </c>
      <c r="J44" s="35"/>
      <c r="K44" s="190"/>
    </row>
    <row r="45" spans="2:11" s="1" customFormat="1" ht="12.75" customHeight="1" thickBot="1">
      <c r="B45" s="236"/>
      <c r="C45" s="262"/>
      <c r="D45" s="162" t="s">
        <v>102</v>
      </c>
      <c r="E45" s="196"/>
      <c r="F45" s="162"/>
      <c r="G45" s="261">
        <f>ŠR!G63+MRÚ!G41+NJF!G40+ŠFRB!G40+Envir!G40+FNM!G42+SPF!G40+SKA!G42+VVŠ!G40+POŠ!G41+ÚDZS!G40+ÚPN!G40+SNSĽP!G41+STV!G41+SRo!G40+UDVA!G40+RTVS!G41+TASR!G40+AVF!G40+VÚC!G45+POvúc!G41+Obce!G41+POO!F41+NOO!G40+SoPo!G46+ZdPo!F48-1932-1384-23</f>
        <v>158167</v>
      </c>
      <c r="J45" s="191"/>
      <c r="K45" s="192"/>
    </row>
    <row r="46" spans="2:7" s="1" customFormat="1" ht="12.75" customHeight="1">
      <c r="B46" s="236"/>
      <c r="C46" s="262"/>
      <c r="D46" s="162" t="s">
        <v>103</v>
      </c>
      <c r="E46" s="196"/>
      <c r="F46" s="162"/>
      <c r="G46" s="261">
        <f>ŠR!G64+MRÚ!G42+NJF!G41+ŠFRB!G41+Envir!G41+FNM!G43+SPF!G41+SKA!G43+VVŠ!G41+POŠ!G42+ÚDZS!G41+ÚPN!G41+SNSĽP!G42+STV!G42+SRo!G41+UDVA!G41+RTVS!G42+TASR!G41+AVF!G41+VÚC!G46+POvúc!G42+Obce!G42+POO!F42+NOO!G41+SoPo!G47+ZdPo!F49</f>
        <v>9103</v>
      </c>
    </row>
    <row r="47" spans="2:7" s="1" customFormat="1" ht="12.75" customHeight="1">
      <c r="B47" s="236"/>
      <c r="C47" s="162"/>
      <c r="D47" s="162"/>
      <c r="E47" s="196"/>
      <c r="F47" s="162"/>
      <c r="G47" s="261"/>
    </row>
    <row r="48" spans="2:7" s="1" customFormat="1" ht="12.75" customHeight="1">
      <c r="B48" s="259">
        <v>9</v>
      </c>
      <c r="C48" s="432" t="s">
        <v>25</v>
      </c>
      <c r="D48" s="432"/>
      <c r="E48" s="196"/>
      <c r="F48" s="162"/>
      <c r="G48" s="260">
        <f>SUM(G49:G52)</f>
        <v>157401</v>
      </c>
    </row>
    <row r="49" spans="2:8" s="1" customFormat="1" ht="12.75" customHeight="1">
      <c r="B49" s="236"/>
      <c r="C49" s="240"/>
      <c r="D49" s="162" t="s">
        <v>104</v>
      </c>
      <c r="E49" s="196"/>
      <c r="F49" s="162"/>
      <c r="G49" s="261">
        <f>ŠR!G67</f>
        <v>0</v>
      </c>
      <c r="H49" s="2"/>
    </row>
    <row r="50" spans="2:8" s="1" customFormat="1" ht="12.75" customHeight="1">
      <c r="B50" s="236"/>
      <c r="C50" s="162"/>
      <c r="D50" s="162" t="s">
        <v>105</v>
      </c>
      <c r="E50" s="196"/>
      <c r="F50" s="162"/>
      <c r="G50" s="261">
        <f>ŠR!G68+MRÚ!G45+NJF!G44+ŠFRB!G44+Envir!G44+FNM!G46+SPF!G44+SKA!G46+VVŠ!G44+POŠ!G45+ÚDZS!G44+ÚPN!G44+SNSĽP!G45+STV!G45+SRo!G44+UDVA!G44+RTVS!G45+TASR!G44+AVF!G44+VÚC!G49+POvúc!G45+Obce!G45+POO!F45+NOO!G44+SoPo!G49+ZdPo!F52</f>
        <v>4</v>
      </c>
      <c r="H50" s="2"/>
    </row>
    <row r="51" spans="2:8" s="1" customFormat="1" ht="12.75" customHeight="1">
      <c r="B51" s="236"/>
      <c r="C51" s="162"/>
      <c r="D51" s="162" t="s">
        <v>106</v>
      </c>
      <c r="E51" s="196"/>
      <c r="F51" s="162"/>
      <c r="G51" s="261">
        <f>ŠR!G69+MRÚ!G46+NJF!G45+ŠFRB!G45+Envir!G45+FNM!G47+SPF!G45+SKA!G47+VVŠ!G45+POŠ!G46+ÚDZS!G45+ÚPN!G45+SNSĽP!G46+STV!G46+SRo!G45+UDVA!G45+RTVS!G46+TASR!G45+AVF!G45+VÚC!G50+POvúc!G46+Obce!G46+POO!F46+NOO!G45+SoPo!G50+ZdPo!F53-280-73852</f>
        <v>130998</v>
      </c>
      <c r="H51" s="2"/>
    </row>
    <row r="52" spans="2:7" s="1" customFormat="1" ht="12.75" customHeight="1">
      <c r="B52" s="236"/>
      <c r="C52" s="162"/>
      <c r="D52" s="162" t="s">
        <v>107</v>
      </c>
      <c r="E52" s="196"/>
      <c r="F52" s="162"/>
      <c r="G52" s="261">
        <f>ŠR!G70+MRÚ!G47+NJF!G46+ŠFRB!G46+Envir!G46+FNM!G48+SPF!G46+SKA!G48+VVŠ!G46+POŠ!G47+ÚDZS!G46+ÚPN!G46+SNSĽP!G47+STV!G47+SRo!G46+UDVA!G46+RTVS!G47+TASR!G46+AVF!G46+VÚC!G51+POvúc!G47+Obce!G47+POO!F47+NOO!G46+SoPo!G51+ZdPo!F54</f>
        <v>26399</v>
      </c>
    </row>
    <row r="53" spans="2:7" s="1" customFormat="1" ht="12.75" customHeight="1">
      <c r="B53" s="236"/>
      <c r="C53" s="162"/>
      <c r="D53" s="162"/>
      <c r="E53" s="196"/>
      <c r="F53" s="162"/>
      <c r="G53" s="261"/>
    </row>
    <row r="54" spans="2:8" s="1" customFormat="1" ht="12.75" customHeight="1">
      <c r="B54" s="257">
        <v>10</v>
      </c>
      <c r="C54" s="430" t="s">
        <v>124</v>
      </c>
      <c r="D54" s="430"/>
      <c r="E54" s="263"/>
      <c r="F54" s="162"/>
      <c r="G54" s="243">
        <f>G55-G61</f>
        <v>4598855</v>
      </c>
      <c r="H54" s="2"/>
    </row>
    <row r="55" spans="2:8" s="1" customFormat="1" ht="12.75" customHeight="1">
      <c r="B55" s="259">
        <v>11</v>
      </c>
      <c r="C55" s="432" t="s">
        <v>26</v>
      </c>
      <c r="D55" s="432"/>
      <c r="E55" s="196"/>
      <c r="F55" s="162"/>
      <c r="G55" s="260">
        <f>SUM(G56:G59)</f>
        <v>19471476</v>
      </c>
      <c r="H55" s="2"/>
    </row>
    <row r="56" spans="2:8" s="1" customFormat="1" ht="12.75" customHeight="1">
      <c r="B56" s="259"/>
      <c r="C56" s="240"/>
      <c r="D56" s="162" t="s">
        <v>68</v>
      </c>
      <c r="E56" s="196"/>
      <c r="F56" s="162"/>
      <c r="G56" s="260">
        <f>ŠR!G76</f>
        <v>71050</v>
      </c>
      <c r="H56" s="2"/>
    </row>
    <row r="57" spans="2:8" s="1" customFormat="1" ht="12.75" customHeight="1">
      <c r="B57" s="236"/>
      <c r="C57" s="162"/>
      <c r="D57" s="162" t="s">
        <v>108</v>
      </c>
      <c r="E57" s="196"/>
      <c r="F57" s="162"/>
      <c r="G57" s="261">
        <f>ŠR!G74+MRÚ!G51+NJF!G50+ŠFRB!G50+Envir!G50+FNM!G52+SPF!G50+SKA!G52+VVŠ!G50+POŠ!G51+ÚDZS!G50+ÚPN!G44+SNSĽP!G51+STV!G51+SRo!G50+UDVA!G50+RTVS!G51+TASR!G50+AVF!G50+VÚC!G54+POvúc!G51+Obce!G51+POO!F51+NOO!G50+SoPo!G55+ZdPo!F58</f>
        <v>9419883</v>
      </c>
      <c r="H57" s="2"/>
    </row>
    <row r="58" spans="2:7" s="1" customFormat="1" ht="12.75" customHeight="1">
      <c r="B58" s="236"/>
      <c r="C58" s="162"/>
      <c r="D58" s="162" t="s">
        <v>109</v>
      </c>
      <c r="E58" s="196"/>
      <c r="F58" s="162"/>
      <c r="G58" s="261">
        <f>ŠR!G75+MRÚ!G52+NJF!G51+ŠFRB!G51+Envir!G51+FNM!G53+SPF!G51+SKA!G53+VVŠ!G51+POŠ!G52+ÚDZS!G51+ÚPN!G45+SNSĽP!G52+STV!G52+SRo!G51+UDVA!G51+RTVS!G52+TASR!G51+AVF!G51+VÚC!G55+POvúc!G52+Obce!G52+POO!F52+NOO!G51+SoPo!G56+ZdPo!F59-280-73852</f>
        <v>9980543</v>
      </c>
    </row>
    <row r="59" spans="2:7" s="1" customFormat="1" ht="12.75" customHeight="1">
      <c r="B59" s="236"/>
      <c r="C59" s="162"/>
      <c r="D59" s="162" t="s">
        <v>162</v>
      </c>
      <c r="E59" s="196"/>
      <c r="F59" s="162"/>
      <c r="G59" s="261">
        <f>RTVS!G53+TASR!G52+AVF!G52+ZdPo!F60</f>
        <v>0</v>
      </c>
    </row>
    <row r="60" spans="2:7" s="1" customFormat="1" ht="12.75" customHeight="1">
      <c r="B60" s="236"/>
      <c r="C60" s="162"/>
      <c r="D60" s="162"/>
      <c r="E60" s="196"/>
      <c r="F60" s="162"/>
      <c r="G60" s="261"/>
    </row>
    <row r="61" spans="2:7" s="1" customFormat="1" ht="12.75" customHeight="1">
      <c r="B61" s="259">
        <v>12</v>
      </c>
      <c r="C61" s="432" t="s">
        <v>27</v>
      </c>
      <c r="D61" s="432"/>
      <c r="E61" s="196"/>
      <c r="F61" s="162"/>
      <c r="G61" s="260">
        <f>SUM(G62:G65)</f>
        <v>14872621</v>
      </c>
    </row>
    <row r="62" spans="2:7" s="1" customFormat="1" ht="12.75" customHeight="1">
      <c r="B62" s="259"/>
      <c r="C62" s="240"/>
      <c r="D62" s="162" t="s">
        <v>68</v>
      </c>
      <c r="E62" s="196"/>
      <c r="F62" s="162"/>
      <c r="G62" s="260">
        <f>ŠR!G80</f>
        <v>83485</v>
      </c>
    </row>
    <row r="63" spans="2:8" s="1" customFormat="1" ht="12.75" customHeight="1">
      <c r="B63" s="251"/>
      <c r="C63" s="264"/>
      <c r="D63" s="264" t="s">
        <v>110</v>
      </c>
      <c r="E63" s="265"/>
      <c r="F63" s="264"/>
      <c r="G63" s="266">
        <f>ŠR!G78+MRÚ!G55+NJF!G54+ŠFRB!G53+Envir!G54+FNM!G56+SPF!G54+SKA!G56+VVŠ!G54+POŠ!G55+ÚDZS!G54+ÚPN!G54+SNSĽP!G54+STV!G55+SRo!G53+UDVA!G53+RTVS!G55+TASR!G54+AVF!G54+VÚC!G58+POvúc!G54+Obce!G54+POO!F54+NOO!G53+SoPo!G59+ZdPo!F63</f>
        <v>4917027</v>
      </c>
      <c r="H63" s="2"/>
    </row>
    <row r="64" spans="2:7" s="1" customFormat="1" ht="12.75" customHeight="1">
      <c r="B64" s="267"/>
      <c r="C64" s="268"/>
      <c r="D64" s="268" t="s">
        <v>111</v>
      </c>
      <c r="E64" s="269"/>
      <c r="F64" s="268"/>
      <c r="G64" s="270">
        <f>ŠR!G79+MRÚ!G56+NJF!G55+ŠFRB!G54+Envir!G55+FNM!G57+SPF!G55+SKA!G57+VVŠ!G55+POŠ!G56+ÚDZS!G55+ÚPN!G55+SNSĽP!G55+STV!G56+SRo!G54+UDVA!G54+RTVS!G56+TASR!G55+AVF!G55+VÚC!G59+POvúc!G55+Obce!G55+POO!F55+NOO!G54+SoPo!G60+ZdPo!F64-1932-1384-23</f>
        <v>9872109</v>
      </c>
    </row>
    <row r="65" spans="2:7" s="1" customFormat="1" ht="12.75" customHeight="1">
      <c r="B65" s="236"/>
      <c r="C65" s="162"/>
      <c r="D65" s="162" t="s">
        <v>163</v>
      </c>
      <c r="E65" s="196"/>
      <c r="F65" s="162"/>
      <c r="G65" s="261">
        <f>SKA!G58</f>
        <v>0</v>
      </c>
    </row>
    <row r="66" spans="2:7" s="1" customFormat="1" ht="12.75" customHeight="1">
      <c r="B66" s="236"/>
      <c r="C66" s="162"/>
      <c r="D66" s="162"/>
      <c r="E66" s="196"/>
      <c r="F66" s="162"/>
      <c r="G66" s="261"/>
    </row>
    <row r="67" spans="2:8" s="1" customFormat="1" ht="12.75" customHeight="1">
      <c r="B67" s="257">
        <v>13</v>
      </c>
      <c r="C67" s="430" t="s">
        <v>147</v>
      </c>
      <c r="D67" s="430"/>
      <c r="E67" s="196"/>
      <c r="F67" s="162"/>
      <c r="G67" s="258">
        <f>ŠR!G81+NJF!G57+ŠFRB!G56+Envir!G57+FNM!G59+SPF!G57+SKA!G60+VVŠ!G57+POŠ!G58+ÚDZS!G57+ÚPN!G57+SNSĽP!G57+STV!G58+SRo!G56+UDVA!G56+RTVS!G58+TASR!G57+AVF!G57+VÚC!G61+POvúc!G57+Obce!G57+POO!F57+NOO!G56+SoPo!G62+ZdPo!F66</f>
        <v>-69904</v>
      </c>
      <c r="H67" s="2"/>
    </row>
    <row r="68" spans="2:7" s="1" customFormat="1" ht="12.75" customHeight="1">
      <c r="B68" s="236"/>
      <c r="C68" s="262"/>
      <c r="D68" s="262"/>
      <c r="E68" s="196"/>
      <c r="F68" s="162"/>
      <c r="G68" s="261"/>
    </row>
    <row r="69" spans="2:8" s="1" customFormat="1" ht="12.75" customHeight="1">
      <c r="B69" s="257">
        <v>14</v>
      </c>
      <c r="C69" s="271" t="s">
        <v>178</v>
      </c>
      <c r="D69" s="262"/>
      <c r="E69" s="196"/>
      <c r="F69" s="162"/>
      <c r="G69" s="243">
        <f>ŠR!G83+NJF!G59+ŠFRB!G58+Envir!G59+FNM!G61+SPF!G59+SKA!G62+VVŠ!G59+POŠ!G60+ÚDZS!G59+ÚPN!G59+SNSĽP!G59+STV!G60+SRo!G58+UDVA!G58+RTVS!G60+TASR!G59+AVF!G59+VÚC!G63+POvúc!G59+Obce!G59+POO!F59+NOO!G58+SoPo!G64+ZdPo!F68</f>
        <v>-334886</v>
      </c>
      <c r="H69" s="2"/>
    </row>
    <row r="70" spans="2:8" s="1" customFormat="1" ht="12.75" customHeight="1">
      <c r="B70" s="236"/>
      <c r="C70" s="240"/>
      <c r="D70" s="272"/>
      <c r="E70" s="196"/>
      <c r="F70" s="162"/>
      <c r="G70" s="261"/>
      <c r="H70" s="2"/>
    </row>
    <row r="71" spans="2:8" s="1" customFormat="1" ht="12.75" customHeight="1">
      <c r="B71" s="259">
        <v>15</v>
      </c>
      <c r="C71" s="273" t="s">
        <v>28</v>
      </c>
      <c r="D71" s="274"/>
      <c r="E71" s="196"/>
      <c r="F71" s="162"/>
      <c r="G71" s="261">
        <f>ŠR!G85+NJF!G61+ŠFRB!G60+Envir!G61+FNM!G63+SPF!G61+SKA!G64+VVŠ!G61+POŠ!G62+ÚDZS!G61+ÚPN!G61+SNSĽP!G61+STV!G62+SRo!G60+UDVA!G60+RTVS!G62+TASR!G61+AVF!G61+VÚC!G65+POvúc!G61+Obce!G61+POO!F61+NOO!G60+SoPo!G66+ZdPo!F70</f>
        <v>-213379</v>
      </c>
      <c r="H71" s="2"/>
    </row>
    <row r="72" spans="2:8" s="1" customFormat="1" ht="12.75" customHeight="1">
      <c r="B72" s="236"/>
      <c r="C72" s="262"/>
      <c r="D72" s="162"/>
      <c r="E72" s="263"/>
      <c r="F72" s="162"/>
      <c r="G72" s="238"/>
      <c r="H72" s="2"/>
    </row>
    <row r="73" spans="2:8" s="1" customFormat="1" ht="12.75" customHeight="1">
      <c r="B73" s="244">
        <v>16</v>
      </c>
      <c r="C73" s="275" t="s">
        <v>127</v>
      </c>
      <c r="D73" s="276"/>
      <c r="E73" s="277"/>
      <c r="F73" s="278"/>
      <c r="G73" s="279">
        <f>G41-G54+G67+G69</f>
        <v>-5227666</v>
      </c>
      <c r="H73" s="2"/>
    </row>
    <row r="74" spans="2:9" s="1" customFormat="1" ht="12.75" customHeight="1">
      <c r="B74" s="280">
        <v>17</v>
      </c>
      <c r="C74" s="281" t="s">
        <v>128</v>
      </c>
      <c r="D74" s="281"/>
      <c r="E74" s="265"/>
      <c r="F74" s="265"/>
      <c r="G74" s="266">
        <f>G73-F36</f>
        <v>-20615</v>
      </c>
      <c r="H74" s="2"/>
      <c r="I74" s="2"/>
    </row>
    <row r="75" spans="1:7" s="1" customFormat="1" ht="12.75" customHeight="1">
      <c r="A75" s="3"/>
      <c r="B75" s="162"/>
      <c r="C75" s="162"/>
      <c r="D75" s="162"/>
      <c r="E75" s="196"/>
      <c r="F75" s="196"/>
      <c r="G75" s="198"/>
    </row>
    <row r="76" spans="2:7" s="1" customFormat="1" ht="26.25" customHeight="1">
      <c r="B76" s="253"/>
      <c r="C76" s="431" t="s">
        <v>202</v>
      </c>
      <c r="D76" s="431"/>
      <c r="E76" s="254"/>
      <c r="F76" s="255"/>
      <c r="G76" s="256" t="s">
        <v>205</v>
      </c>
    </row>
    <row r="77" spans="2:7" s="1" customFormat="1" ht="12.75" customHeight="1">
      <c r="B77" s="236"/>
      <c r="C77" s="282"/>
      <c r="D77" s="282"/>
      <c r="E77" s="196"/>
      <c r="F77" s="196"/>
      <c r="G77" s="283"/>
    </row>
    <row r="78" spans="2:7" s="1" customFormat="1" ht="12.75" customHeight="1">
      <c r="B78" s="257">
        <v>18</v>
      </c>
      <c r="C78" s="429" t="s">
        <v>135</v>
      </c>
      <c r="D78" s="429"/>
      <c r="E78" s="196"/>
      <c r="F78" s="196"/>
      <c r="G78" s="284">
        <f>-1*F36</f>
        <v>5207051</v>
      </c>
    </row>
    <row r="79" spans="2:7" s="1" customFormat="1" ht="12.75" customHeight="1">
      <c r="B79" s="236"/>
      <c r="C79" s="262"/>
      <c r="D79" s="262"/>
      <c r="E79" s="196"/>
      <c r="F79" s="196"/>
      <c r="G79" s="283"/>
    </row>
    <row r="80" spans="2:7" s="1" customFormat="1" ht="12.75" customHeight="1">
      <c r="B80" s="257">
        <v>19</v>
      </c>
      <c r="C80" s="430" t="s">
        <v>129</v>
      </c>
      <c r="D80" s="430"/>
      <c r="E80" s="196"/>
      <c r="F80" s="162"/>
      <c r="G80" s="284">
        <f>SUM(G81:G83)+G86+G89</f>
        <v>118141</v>
      </c>
    </row>
    <row r="81" spans="2:7" s="1" customFormat="1" ht="12.75" customHeight="1">
      <c r="B81" s="236"/>
      <c r="C81" s="240"/>
      <c r="D81" s="162" t="s">
        <v>68</v>
      </c>
      <c r="E81" s="196"/>
      <c r="F81" s="162"/>
      <c r="G81" s="261">
        <f>ŠR!G96+NJF!G70+ŠFRB!G69+Envir!G70+FNM!G72+SPF!G70+SKA!G73+VVŠ!G70+POŠ!G71+ÚDZS!G70+ÚPN!G70+SNSĽP!G70+STV!G71+SRo!G69+UDVA!G69+RTVS!G71+TASR!G70+AVF!G70+VÚC!G74+POvúc!G70+Obce!G70+POO!F70+NOO!G69+SoPo!G75+ZdPo!F79</f>
        <v>-213379</v>
      </c>
    </row>
    <row r="82" spans="2:7" s="1" customFormat="1" ht="12.75" customHeight="1">
      <c r="B82" s="236"/>
      <c r="C82" s="240"/>
      <c r="D82" s="162" t="s">
        <v>22</v>
      </c>
      <c r="E82" s="196"/>
      <c r="F82" s="162"/>
      <c r="G82" s="261">
        <f>Obce!G71</f>
        <v>-769</v>
      </c>
    </row>
    <row r="83" spans="2:11" ht="12.75" customHeight="1">
      <c r="B83" s="285"/>
      <c r="C83" s="262"/>
      <c r="D83" s="162" t="s">
        <v>23</v>
      </c>
      <c r="E83" s="196"/>
      <c r="F83" s="162"/>
      <c r="G83" s="261">
        <f>G84-G85</f>
        <v>-31440</v>
      </c>
      <c r="H83" s="1"/>
      <c r="I83" s="1"/>
      <c r="J83" s="1"/>
      <c r="K83" s="1"/>
    </row>
    <row r="84" spans="2:7" ht="12.75" customHeight="1">
      <c r="B84" s="285"/>
      <c r="C84" s="262"/>
      <c r="D84" s="162" t="s">
        <v>171</v>
      </c>
      <c r="E84" s="196"/>
      <c r="F84" s="162"/>
      <c r="G84" s="261">
        <f>ŠR!G98+NJF!G72+ŠFRB!G71+Envir!G72+FNM!G74+SPF!G72+SKA!G75+VVŠ!G72+POŠ!G73+ÚDZS!G72+ÚPN!G72+SNSĽP!G72+STV!G73+SRo!G71+UDVA!G71+RTVS!G73+TASR!G72+AVF!G72+VÚC!G76+POvúc!G72+Obce!G73+POO!F72+NOO!G71+SoPo!G77+ZdPo!F81-280-73852</f>
        <v>125690</v>
      </c>
    </row>
    <row r="85" spans="2:7" ht="12.75" customHeight="1">
      <c r="B85" s="285"/>
      <c r="C85" s="262"/>
      <c r="D85" s="162" t="s">
        <v>112</v>
      </c>
      <c r="E85" s="196"/>
      <c r="F85" s="162"/>
      <c r="G85" s="261">
        <f>ŠR!G102+NJF!G73+ŠFRB!G72+Envir!G73+FNM!G75+SPF!G73+SKA!G76+VVŠ!G73+POŠ!G74+ÚDZS!G73+ÚPN!G73+SNSĽP!G73+STV!G74+SRo!G72+UDVA!G72+RTVS!G74+TASR!G73+AVF!G73+VÚC!G77+POvúc!G73+Obce!G74+POO!F73+NOO!G72+SoPo!G78+SoPo!G79+ZdPo!F82-1932-1384-23</f>
        <v>157130</v>
      </c>
    </row>
    <row r="86" spans="2:8" ht="12.75" customHeight="1">
      <c r="B86" s="285"/>
      <c r="C86" s="262"/>
      <c r="D86" s="162" t="s">
        <v>24</v>
      </c>
      <c r="E86" s="196"/>
      <c r="F86" s="162"/>
      <c r="G86" s="261">
        <f>G87-G88</f>
        <v>-140362</v>
      </c>
      <c r="H86" s="2"/>
    </row>
    <row r="87" spans="2:7" ht="12.75" customHeight="1">
      <c r="B87" s="285"/>
      <c r="C87" s="262"/>
      <c r="D87" s="162" t="s">
        <v>78</v>
      </c>
      <c r="E87" s="196"/>
      <c r="F87" s="162"/>
      <c r="G87" s="261">
        <f>ŠR!G109+NJF!G75+ŠFRB!G74+Envir!G75+FNM!G77+SPF!G75+SKA!G78+VVŠ!G75+POŠ!G76+ÚDZS!G75+ÚPN!G75+SNSĽP!G75+STV!G76+SRo!G74+UDVA!G74+RTVS!G76+TASR!G75+AVF!G75+VÚC!G79+POvúc!G75+Obce!G76+POO!F75+NOO!G74+SoPo!G81+ZdPo!F84</f>
        <v>15153</v>
      </c>
    </row>
    <row r="88" spans="2:7" ht="12.75" customHeight="1">
      <c r="B88" s="285"/>
      <c r="C88" s="262"/>
      <c r="D88" s="162" t="s">
        <v>79</v>
      </c>
      <c r="E88" s="196"/>
      <c r="F88" s="162"/>
      <c r="G88" s="261">
        <f>ŠR!G112+NJF!G76+ŠFRB!G75+Envir!G76+FNM!G78+SPF!G76+SKA!G79+VVŠ!G76+POŠ!G77+ÚDZS!G76+ÚPN!G76+SNSĽP!G76+STV!G77+SRo!G75+UDVA!G75+RTVS!G77+TASR!G76+AVF!G76+VÚC!G80+POvúc!G76+Obce!G77+POO!F76+NOO!G75+SoPo!G82+ZdPo!F85</f>
        <v>155515</v>
      </c>
    </row>
    <row r="89" spans="2:8" ht="12.75" customHeight="1">
      <c r="B89" s="285"/>
      <c r="C89" s="162"/>
      <c r="D89" s="162" t="s">
        <v>113</v>
      </c>
      <c r="E89" s="196"/>
      <c r="F89" s="162"/>
      <c r="G89" s="261">
        <f>ŠR!G115+NJF!G77+ŠFRB!G76+Envir!G77+FNM!G79+SPF!G77+SKA!G80+VVŠ!G77+POŠ!G78+ÚDZS!G77+ÚPN!G77+SNSĽP!G77+STV!G78+SRo!G76+UDVA!G76+RTVS!G78+TASR!G77+AVF!G77+VÚC!G81+POvúc!G77+Obce!G78+POO!F77+NOO!G76+SoPo!G83+ZdPo!F86</f>
        <v>504091</v>
      </c>
      <c r="H89" s="6"/>
    </row>
    <row r="90" spans="2:9" ht="12.75" customHeight="1">
      <c r="B90" s="257">
        <v>20</v>
      </c>
      <c r="C90" s="430" t="s">
        <v>130</v>
      </c>
      <c r="D90" s="430"/>
      <c r="E90" s="196"/>
      <c r="F90" s="162"/>
      <c r="G90" s="284">
        <f>SUM(G91:G95)</f>
        <v>-662193</v>
      </c>
      <c r="H90" s="6"/>
      <c r="I90" s="6"/>
    </row>
    <row r="91" spans="2:7" ht="12.75" customHeight="1">
      <c r="B91" s="285"/>
      <c r="C91" s="162"/>
      <c r="D91" s="162" t="s">
        <v>81</v>
      </c>
      <c r="E91" s="286"/>
      <c r="F91" s="287"/>
      <c r="G91" s="261">
        <f>ŠR!G121+NJF!G80+ŠFRB!G79+Envir!G80+FNM!G82+SPF!G80+SKA!G83+VVŠ!G80+POŠ!G81+ÚDZS!G80+ÚPN!G80+SNSĽP!G80+STV!G81+SRo!G79+UDVA!G79+RTVS!G81+TASR!G80+AVF!G80+VÚC!G84+POvúc!G80+Obce!G81+POO!F80+NOO!G79+SoPo!G86+ZdPo!F89</f>
        <v>-699784</v>
      </c>
    </row>
    <row r="92" spans="2:7" ht="12.75" customHeight="1">
      <c r="B92" s="285"/>
      <c r="C92" s="162"/>
      <c r="D92" s="162" t="s">
        <v>82</v>
      </c>
      <c r="E92" s="196"/>
      <c r="F92" s="162"/>
      <c r="G92" s="261">
        <f>ŠR!G122</f>
        <v>51973</v>
      </c>
    </row>
    <row r="93" spans="2:7" ht="12.75" customHeight="1">
      <c r="B93" s="285"/>
      <c r="C93" s="162"/>
      <c r="D93" s="162" t="s">
        <v>83</v>
      </c>
      <c r="E93" s="196"/>
      <c r="F93" s="162"/>
      <c r="G93" s="261">
        <f>ŠR!G126</f>
        <v>-30730</v>
      </c>
    </row>
    <row r="94" spans="2:7" ht="12.75" customHeight="1">
      <c r="B94" s="285"/>
      <c r="C94" s="162"/>
      <c r="D94" s="162" t="s">
        <v>84</v>
      </c>
      <c r="E94" s="196"/>
      <c r="F94" s="162"/>
      <c r="G94" s="261">
        <f>ŠR!G130+Obce!G86</f>
        <v>16073</v>
      </c>
    </row>
    <row r="95" spans="2:7" ht="12.75" customHeight="1">
      <c r="B95" s="285"/>
      <c r="C95" s="162"/>
      <c r="D95" s="162" t="s">
        <v>166</v>
      </c>
      <c r="E95" s="196"/>
      <c r="F95" s="162"/>
      <c r="G95" s="261">
        <f>Obce!G87+NOO!G85</f>
        <v>275</v>
      </c>
    </row>
    <row r="96" spans="2:7" ht="12.75" customHeight="1">
      <c r="B96" s="285"/>
      <c r="C96" s="162"/>
      <c r="D96" s="162"/>
      <c r="E96" s="196"/>
      <c r="F96" s="162"/>
      <c r="G96" s="261"/>
    </row>
    <row r="97" spans="2:10" ht="12.75" customHeight="1">
      <c r="B97" s="236">
        <v>21</v>
      </c>
      <c r="C97" s="430" t="s">
        <v>134</v>
      </c>
      <c r="D97" s="430"/>
      <c r="E97" s="196"/>
      <c r="F97" s="162"/>
      <c r="G97" s="284">
        <f>SUM(G98:G99)</f>
        <v>4094</v>
      </c>
      <c r="H97" s="6"/>
      <c r="I97" s="6"/>
      <c r="J97" s="6"/>
    </row>
    <row r="98" spans="2:10" ht="12.75">
      <c r="B98" s="285"/>
      <c r="C98" s="162"/>
      <c r="D98" s="162" t="s">
        <v>179</v>
      </c>
      <c r="E98" s="196"/>
      <c r="F98" s="162"/>
      <c r="G98" s="261">
        <f>G74</f>
        <v>-20615</v>
      </c>
      <c r="J98" s="6"/>
    </row>
    <row r="99" spans="2:7" ht="12.75">
      <c r="B99" s="285"/>
      <c r="C99" s="162"/>
      <c r="D99" s="162" t="s">
        <v>86</v>
      </c>
      <c r="E99" s="196"/>
      <c r="F99" s="162"/>
      <c r="G99" s="261">
        <f>G101-G78-G80-G90-G98</f>
        <v>24709</v>
      </c>
    </row>
    <row r="100" spans="2:7" ht="12.75">
      <c r="B100" s="285"/>
      <c r="C100" s="162"/>
      <c r="D100" s="162"/>
      <c r="E100" s="196"/>
      <c r="F100" s="162"/>
      <c r="G100" s="261"/>
    </row>
    <row r="101" spans="2:8" ht="12.75">
      <c r="B101" s="288">
        <v>22</v>
      </c>
      <c r="C101" s="427" t="s">
        <v>259</v>
      </c>
      <c r="D101" s="427"/>
      <c r="E101" s="427"/>
      <c r="F101" s="428"/>
      <c r="G101" s="279">
        <f>ŠR!G137+NJF!G92+ŠFRB!G91+Envir!G92+FNM!G94+SPF!G92+SKA!G95+VVŠ!G92+POŠ!G93+ÚDZS!G92+ÚPN!G92+SNSĽP!G92+STV!G93+SRo!G91+UDVA!G91+RTVS!G93+TASR!G92+AVF!G92+VÚC!G96+POvúc!G92+Obce!G93+POO!F92+NOO!G91+SoPo!G98+ZdPo!F101-280-73852+1932+1384+23</f>
        <v>4667093</v>
      </c>
      <c r="H101" s="6"/>
    </row>
  </sheetData>
  <mergeCells count="24">
    <mergeCell ref="C48:D48"/>
    <mergeCell ref="C54:D54"/>
    <mergeCell ref="C42:D42"/>
    <mergeCell ref="C41:D41"/>
    <mergeCell ref="C3:D3"/>
    <mergeCell ref="C4:D4"/>
    <mergeCell ref="C14:D14"/>
    <mergeCell ref="C24:D24"/>
    <mergeCell ref="H3:I3"/>
    <mergeCell ref="C101:F101"/>
    <mergeCell ref="C78:D78"/>
    <mergeCell ref="C80:D80"/>
    <mergeCell ref="C90:D90"/>
    <mergeCell ref="C97:D97"/>
    <mergeCell ref="C76:D76"/>
    <mergeCell ref="C55:D55"/>
    <mergeCell ref="C61:D61"/>
    <mergeCell ref="C67:D67"/>
    <mergeCell ref="C26:D26"/>
    <mergeCell ref="C34:D34"/>
    <mergeCell ref="C36:D36"/>
    <mergeCell ref="C37:D37"/>
    <mergeCell ref="C38:D38"/>
    <mergeCell ref="C40:D40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63" min="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138"/>
  <sheetViews>
    <sheetView showGridLines="0" view="pageBreakPreview" zoomScale="80" zoomScaleSheetLayoutView="80" workbookViewId="0" topLeftCell="A19">
      <selection activeCell="F18" sqref="F18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customWidth="1"/>
    <col min="5" max="5" width="9.8515625" style="43" customWidth="1"/>
    <col min="6" max="6" width="9.8515625" style="51" customWidth="1"/>
    <col min="7" max="7" width="10.57421875" style="42" customWidth="1"/>
    <col min="8" max="8" width="25.28125" style="42" customWidth="1"/>
    <col min="9" max="16384" width="9.140625" style="1" customWidth="1"/>
  </cols>
  <sheetData>
    <row r="1" spans="2:8" s="31" customFormat="1" ht="15">
      <c r="B1" s="289"/>
      <c r="C1" s="290" t="s">
        <v>58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29" t="s">
        <v>119</v>
      </c>
      <c r="D4" s="429"/>
      <c r="E4" s="234">
        <f>E5+E11</f>
        <v>8786</v>
      </c>
      <c r="F4" s="234">
        <f>F5+F11</f>
        <v>7059</v>
      </c>
      <c r="G4" s="235">
        <f aca="true" t="shared" si="0" ref="G4:G11">F4-E4</f>
        <v>-1727</v>
      </c>
      <c r="H4" s="78"/>
    </row>
    <row r="5" spans="2:8" ht="12.75" customHeight="1">
      <c r="B5" s="236"/>
      <c r="C5" s="237" t="s">
        <v>0</v>
      </c>
      <c r="D5" s="237" t="s">
        <v>30</v>
      </c>
      <c r="E5" s="238">
        <f>E6+E7+E8+E9+E10</f>
        <v>8786</v>
      </c>
      <c r="F5" s="238">
        <f>F6+F7+F8+F9+F10</f>
        <v>7059</v>
      </c>
      <c r="G5" s="239">
        <f t="shared" si="0"/>
        <v>-1727</v>
      </c>
      <c r="H5" s="38"/>
    </row>
    <row r="6" spans="2:8" ht="12.75" customHeight="1">
      <c r="B6" s="236"/>
      <c r="C6" s="237"/>
      <c r="D6" s="240" t="s">
        <v>44</v>
      </c>
      <c r="E6" s="238">
        <v>63</v>
      </c>
      <c r="F6" s="238">
        <v>46</v>
      </c>
      <c r="G6" s="239">
        <f t="shared" si="0"/>
        <v>-17</v>
      </c>
      <c r="H6" s="38"/>
    </row>
    <row r="7" spans="2:8" ht="12.75" customHeight="1">
      <c r="B7" s="236"/>
      <c r="C7" s="237"/>
      <c r="D7" s="240" t="s">
        <v>40</v>
      </c>
      <c r="E7" s="238">
        <v>0</v>
      </c>
      <c r="F7" s="238">
        <v>0</v>
      </c>
      <c r="G7" s="239">
        <f t="shared" si="0"/>
        <v>0</v>
      </c>
      <c r="H7" s="38"/>
    </row>
    <row r="8" spans="2:8" ht="12.75" customHeight="1">
      <c r="B8" s="236"/>
      <c r="C8" s="237"/>
      <c r="D8" s="240" t="s">
        <v>41</v>
      </c>
      <c r="E8" s="238">
        <v>0</v>
      </c>
      <c r="F8" s="238">
        <v>0</v>
      </c>
      <c r="G8" s="239">
        <f t="shared" si="0"/>
        <v>0</v>
      </c>
      <c r="H8" s="38"/>
    </row>
    <row r="9" spans="2:8" ht="12.75" customHeight="1">
      <c r="B9" s="236"/>
      <c r="C9" s="237"/>
      <c r="D9" s="240" t="s">
        <v>42</v>
      </c>
      <c r="E9" s="238">
        <v>8471</v>
      </c>
      <c r="F9" s="238">
        <v>6612</v>
      </c>
      <c r="G9" s="239">
        <f t="shared" si="0"/>
        <v>-1859</v>
      </c>
      <c r="H9" s="38"/>
    </row>
    <row r="10" spans="2:8" ht="12.75" customHeight="1">
      <c r="B10" s="236"/>
      <c r="C10" s="237"/>
      <c r="D10" s="240" t="s">
        <v>43</v>
      </c>
      <c r="E10" s="238">
        <v>252</v>
      </c>
      <c r="F10" s="238">
        <v>401</v>
      </c>
      <c r="G10" s="239">
        <f t="shared" si="0"/>
        <v>149</v>
      </c>
      <c r="H10" s="38"/>
    </row>
    <row r="11" spans="2:8" ht="12.75" customHeight="1">
      <c r="B11" s="236"/>
      <c r="C11" s="237"/>
      <c r="D11" s="237" t="s">
        <v>31</v>
      </c>
      <c r="E11" s="238">
        <v>0</v>
      </c>
      <c r="F11" s="238">
        <v>0</v>
      </c>
      <c r="G11" s="239">
        <f t="shared" si="0"/>
        <v>0</v>
      </c>
      <c r="H11" s="38"/>
    </row>
    <row r="12" spans="2:8" ht="12.75" customHeight="1">
      <c r="B12" s="236"/>
      <c r="C12" s="237"/>
      <c r="D12" s="237"/>
      <c r="E12" s="238"/>
      <c r="F12" s="238"/>
      <c r="G12" s="239"/>
      <c r="H12" s="38"/>
    </row>
    <row r="13" spans="2:8" ht="12.75" customHeight="1">
      <c r="B13" s="236"/>
      <c r="C13" s="237"/>
      <c r="D13" s="237"/>
      <c r="E13" s="238"/>
      <c r="F13" s="238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8364</v>
      </c>
      <c r="F14" s="243">
        <f>F15+F20</f>
        <v>19982</v>
      </c>
      <c r="G14" s="235">
        <f>F14-E14</f>
        <v>11618</v>
      </c>
      <c r="H14" s="7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8028</v>
      </c>
      <c r="F15" s="238">
        <f>F16+F17+F18+F19</f>
        <v>19836</v>
      </c>
      <c r="G15" s="239">
        <f>F15-E15</f>
        <v>11808</v>
      </c>
      <c r="H15" s="38"/>
    </row>
    <row r="16" spans="2:8" ht="12.75" customHeight="1">
      <c r="B16" s="236"/>
      <c r="C16" s="237"/>
      <c r="D16" s="240" t="s">
        <v>34</v>
      </c>
      <c r="E16" s="238">
        <f>4147+1230</f>
        <v>5377</v>
      </c>
      <c r="F16" s="238">
        <f>4014+1145</f>
        <v>5159</v>
      </c>
      <c r="G16" s="239">
        <f aca="true" t="shared" si="1" ref="G16:G22">F16-E16</f>
        <v>-218</v>
      </c>
      <c r="H16" s="38"/>
    </row>
    <row r="17" spans="2:8" ht="12.75" customHeight="1">
      <c r="B17" s="236"/>
      <c r="C17" s="237"/>
      <c r="D17" s="240" t="s">
        <v>35</v>
      </c>
      <c r="E17" s="238">
        <v>2410</v>
      </c>
      <c r="F17" s="238">
        <v>14447</v>
      </c>
      <c r="G17" s="239">
        <f t="shared" si="1"/>
        <v>12037</v>
      </c>
      <c r="H17" s="38"/>
    </row>
    <row r="18" spans="2:8" ht="12.75" customHeight="1">
      <c r="B18" s="236"/>
      <c r="C18" s="237"/>
      <c r="D18" s="240" t="s">
        <v>36</v>
      </c>
      <c r="E18" s="238">
        <v>241</v>
      </c>
      <c r="F18" s="238">
        <v>230</v>
      </c>
      <c r="G18" s="239">
        <f t="shared" si="1"/>
        <v>-11</v>
      </c>
      <c r="H18" s="38"/>
    </row>
    <row r="19" spans="2:8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  <c r="H19" s="38"/>
    </row>
    <row r="20" spans="2:8" ht="12.75" customHeight="1">
      <c r="B20" s="236"/>
      <c r="C20" s="237"/>
      <c r="D20" s="237" t="s">
        <v>33</v>
      </c>
      <c r="E20" s="238">
        <f>E21+E22</f>
        <v>336</v>
      </c>
      <c r="F20" s="238">
        <f>F21+F22</f>
        <v>146</v>
      </c>
      <c r="G20" s="239">
        <f t="shared" si="1"/>
        <v>-190</v>
      </c>
      <c r="H20" s="38"/>
    </row>
    <row r="21" spans="2:8" ht="12.75" customHeight="1">
      <c r="B21" s="236"/>
      <c r="C21" s="237"/>
      <c r="D21" s="240" t="s">
        <v>38</v>
      </c>
      <c r="E21" s="238">
        <v>336</v>
      </c>
      <c r="F21" s="238">
        <v>146</v>
      </c>
      <c r="G21" s="239">
        <f t="shared" si="1"/>
        <v>-190</v>
      </c>
      <c r="H21" s="38"/>
    </row>
    <row r="22" spans="2:8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  <c r="H22" s="38"/>
    </row>
    <row r="23" spans="2:8" ht="12.75" customHeight="1">
      <c r="B23" s="236"/>
      <c r="C23" s="237"/>
      <c r="D23" s="237"/>
      <c r="E23" s="238"/>
      <c r="F23" s="261"/>
      <c r="G23" s="242"/>
      <c r="H23" s="47"/>
    </row>
    <row r="24" spans="2:8" ht="12.75" customHeight="1">
      <c r="B24" s="244">
        <v>3</v>
      </c>
      <c r="C24" s="434" t="s">
        <v>121</v>
      </c>
      <c r="D24" s="435"/>
      <c r="E24" s="279">
        <f>E4-E14</f>
        <v>422</v>
      </c>
      <c r="F24" s="279">
        <f>F4-F14</f>
        <v>-12923</v>
      </c>
      <c r="G24" s="246">
        <f>F24-E24</f>
        <v>-13345</v>
      </c>
      <c r="H24" s="78"/>
    </row>
    <row r="25" spans="2:8" ht="12.75" customHeight="1">
      <c r="B25" s="236"/>
      <c r="C25" s="247"/>
      <c r="D25" s="247"/>
      <c r="E25" s="243"/>
      <c r="F25" s="258"/>
      <c r="G25" s="235"/>
      <c r="H25" s="78"/>
    </row>
    <row r="26" spans="2:8" ht="12.75" customHeight="1">
      <c r="B26" s="233">
        <v>4</v>
      </c>
      <c r="C26" s="430" t="s">
        <v>283</v>
      </c>
      <c r="D26" s="430"/>
      <c r="E26" s="258">
        <f>E27+E28</f>
        <v>0</v>
      </c>
      <c r="F26" s="258">
        <f>F27+F28</f>
        <v>-36</v>
      </c>
      <c r="G26" s="235">
        <f>F26-E26</f>
        <v>-36</v>
      </c>
      <c r="H26" s="78"/>
    </row>
    <row r="27" spans="2:8" ht="12.75" customHeight="1">
      <c r="B27" s="236"/>
      <c r="C27" s="237"/>
      <c r="D27" s="237" t="s">
        <v>3</v>
      </c>
      <c r="E27" s="258">
        <v>0</v>
      </c>
      <c r="F27" s="261">
        <v>-118</v>
      </c>
      <c r="G27" s="239">
        <f aca="true" t="shared" si="2" ref="G27:G28">F27-E27</f>
        <v>-118</v>
      </c>
      <c r="H27" s="78"/>
    </row>
    <row r="28" spans="2:8" ht="12.75" customHeight="1">
      <c r="B28" s="236"/>
      <c r="C28" s="237"/>
      <c r="D28" s="237" t="s">
        <v>4</v>
      </c>
      <c r="E28" s="261">
        <v>0</v>
      </c>
      <c r="F28" s="261">
        <v>82</v>
      </c>
      <c r="G28" s="239">
        <f t="shared" si="2"/>
        <v>82</v>
      </c>
      <c r="H28" s="47"/>
    </row>
    <row r="29" spans="2:8" ht="12.75" customHeight="1">
      <c r="B29" s="236"/>
      <c r="C29" s="237"/>
      <c r="D29" s="237"/>
      <c r="E29" s="261"/>
      <c r="F29" s="261"/>
      <c r="G29" s="242"/>
      <c r="H29" s="47"/>
    </row>
    <row r="30" spans="2:13" ht="12.75" customHeight="1">
      <c r="B30" s="233">
        <v>5</v>
      </c>
      <c r="C30" s="433" t="s">
        <v>284</v>
      </c>
      <c r="D30" s="433"/>
      <c r="E30" s="258">
        <f>+E31+E32</f>
        <v>0</v>
      </c>
      <c r="F30" s="258">
        <f>+F31+F32</f>
        <v>438</v>
      </c>
      <c r="G30" s="235">
        <f>F30-E30</f>
        <v>438</v>
      </c>
      <c r="H30" s="78"/>
      <c r="I30" s="27"/>
      <c r="J30" s="28"/>
      <c r="K30" s="28"/>
      <c r="L30" s="28"/>
      <c r="M30" s="28"/>
    </row>
    <row r="31" spans="2:8" ht="12.75">
      <c r="B31" s="236"/>
      <c r="C31" s="262"/>
      <c r="D31" s="237" t="s">
        <v>168</v>
      </c>
      <c r="E31" s="238">
        <v>0</v>
      </c>
      <c r="F31" s="261">
        <v>439</v>
      </c>
      <c r="G31" s="239">
        <f aca="true" t="shared" si="3" ref="G31:G32">F31-E31</f>
        <v>439</v>
      </c>
      <c r="H31" s="47"/>
    </row>
    <row r="32" spans="2:8" ht="25.5">
      <c r="B32" s="236"/>
      <c r="C32" s="262"/>
      <c r="D32" s="237" t="s">
        <v>264</v>
      </c>
      <c r="E32" s="238">
        <v>0</v>
      </c>
      <c r="F32" s="261">
        <v>-1</v>
      </c>
      <c r="G32" s="239">
        <f t="shared" si="3"/>
        <v>-1</v>
      </c>
      <c r="H32" s="47"/>
    </row>
    <row r="33" spans="2:8" ht="12.75" customHeight="1">
      <c r="B33" s="233"/>
      <c r="C33" s="262"/>
      <c r="D33" s="262"/>
      <c r="E33" s="238"/>
      <c r="F33" s="261"/>
      <c r="G33" s="303"/>
      <c r="H33" s="78"/>
    </row>
    <row r="34" spans="2:9" ht="12.75" customHeight="1">
      <c r="B34" s="244">
        <v>6</v>
      </c>
      <c r="C34" s="434" t="s">
        <v>123</v>
      </c>
      <c r="D34" s="435"/>
      <c r="E34" s="279">
        <f>E24+E26+E30</f>
        <v>422</v>
      </c>
      <c r="F34" s="279">
        <f>F24+F26+F30</f>
        <v>-12521</v>
      </c>
      <c r="G34" s="303">
        <f aca="true" t="shared" si="4" ref="G34:G36">F34-E34</f>
        <v>-12943</v>
      </c>
      <c r="H34" s="229"/>
      <c r="I34" s="4"/>
    </row>
    <row r="35" spans="2:10" ht="12.75" customHeight="1">
      <c r="B35" s="236"/>
      <c r="C35" s="433" t="s">
        <v>5</v>
      </c>
      <c r="D35" s="433"/>
      <c r="E35" s="261">
        <f>E4+E27+E31</f>
        <v>8786</v>
      </c>
      <c r="F35" s="261">
        <f>F4+F27+F31</f>
        <v>7380</v>
      </c>
      <c r="G35" s="239">
        <f t="shared" si="4"/>
        <v>-1406</v>
      </c>
      <c r="H35" s="112"/>
      <c r="J35" s="2"/>
    </row>
    <row r="36" spans="2:8" ht="12.75" customHeight="1">
      <c r="B36" s="251"/>
      <c r="C36" s="436" t="s">
        <v>6</v>
      </c>
      <c r="D36" s="436"/>
      <c r="E36" s="266">
        <f>E14-E28-E32</f>
        <v>8364</v>
      </c>
      <c r="F36" s="266">
        <f>F14-F28-F32</f>
        <v>19901</v>
      </c>
      <c r="G36" s="239">
        <f t="shared" si="4"/>
        <v>11537</v>
      </c>
      <c r="H36" s="78"/>
    </row>
    <row r="37" spans="2:9" ht="12.75" customHeight="1" thickBot="1">
      <c r="B37" s="332"/>
      <c r="C37" s="332"/>
      <c r="D37" s="332"/>
      <c r="E37" s="334"/>
      <c r="F37" s="334"/>
      <c r="G37" s="335"/>
      <c r="H37" s="47"/>
      <c r="I37" s="3"/>
    </row>
    <row r="38" spans="2:8" ht="26.25" thickTop="1">
      <c r="B38" s="230"/>
      <c r="C38" s="431" t="s">
        <v>155</v>
      </c>
      <c r="D38" s="431"/>
      <c r="E38" s="319"/>
      <c r="F38" s="319"/>
      <c r="G38" s="320" t="s">
        <v>205</v>
      </c>
      <c r="H38" s="109"/>
    </row>
    <row r="39" spans="2:8" ht="12.75" customHeight="1">
      <c r="B39" s="257">
        <v>7</v>
      </c>
      <c r="C39" s="271" t="s">
        <v>133</v>
      </c>
      <c r="D39" s="271"/>
      <c r="E39" s="196"/>
      <c r="F39" s="321"/>
      <c r="G39" s="284">
        <f>G45-G40+G64</f>
        <v>-12485</v>
      </c>
      <c r="H39" s="110"/>
    </row>
    <row r="40" spans="2:8" ht="12.75" customHeight="1">
      <c r="B40" s="259">
        <v>8</v>
      </c>
      <c r="C40" s="432" t="s">
        <v>143</v>
      </c>
      <c r="D40" s="432"/>
      <c r="E40" s="196"/>
      <c r="F40" s="321"/>
      <c r="G40" s="260">
        <f>G41+G42+G43</f>
        <v>5020</v>
      </c>
      <c r="H40" s="111"/>
    </row>
    <row r="41" spans="2:8" ht="27" customHeight="1">
      <c r="B41" s="236"/>
      <c r="C41" s="262"/>
      <c r="D41" s="346" t="s">
        <v>101</v>
      </c>
      <c r="E41" s="347"/>
      <c r="F41" s="348"/>
      <c r="G41" s="261">
        <v>0</v>
      </c>
      <c r="H41" s="38"/>
    </row>
    <row r="42" spans="2:8" ht="12.75" customHeight="1">
      <c r="B42" s="236"/>
      <c r="C42" s="262"/>
      <c r="D42" s="162" t="s">
        <v>102</v>
      </c>
      <c r="E42" s="196"/>
      <c r="F42" s="321"/>
      <c r="G42" s="261">
        <v>5020</v>
      </c>
      <c r="H42" s="38"/>
    </row>
    <row r="43" spans="2:8" ht="26.25" customHeight="1">
      <c r="B43" s="236"/>
      <c r="C43" s="262"/>
      <c r="D43" s="346" t="s">
        <v>114</v>
      </c>
      <c r="E43" s="347"/>
      <c r="F43" s="348"/>
      <c r="G43" s="261">
        <v>0</v>
      </c>
      <c r="H43" s="38"/>
    </row>
    <row r="44" spans="2:8" ht="12.75" customHeight="1">
      <c r="B44" s="236"/>
      <c r="C44" s="162"/>
      <c r="D44" s="162"/>
      <c r="E44" s="196"/>
      <c r="F44" s="321"/>
      <c r="G44" s="261"/>
      <c r="H44" s="38"/>
    </row>
    <row r="45" spans="2:8" ht="12.75" customHeight="1">
      <c r="B45" s="259">
        <v>9</v>
      </c>
      <c r="C45" s="432" t="s">
        <v>142</v>
      </c>
      <c r="D45" s="432"/>
      <c r="E45" s="196"/>
      <c r="F45" s="321"/>
      <c r="G45" s="260">
        <f>G46+G47+G48</f>
        <v>0</v>
      </c>
      <c r="H45" s="111"/>
    </row>
    <row r="46" spans="2:8" ht="12.75" customHeight="1">
      <c r="B46" s="236"/>
      <c r="C46" s="162"/>
      <c r="D46" s="162" t="s">
        <v>22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 t="s">
        <v>106</v>
      </c>
      <c r="E47" s="196"/>
      <c r="F47" s="321"/>
      <c r="G47" s="261">
        <v>0</v>
      </c>
      <c r="H47" s="38"/>
    </row>
    <row r="48" spans="2:8" ht="12.75" customHeight="1">
      <c r="B48" s="236"/>
      <c r="C48" s="162"/>
      <c r="D48" s="162" t="s">
        <v>107</v>
      </c>
      <c r="E48" s="196"/>
      <c r="F48" s="321"/>
      <c r="G48" s="261">
        <v>0</v>
      </c>
      <c r="H48" s="38"/>
    </row>
    <row r="49" spans="2:8" ht="12.75" customHeight="1">
      <c r="B49" s="236"/>
      <c r="C49" s="162"/>
      <c r="D49" s="162"/>
      <c r="E49" s="196"/>
      <c r="F49" s="321"/>
      <c r="G49" s="261"/>
      <c r="H49" s="38"/>
    </row>
    <row r="50" spans="2:8" ht="12.75" customHeight="1">
      <c r="B50" s="257">
        <v>10</v>
      </c>
      <c r="C50" s="271" t="s">
        <v>124</v>
      </c>
      <c r="D50" s="271"/>
      <c r="E50" s="196"/>
      <c r="F50" s="321"/>
      <c r="G50" s="284">
        <f>G51-G55</f>
        <v>0</v>
      </c>
      <c r="H50" s="110"/>
    </row>
    <row r="51" spans="2:8" ht="12.75" customHeight="1">
      <c r="B51" s="280">
        <v>11</v>
      </c>
      <c r="C51" s="456" t="s">
        <v>141</v>
      </c>
      <c r="D51" s="456"/>
      <c r="E51" s="265"/>
      <c r="F51" s="322"/>
      <c r="G51" s="338">
        <f>G52+G53</f>
        <v>0</v>
      </c>
      <c r="H51" s="111"/>
    </row>
    <row r="52" spans="2:8" ht="12.75" customHeight="1">
      <c r="B52" s="323"/>
      <c r="C52" s="268"/>
      <c r="D52" s="268" t="s">
        <v>115</v>
      </c>
      <c r="E52" s="269"/>
      <c r="F52" s="324"/>
      <c r="G52" s="270">
        <v>0</v>
      </c>
      <c r="H52" s="38"/>
    </row>
    <row r="53" spans="2:8" ht="12.75" customHeight="1">
      <c r="B53" s="259"/>
      <c r="C53" s="162"/>
      <c r="D53" s="162" t="s">
        <v>109</v>
      </c>
      <c r="E53" s="196"/>
      <c r="F53" s="321"/>
      <c r="G53" s="261">
        <v>0</v>
      </c>
      <c r="H53" s="38"/>
    </row>
    <row r="54" spans="2:8" ht="12.75" customHeight="1">
      <c r="B54" s="259"/>
      <c r="C54" s="162"/>
      <c r="D54" s="162"/>
      <c r="E54" s="196"/>
      <c r="F54" s="321"/>
      <c r="G54" s="261"/>
      <c r="H54" s="38"/>
    </row>
    <row r="55" spans="2:8" ht="12.75" customHeight="1">
      <c r="B55" s="259">
        <v>12</v>
      </c>
      <c r="C55" s="432" t="s">
        <v>140</v>
      </c>
      <c r="D55" s="432"/>
      <c r="E55" s="196"/>
      <c r="F55" s="321"/>
      <c r="G55" s="260">
        <f>G56+G57+G58</f>
        <v>0</v>
      </c>
      <c r="H55" s="111"/>
    </row>
    <row r="56" spans="2:8" ht="24" customHeight="1">
      <c r="B56" s="236"/>
      <c r="C56" s="162"/>
      <c r="D56" s="346" t="s">
        <v>110</v>
      </c>
      <c r="E56" s="347"/>
      <c r="F56" s="348"/>
      <c r="G56" s="261">
        <v>0</v>
      </c>
      <c r="H56" s="38"/>
    </row>
    <row r="57" spans="2:8" ht="12.75" customHeight="1">
      <c r="B57" s="236"/>
      <c r="C57" s="162"/>
      <c r="D57" s="162" t="s">
        <v>111</v>
      </c>
      <c r="E57" s="196"/>
      <c r="F57" s="321"/>
      <c r="G57" s="261">
        <v>0</v>
      </c>
      <c r="H57" s="38"/>
    </row>
    <row r="58" spans="2:8" ht="12.75" customHeight="1">
      <c r="B58" s="236"/>
      <c r="C58" s="162"/>
      <c r="D58" s="162" t="s">
        <v>163</v>
      </c>
      <c r="E58" s="196"/>
      <c r="F58" s="321"/>
      <c r="G58" s="261">
        <v>0</v>
      </c>
      <c r="H58" s="38"/>
    </row>
    <row r="59" spans="2:8" ht="12.75" customHeight="1">
      <c r="B59" s="236"/>
      <c r="C59" s="262"/>
      <c r="D59" s="162"/>
      <c r="E59" s="196"/>
      <c r="F59" s="321"/>
      <c r="G59" s="261"/>
      <c r="H59" s="38"/>
    </row>
    <row r="60" spans="2:8" ht="12.75" customHeight="1">
      <c r="B60" s="257">
        <v>13</v>
      </c>
      <c r="C60" s="430" t="s">
        <v>125</v>
      </c>
      <c r="D60" s="430"/>
      <c r="E60" s="196"/>
      <c r="F60" s="321"/>
      <c r="G60" s="284">
        <f>F26</f>
        <v>-36</v>
      </c>
      <c r="H60" s="110"/>
    </row>
    <row r="61" spans="2:8" ht="12.75" customHeight="1">
      <c r="B61" s="236"/>
      <c r="C61" s="262"/>
      <c r="D61" s="262"/>
      <c r="E61" s="196"/>
      <c r="F61" s="321"/>
      <c r="G61" s="261"/>
      <c r="H61" s="38"/>
    </row>
    <row r="62" spans="2:8" ht="12.75" customHeight="1">
      <c r="B62" s="257">
        <v>14</v>
      </c>
      <c r="C62" s="433" t="s">
        <v>280</v>
      </c>
      <c r="D62" s="433"/>
      <c r="E62" s="196"/>
      <c r="F62" s="321"/>
      <c r="G62" s="284">
        <v>0</v>
      </c>
      <c r="H62" s="110"/>
    </row>
    <row r="63" spans="2:8" ht="12.75" customHeight="1">
      <c r="B63" s="236"/>
      <c r="C63" s="262"/>
      <c r="D63" s="162"/>
      <c r="E63" s="196"/>
      <c r="F63" s="321"/>
      <c r="G63" s="261"/>
      <c r="H63" s="65"/>
    </row>
    <row r="64" spans="2:8" ht="12.75" customHeight="1">
      <c r="B64" s="259">
        <v>15</v>
      </c>
      <c r="C64" s="432" t="s">
        <v>126</v>
      </c>
      <c r="D64" s="432"/>
      <c r="E64" s="196"/>
      <c r="F64" s="196"/>
      <c r="G64" s="260">
        <v>-7465</v>
      </c>
      <c r="H64" s="113"/>
    </row>
    <row r="65" spans="2:8" ht="12.75" customHeight="1">
      <c r="B65" s="236"/>
      <c r="C65" s="264"/>
      <c r="D65" s="264"/>
      <c r="E65" s="265"/>
      <c r="F65" s="322"/>
      <c r="G65" s="266"/>
      <c r="H65" s="38"/>
    </row>
    <row r="66" spans="2:8" ht="12.75" customHeight="1">
      <c r="B66" s="244">
        <v>16</v>
      </c>
      <c r="C66" s="275" t="s">
        <v>127</v>
      </c>
      <c r="D66" s="276"/>
      <c r="E66" s="300"/>
      <c r="F66" s="325"/>
      <c r="G66" s="279">
        <f>G39-G50+G60</f>
        <v>-12521</v>
      </c>
      <c r="H66" s="78"/>
    </row>
    <row r="67" spans="2:8" ht="12.75" customHeight="1">
      <c r="B67" s="280">
        <v>17</v>
      </c>
      <c r="C67" s="281" t="s">
        <v>128</v>
      </c>
      <c r="D67" s="281"/>
      <c r="E67" s="265"/>
      <c r="F67" s="322"/>
      <c r="G67" s="338">
        <f>G66-F34</f>
        <v>0</v>
      </c>
      <c r="H67" s="111"/>
    </row>
    <row r="68" spans="2:8" ht="12.75" customHeight="1" thickBot="1">
      <c r="B68" s="332"/>
      <c r="C68" s="332"/>
      <c r="D68" s="333"/>
      <c r="E68" s="334"/>
      <c r="F68" s="334"/>
      <c r="G68" s="335"/>
      <c r="H68" s="47"/>
    </row>
    <row r="69" spans="2:9" ht="26.25" customHeight="1" thickTop="1">
      <c r="B69" s="230"/>
      <c r="C69" s="431" t="s">
        <v>149</v>
      </c>
      <c r="D69" s="431"/>
      <c r="E69" s="319"/>
      <c r="F69" s="319"/>
      <c r="G69" s="320" t="s">
        <v>205</v>
      </c>
      <c r="H69" s="109"/>
      <c r="I69" s="40"/>
    </row>
    <row r="70" spans="2:8" ht="12.75" customHeight="1">
      <c r="B70" s="233">
        <v>18</v>
      </c>
      <c r="C70" s="429" t="s">
        <v>135</v>
      </c>
      <c r="D70" s="429"/>
      <c r="E70" s="196"/>
      <c r="F70" s="196"/>
      <c r="G70" s="258">
        <f>F34*(-1)</f>
        <v>12521</v>
      </c>
      <c r="H70" s="78"/>
    </row>
    <row r="71" spans="2:8" ht="12.75" customHeight="1">
      <c r="B71" s="236"/>
      <c r="C71" s="262"/>
      <c r="D71" s="262"/>
      <c r="E71" s="196"/>
      <c r="F71" s="196"/>
      <c r="G71" s="283"/>
      <c r="H71" s="79"/>
    </row>
    <row r="72" spans="2:8" ht="12.75" customHeight="1">
      <c r="B72" s="257">
        <v>19</v>
      </c>
      <c r="C72" s="271" t="s">
        <v>129</v>
      </c>
      <c r="D72" s="339"/>
      <c r="E72" s="196"/>
      <c r="F72" s="326"/>
      <c r="G72" s="284">
        <f>G73+G74+G77+G80</f>
        <v>-12603</v>
      </c>
      <c r="H72" s="110"/>
    </row>
    <row r="73" spans="2:8" ht="12.75" customHeight="1">
      <c r="B73" s="236"/>
      <c r="C73" s="240"/>
      <c r="D73" s="162" t="s">
        <v>68</v>
      </c>
      <c r="E73" s="196"/>
      <c r="F73" s="326"/>
      <c r="G73" s="261">
        <f>G64</f>
        <v>-7465</v>
      </c>
      <c r="H73" s="65"/>
    </row>
    <row r="74" spans="2:8" ht="12.75" customHeight="1">
      <c r="B74" s="236"/>
      <c r="C74" s="262"/>
      <c r="D74" s="162" t="s">
        <v>23</v>
      </c>
      <c r="E74" s="196"/>
      <c r="F74" s="326"/>
      <c r="G74" s="261">
        <f>G75-G76</f>
        <v>-5020</v>
      </c>
      <c r="H74" s="65"/>
    </row>
    <row r="75" spans="2:8" ht="12.75" customHeight="1">
      <c r="B75" s="236"/>
      <c r="C75" s="262"/>
      <c r="D75" s="162" t="s">
        <v>78</v>
      </c>
      <c r="E75" s="196"/>
      <c r="F75" s="326"/>
      <c r="G75" s="261">
        <v>0</v>
      </c>
      <c r="H75" s="38"/>
    </row>
    <row r="76" spans="2:8" ht="12.75" customHeight="1">
      <c r="B76" s="233"/>
      <c r="C76" s="262"/>
      <c r="D76" s="162" t="s">
        <v>116</v>
      </c>
      <c r="E76" s="196"/>
      <c r="F76" s="326"/>
      <c r="G76" s="261">
        <f>G42</f>
        <v>5020</v>
      </c>
      <c r="H76" s="38"/>
    </row>
    <row r="77" spans="2:8" ht="12.75" customHeight="1">
      <c r="B77" s="236"/>
      <c r="C77" s="262"/>
      <c r="D77" s="162" t="s">
        <v>24</v>
      </c>
      <c r="E77" s="196"/>
      <c r="F77" s="326"/>
      <c r="G77" s="261">
        <f>G78-G79</f>
        <v>0</v>
      </c>
      <c r="H77" s="65"/>
    </row>
    <row r="78" spans="2:8" ht="12.75" customHeight="1">
      <c r="B78" s="236"/>
      <c r="C78" s="262"/>
      <c r="D78" s="162" t="s">
        <v>117</v>
      </c>
      <c r="E78" s="196"/>
      <c r="F78" s="326"/>
      <c r="G78" s="261">
        <v>0</v>
      </c>
      <c r="H78" s="38"/>
    </row>
    <row r="79" spans="2:8" ht="12.75" customHeight="1">
      <c r="B79" s="236"/>
      <c r="C79" s="262"/>
      <c r="D79" s="162" t="s">
        <v>118</v>
      </c>
      <c r="E79" s="196"/>
      <c r="F79" s="326"/>
      <c r="G79" s="261">
        <v>0</v>
      </c>
      <c r="H79" s="38"/>
    </row>
    <row r="80" spans="2:8" ht="12.75" customHeight="1">
      <c r="B80" s="236"/>
      <c r="C80" s="162"/>
      <c r="D80" s="162" t="s">
        <v>80</v>
      </c>
      <c r="E80" s="196"/>
      <c r="F80" s="326"/>
      <c r="G80" s="261">
        <f>F27</f>
        <v>-118</v>
      </c>
      <c r="H80" s="65"/>
    </row>
    <row r="81" spans="2:8" ht="12.75" customHeight="1">
      <c r="B81" s="236"/>
      <c r="C81" s="162"/>
      <c r="D81" s="162"/>
      <c r="E81" s="196"/>
      <c r="F81" s="326"/>
      <c r="G81" s="258"/>
      <c r="H81" s="78"/>
    </row>
    <row r="82" spans="2:8" ht="12.75" customHeight="1">
      <c r="B82" s="257">
        <v>20</v>
      </c>
      <c r="C82" s="430" t="s">
        <v>130</v>
      </c>
      <c r="D82" s="430"/>
      <c r="E82" s="196"/>
      <c r="F82" s="326"/>
      <c r="G82" s="284">
        <f>G83+G84+G87+G88+G89</f>
        <v>82</v>
      </c>
      <c r="H82" s="110"/>
    </row>
    <row r="83" spans="2:8" ht="12.75" customHeight="1">
      <c r="B83" s="236"/>
      <c r="C83" s="162"/>
      <c r="D83" s="162" t="s">
        <v>81</v>
      </c>
      <c r="E83" s="286"/>
      <c r="F83" s="340"/>
      <c r="G83" s="261">
        <f>F28</f>
        <v>82</v>
      </c>
      <c r="H83" s="114"/>
    </row>
    <row r="84" spans="2:8" ht="12.75" customHeight="1">
      <c r="B84" s="236"/>
      <c r="C84" s="162"/>
      <c r="D84" s="162" t="s">
        <v>82</v>
      </c>
      <c r="E84" s="196"/>
      <c r="F84" s="326"/>
      <c r="G84" s="261">
        <f>G85+G86</f>
        <v>0</v>
      </c>
      <c r="H84" s="65"/>
    </row>
    <row r="85" spans="2:8" ht="12.75" customHeight="1">
      <c r="B85" s="236"/>
      <c r="C85" s="162"/>
      <c r="D85" s="162" t="s">
        <v>95</v>
      </c>
      <c r="E85" s="196"/>
      <c r="F85" s="326"/>
      <c r="G85" s="261">
        <v>0</v>
      </c>
      <c r="H85" s="38"/>
    </row>
    <row r="86" spans="2:8" ht="12.75" customHeight="1">
      <c r="B86" s="236"/>
      <c r="C86" s="162"/>
      <c r="D86" s="162" t="s">
        <v>96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 t="s">
        <v>83</v>
      </c>
      <c r="E87" s="196"/>
      <c r="F87" s="326"/>
      <c r="G87" s="261">
        <v>0</v>
      </c>
      <c r="H87" s="65"/>
    </row>
    <row r="88" spans="2:8" ht="12.75" customHeight="1">
      <c r="B88" s="236"/>
      <c r="C88" s="162"/>
      <c r="D88" s="162" t="s">
        <v>84</v>
      </c>
      <c r="E88" s="196"/>
      <c r="F88" s="326"/>
      <c r="G88" s="261">
        <v>0</v>
      </c>
      <c r="H88" s="65"/>
    </row>
    <row r="89" spans="2:8" ht="12.75" customHeight="1">
      <c r="B89" s="236"/>
      <c r="C89" s="162"/>
      <c r="D89" s="162" t="s">
        <v>85</v>
      </c>
      <c r="E89" s="196"/>
      <c r="F89" s="326"/>
      <c r="G89" s="261">
        <v>0</v>
      </c>
      <c r="H89" s="38"/>
    </row>
    <row r="90" spans="2:8" ht="12.75" customHeight="1">
      <c r="B90" s="236"/>
      <c r="C90" s="162"/>
      <c r="D90" s="162"/>
      <c r="E90" s="196"/>
      <c r="F90" s="326"/>
      <c r="G90" s="261"/>
      <c r="H90" s="38"/>
    </row>
    <row r="91" spans="2:8" ht="12.75" customHeight="1">
      <c r="B91" s="257">
        <v>21</v>
      </c>
      <c r="C91" s="430" t="s">
        <v>134</v>
      </c>
      <c r="D91" s="430"/>
      <c r="E91" s="196"/>
      <c r="F91" s="326"/>
      <c r="G91" s="284">
        <f>G92+G93</f>
        <v>0</v>
      </c>
      <c r="H91" s="110"/>
    </row>
    <row r="92" spans="2:8" ht="12.75" customHeight="1">
      <c r="B92" s="236"/>
      <c r="C92" s="162"/>
      <c r="D92" s="162" t="s">
        <v>159</v>
      </c>
      <c r="E92" s="196"/>
      <c r="F92" s="326"/>
      <c r="G92" s="261">
        <f>-G67</f>
        <v>0</v>
      </c>
      <c r="H92" s="38"/>
    </row>
    <row r="93" spans="2:8" ht="12.75" customHeight="1">
      <c r="B93" s="236"/>
      <c r="C93" s="162"/>
      <c r="D93" s="162" t="s">
        <v>160</v>
      </c>
      <c r="E93" s="196"/>
      <c r="F93" s="326"/>
      <c r="G93" s="261">
        <f>G95-(G70+G72+G82)-G92</f>
        <v>0</v>
      </c>
      <c r="H93" s="38"/>
    </row>
    <row r="94" spans="2:8" ht="12.75" customHeight="1">
      <c r="B94" s="236"/>
      <c r="C94" s="162"/>
      <c r="D94" s="162"/>
      <c r="E94" s="196"/>
      <c r="F94" s="326"/>
      <c r="G94" s="261"/>
      <c r="H94" s="38"/>
    </row>
    <row r="95" spans="2:8" ht="12.75" customHeight="1">
      <c r="B95" s="244">
        <v>22</v>
      </c>
      <c r="C95" s="275" t="s">
        <v>176</v>
      </c>
      <c r="D95" s="275"/>
      <c r="E95" s="277"/>
      <c r="F95" s="341"/>
      <c r="G95" s="279">
        <v>0</v>
      </c>
      <c r="H95" s="78"/>
    </row>
    <row r="96" spans="5:8" ht="12.75" customHeight="1">
      <c r="E96" s="1"/>
      <c r="F96" s="1"/>
      <c r="G96" s="18"/>
      <c r="H96" s="18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5:8" ht="12.75" customHeight="1">
      <c r="E121" s="1"/>
      <c r="F121" s="1"/>
      <c r="G121" s="1"/>
      <c r="H121" s="1"/>
    </row>
    <row r="122" spans="5:8" ht="12.75" customHeight="1">
      <c r="E122" s="1"/>
      <c r="F122" s="1"/>
      <c r="G122" s="1"/>
      <c r="H122" s="1"/>
    </row>
    <row r="123" spans="5:8" ht="12.75" customHeight="1">
      <c r="E123" s="1"/>
      <c r="F123" s="1"/>
      <c r="G123" s="1"/>
      <c r="H123" s="1"/>
    </row>
    <row r="124" spans="5:8" ht="12.75" customHeight="1">
      <c r="E124" s="1"/>
      <c r="F124" s="1"/>
      <c r="G124" s="1"/>
      <c r="H124" s="1"/>
    </row>
    <row r="125" spans="5:8" ht="12.75" customHeight="1">
      <c r="E125" s="1"/>
      <c r="F125" s="1"/>
      <c r="G125" s="1"/>
      <c r="H125" s="1"/>
    </row>
    <row r="126" spans="5:8" ht="12.75" customHeight="1">
      <c r="E126" s="1"/>
      <c r="F126" s="1"/>
      <c r="G126" s="1"/>
      <c r="H126" s="1"/>
    </row>
    <row r="127" spans="5:8" ht="12.75" customHeight="1">
      <c r="E127" s="1"/>
      <c r="F127" s="1"/>
      <c r="G127" s="1"/>
      <c r="H127" s="1"/>
    </row>
    <row r="128" spans="5:8" ht="12.75" customHeight="1">
      <c r="E128" s="1"/>
      <c r="F128" s="1"/>
      <c r="G128" s="1"/>
      <c r="H128" s="1"/>
    </row>
    <row r="129" spans="6:8" ht="12.75" customHeight="1">
      <c r="F129" s="43"/>
      <c r="G129" s="40"/>
      <c r="H129" s="40"/>
    </row>
    <row r="130" spans="6:8" ht="12.75" customHeight="1">
      <c r="F130" s="43"/>
      <c r="G130" s="40"/>
      <c r="H130" s="40"/>
    </row>
    <row r="131" spans="6:8" ht="12.75" customHeight="1">
      <c r="F131" s="43"/>
      <c r="G131" s="40"/>
      <c r="H131" s="40"/>
    </row>
    <row r="132" spans="6:8" ht="12.75" customHeight="1">
      <c r="F132" s="43"/>
      <c r="G132" s="40"/>
      <c r="H132" s="40"/>
    </row>
    <row r="133" spans="6:8" ht="12.75" customHeight="1">
      <c r="F133" s="43"/>
      <c r="G133" s="40"/>
      <c r="H133" s="40"/>
    </row>
    <row r="134" spans="6:8" ht="12.75" customHeight="1">
      <c r="F134" s="43"/>
      <c r="G134" s="40"/>
      <c r="H134" s="40"/>
    </row>
    <row r="135" spans="6:8" ht="12.75" customHeight="1">
      <c r="F135" s="43"/>
      <c r="G135" s="40"/>
      <c r="H135" s="40"/>
    </row>
    <row r="136" spans="6:8" ht="12.75" customHeight="1">
      <c r="F136" s="43"/>
      <c r="G136" s="40"/>
      <c r="H136" s="40"/>
    </row>
    <row r="137" spans="6:8" ht="12.75">
      <c r="F137" s="43"/>
      <c r="G137" s="40"/>
      <c r="H137" s="40"/>
    </row>
    <row r="138" spans="6:8" ht="12.75">
      <c r="F138" s="43"/>
      <c r="G138" s="40"/>
      <c r="H138" s="40"/>
    </row>
  </sheetData>
  <mergeCells count="21">
    <mergeCell ref="C14:D14"/>
    <mergeCell ref="C60:D60"/>
    <mergeCell ref="C3:D3"/>
    <mergeCell ref="C45:D45"/>
    <mergeCell ref="C51:D51"/>
    <mergeCell ref="C4:D4"/>
    <mergeCell ref="C35:D35"/>
    <mergeCell ref="C40:D40"/>
    <mergeCell ref="C62:D62"/>
    <mergeCell ref="C24:D24"/>
    <mergeCell ref="C26:D26"/>
    <mergeCell ref="C91:D91"/>
    <mergeCell ref="C64:D64"/>
    <mergeCell ref="C69:D69"/>
    <mergeCell ref="C70:D70"/>
    <mergeCell ref="C82:D82"/>
    <mergeCell ref="C34:D34"/>
    <mergeCell ref="C55:D55"/>
    <mergeCell ref="C38:D38"/>
    <mergeCell ref="C30:D30"/>
    <mergeCell ref="C36:D36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1" min="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J139"/>
  <sheetViews>
    <sheetView showGridLines="0" view="pageBreakPreview" zoomScale="80" zoomScaleSheetLayoutView="80" workbookViewId="0" topLeftCell="A52">
      <selection activeCell="E5" sqref="E5:E21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3" customWidth="1"/>
    <col min="6" max="6" width="9.8515625" style="40" customWidth="1"/>
    <col min="7" max="7" width="10.57421875" style="42" customWidth="1"/>
    <col min="8" max="8" width="32.28125" style="42" customWidth="1"/>
    <col min="9" max="16384" width="9.140625" style="1" customWidth="1"/>
  </cols>
  <sheetData>
    <row r="1" spans="2:8" s="31" customFormat="1" ht="15">
      <c r="B1" s="289"/>
      <c r="C1" s="290" t="s">
        <v>59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29" t="s">
        <v>119</v>
      </c>
      <c r="D4" s="429"/>
      <c r="E4" s="234">
        <f>E5+E11</f>
        <v>506307</v>
      </c>
      <c r="F4" s="234">
        <f>F5+F11</f>
        <v>696717</v>
      </c>
      <c r="G4" s="235">
        <f>F4-E4</f>
        <v>190410</v>
      </c>
      <c r="H4" s="78"/>
    </row>
    <row r="5" spans="2:8" ht="12.75" customHeight="1">
      <c r="B5" s="236"/>
      <c r="C5" s="237" t="s">
        <v>0</v>
      </c>
      <c r="D5" s="237" t="s">
        <v>30</v>
      </c>
      <c r="E5" s="238">
        <f>E6+E7+E8+E9+E10</f>
        <v>102383</v>
      </c>
      <c r="F5" s="238">
        <f>F6+F7+F8+F9+F10</f>
        <v>133201</v>
      </c>
      <c r="G5" s="239">
        <f aca="true" t="shared" si="0" ref="G5:G22">F5-E5</f>
        <v>30818</v>
      </c>
      <c r="H5" s="38"/>
    </row>
    <row r="6" spans="2:8" ht="12.75" customHeight="1">
      <c r="B6" s="236"/>
      <c r="C6" s="237"/>
      <c r="D6" s="240" t="s">
        <v>44</v>
      </c>
      <c r="E6" s="238">
        <v>2213</v>
      </c>
      <c r="F6" s="238">
        <v>805</v>
      </c>
      <c r="G6" s="239">
        <f t="shared" si="0"/>
        <v>-1408</v>
      </c>
      <c r="H6" s="38"/>
    </row>
    <row r="7" spans="2:8" ht="12.75" customHeight="1">
      <c r="B7" s="236"/>
      <c r="C7" s="237"/>
      <c r="D7" s="240" t="s">
        <v>40</v>
      </c>
      <c r="E7" s="238">
        <v>97389</v>
      </c>
      <c r="F7" s="238">
        <v>101431</v>
      </c>
      <c r="G7" s="239">
        <f t="shared" si="0"/>
        <v>4042</v>
      </c>
      <c r="H7" s="38"/>
    </row>
    <row r="8" spans="2:8" ht="12.75" customHeight="1">
      <c r="B8" s="236"/>
      <c r="C8" s="237"/>
      <c r="D8" s="240" t="s">
        <v>41</v>
      </c>
      <c r="E8" s="238">
        <v>0</v>
      </c>
      <c r="F8" s="238">
        <v>3978</v>
      </c>
      <c r="G8" s="239">
        <f t="shared" si="0"/>
        <v>3978</v>
      </c>
      <c r="H8" s="38"/>
    </row>
    <row r="9" spans="2:8" ht="12.75" customHeight="1">
      <c r="B9" s="236"/>
      <c r="C9" s="237"/>
      <c r="D9" s="240" t="s">
        <v>42</v>
      </c>
      <c r="E9" s="238">
        <v>147</v>
      </c>
      <c r="F9" s="238">
        <v>355</v>
      </c>
      <c r="G9" s="239">
        <f t="shared" si="0"/>
        <v>208</v>
      </c>
      <c r="H9" s="38"/>
    </row>
    <row r="10" spans="2:8" ht="12.75" customHeight="1">
      <c r="B10" s="236"/>
      <c r="C10" s="237"/>
      <c r="D10" s="240" t="s">
        <v>43</v>
      </c>
      <c r="E10" s="238">
        <v>2634</v>
      </c>
      <c r="F10" s="238">
        <v>26632</v>
      </c>
      <c r="G10" s="239">
        <f t="shared" si="0"/>
        <v>23998</v>
      </c>
      <c r="H10" s="38"/>
    </row>
    <row r="11" spans="2:8" ht="12.75" customHeight="1">
      <c r="B11" s="236"/>
      <c r="C11" s="237"/>
      <c r="D11" s="237" t="s">
        <v>31</v>
      </c>
      <c r="E11" s="238">
        <v>403924</v>
      </c>
      <c r="F11" s="238">
        <v>563516</v>
      </c>
      <c r="G11" s="239">
        <f t="shared" si="0"/>
        <v>159592</v>
      </c>
      <c r="H11" s="38"/>
    </row>
    <row r="12" spans="2:8" ht="12.75" customHeight="1">
      <c r="B12" s="236"/>
      <c r="C12" s="237"/>
      <c r="D12" s="237"/>
      <c r="E12" s="238"/>
      <c r="F12" s="238"/>
      <c r="G12" s="239"/>
      <c r="H12" s="38"/>
    </row>
    <row r="13" spans="2:8" ht="12.75" customHeight="1">
      <c r="B13" s="236"/>
      <c r="C13" s="237"/>
      <c r="D13" s="368"/>
      <c r="E13" s="238"/>
      <c r="F13" s="356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507066</v>
      </c>
      <c r="F14" s="243">
        <f>F15+F20</f>
        <v>708228</v>
      </c>
      <c r="G14" s="235">
        <f>F14-E14</f>
        <v>201162</v>
      </c>
      <c r="H14" s="7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506897</v>
      </c>
      <c r="F15" s="238">
        <f>F16+F17+F18+F19</f>
        <v>565780</v>
      </c>
      <c r="G15" s="239">
        <f t="shared" si="0"/>
        <v>58883</v>
      </c>
      <c r="H15" s="38"/>
    </row>
    <row r="16" spans="2:8" ht="12.75" customHeight="1">
      <c r="B16" s="236"/>
      <c r="C16" s="237"/>
      <c r="D16" s="240" t="s">
        <v>34</v>
      </c>
      <c r="E16" s="238">
        <f>213655+74732</f>
        <v>288387</v>
      </c>
      <c r="F16" s="238">
        <f>229155+78092</f>
        <v>307247</v>
      </c>
      <c r="G16" s="239">
        <f t="shared" si="0"/>
        <v>18860</v>
      </c>
      <c r="H16" s="38"/>
    </row>
    <row r="17" spans="2:8" ht="12.75" customHeight="1">
      <c r="B17" s="236"/>
      <c r="C17" s="237"/>
      <c r="D17" s="240" t="s">
        <v>35</v>
      </c>
      <c r="E17" s="238">
        <v>160771</v>
      </c>
      <c r="F17" s="238">
        <v>183453</v>
      </c>
      <c r="G17" s="239">
        <f t="shared" si="0"/>
        <v>22682</v>
      </c>
      <c r="H17" s="38"/>
    </row>
    <row r="18" spans="2:8" ht="12.75" customHeight="1">
      <c r="B18" s="236"/>
      <c r="C18" s="237"/>
      <c r="D18" s="240" t="s">
        <v>36</v>
      </c>
      <c r="E18" s="238">
        <v>57724</v>
      </c>
      <c r="F18" s="238">
        <v>75075</v>
      </c>
      <c r="G18" s="239">
        <f t="shared" si="0"/>
        <v>17351</v>
      </c>
      <c r="H18" s="38"/>
    </row>
    <row r="19" spans="2:8" ht="12.75" customHeight="1">
      <c r="B19" s="236"/>
      <c r="C19" s="237"/>
      <c r="D19" s="240" t="s">
        <v>37</v>
      </c>
      <c r="E19" s="238">
        <v>15</v>
      </c>
      <c r="F19" s="238">
        <v>5</v>
      </c>
      <c r="G19" s="239"/>
      <c r="H19" s="38"/>
    </row>
    <row r="20" spans="2:8" ht="12.75" customHeight="1">
      <c r="B20" s="236"/>
      <c r="C20" s="237"/>
      <c r="D20" s="237" t="s">
        <v>33</v>
      </c>
      <c r="E20" s="238">
        <f>E21+E22</f>
        <v>169</v>
      </c>
      <c r="F20" s="238">
        <f>F21+F22</f>
        <v>142448</v>
      </c>
      <c r="G20" s="239">
        <f t="shared" si="0"/>
        <v>142279</v>
      </c>
      <c r="H20" s="38"/>
    </row>
    <row r="21" spans="2:8" ht="12.75" customHeight="1">
      <c r="B21" s="236"/>
      <c r="C21" s="237"/>
      <c r="D21" s="240" t="s">
        <v>38</v>
      </c>
      <c r="E21" s="238">
        <v>169</v>
      </c>
      <c r="F21" s="238">
        <v>141176</v>
      </c>
      <c r="G21" s="239">
        <f t="shared" si="0"/>
        <v>141007</v>
      </c>
      <c r="H21" s="38"/>
    </row>
    <row r="22" spans="2:8" ht="12.75" customHeight="1">
      <c r="B22" s="236"/>
      <c r="C22" s="237"/>
      <c r="D22" s="240" t="s">
        <v>39</v>
      </c>
      <c r="E22" s="238">
        <v>0</v>
      </c>
      <c r="F22" s="238">
        <v>1272</v>
      </c>
      <c r="G22" s="239">
        <f t="shared" si="0"/>
        <v>1272</v>
      </c>
      <c r="H22" s="38"/>
    </row>
    <row r="23" spans="2:8" ht="12.75" customHeight="1">
      <c r="B23" s="236"/>
      <c r="C23" s="237"/>
      <c r="D23" s="369"/>
      <c r="E23" s="238"/>
      <c r="F23" s="370"/>
      <c r="G23" s="239"/>
      <c r="H23" s="38"/>
    </row>
    <row r="24" spans="2:8" ht="12.75" customHeight="1">
      <c r="B24" s="244">
        <v>3</v>
      </c>
      <c r="C24" s="434" t="s">
        <v>121</v>
      </c>
      <c r="D24" s="435"/>
      <c r="E24" s="245">
        <f>E4-E14</f>
        <v>-759</v>
      </c>
      <c r="F24" s="245">
        <f>F4-F14</f>
        <v>-11511</v>
      </c>
      <c r="G24" s="246">
        <f>F24-E24</f>
        <v>-10752</v>
      </c>
      <c r="H24" s="78"/>
    </row>
    <row r="25" spans="2:8" ht="12.75" customHeight="1">
      <c r="B25" s="236"/>
      <c r="C25" s="247"/>
      <c r="D25" s="247"/>
      <c r="E25" s="243"/>
      <c r="F25" s="238"/>
      <c r="G25" s="235"/>
      <c r="H25" s="78"/>
    </row>
    <row r="26" spans="2:8" ht="12.75" customHeight="1">
      <c r="B26" s="233">
        <v>4</v>
      </c>
      <c r="C26" s="430" t="s">
        <v>282</v>
      </c>
      <c r="D26" s="430"/>
      <c r="E26" s="243">
        <f>E27+E28</f>
        <v>0</v>
      </c>
      <c r="F26" s="243">
        <f>F27+F28</f>
        <v>-12606</v>
      </c>
      <c r="G26" s="235">
        <f>F26-E26</f>
        <v>-12606</v>
      </c>
      <c r="H26" s="78"/>
    </row>
    <row r="27" spans="2:8" ht="12.75" customHeight="1">
      <c r="B27" s="236"/>
      <c r="C27" s="237"/>
      <c r="D27" s="237" t="s">
        <v>3</v>
      </c>
      <c r="E27" s="258">
        <v>0</v>
      </c>
      <c r="F27" s="238">
        <v>1135</v>
      </c>
      <c r="G27" s="239">
        <f aca="true" t="shared" si="1" ref="G27:G28">F27-E27</f>
        <v>1135</v>
      </c>
      <c r="H27" s="78"/>
    </row>
    <row r="28" spans="2:8" ht="12.75" customHeight="1">
      <c r="B28" s="236"/>
      <c r="C28" s="237"/>
      <c r="D28" s="237" t="s">
        <v>4</v>
      </c>
      <c r="E28" s="261">
        <v>0</v>
      </c>
      <c r="F28" s="238">
        <v>-13741</v>
      </c>
      <c r="G28" s="239">
        <f t="shared" si="1"/>
        <v>-13741</v>
      </c>
      <c r="H28" s="78"/>
    </row>
    <row r="29" spans="2:8" ht="12.75" customHeight="1">
      <c r="B29" s="236"/>
      <c r="C29" s="237"/>
      <c r="D29" s="237"/>
      <c r="E29" s="261"/>
      <c r="F29" s="238"/>
      <c r="G29" s="235"/>
      <c r="H29" s="78"/>
    </row>
    <row r="30" spans="2:8" ht="12.75" customHeight="1">
      <c r="B30" s="233">
        <v>5</v>
      </c>
      <c r="C30" s="433" t="s">
        <v>280</v>
      </c>
      <c r="D30" s="433"/>
      <c r="E30" s="243">
        <v>0</v>
      </c>
      <c r="F30" s="243">
        <v>0</v>
      </c>
      <c r="G30" s="239">
        <f aca="true" t="shared" si="2" ref="G30">F30-E30</f>
        <v>0</v>
      </c>
      <c r="H30" s="78"/>
    </row>
    <row r="31" spans="2:8" ht="12.75" customHeight="1">
      <c r="B31" s="236"/>
      <c r="C31" s="237"/>
      <c r="D31" s="237"/>
      <c r="E31" s="261"/>
      <c r="F31" s="261"/>
      <c r="G31" s="235"/>
      <c r="H31" s="78"/>
    </row>
    <row r="32" spans="2:10" ht="12.75" customHeight="1">
      <c r="B32" s="244">
        <v>6</v>
      </c>
      <c r="C32" s="434" t="s">
        <v>123</v>
      </c>
      <c r="D32" s="435"/>
      <c r="E32" s="245">
        <f>E24+E26</f>
        <v>-759</v>
      </c>
      <c r="F32" s="245">
        <f>F24+F26+F30</f>
        <v>-24117</v>
      </c>
      <c r="G32" s="246">
        <f>F32-E32</f>
        <v>-23358</v>
      </c>
      <c r="H32" s="78"/>
      <c r="J32" s="2"/>
    </row>
    <row r="33" spans="2:8" ht="12.75" customHeight="1">
      <c r="B33" s="236"/>
      <c r="C33" s="433" t="s">
        <v>5</v>
      </c>
      <c r="D33" s="433"/>
      <c r="E33" s="238">
        <f>E4+E27</f>
        <v>506307</v>
      </c>
      <c r="F33" s="238">
        <f>F4+F27</f>
        <v>697852</v>
      </c>
      <c r="G33" s="239">
        <f aca="true" t="shared" si="3" ref="G33:G34">F33-E33</f>
        <v>191545</v>
      </c>
      <c r="H33" s="78"/>
    </row>
    <row r="34" spans="2:8" ht="12.75" customHeight="1">
      <c r="B34" s="251"/>
      <c r="C34" s="436" t="s">
        <v>6</v>
      </c>
      <c r="D34" s="436"/>
      <c r="E34" s="252">
        <f>E14-E28</f>
        <v>507066</v>
      </c>
      <c r="F34" s="252">
        <f>F14-F28</f>
        <v>721969</v>
      </c>
      <c r="G34" s="239">
        <f t="shared" si="3"/>
        <v>214903</v>
      </c>
      <c r="H34" s="47"/>
    </row>
    <row r="35" spans="2:9" ht="12.75" customHeight="1" thickBot="1">
      <c r="B35" s="332"/>
      <c r="C35" s="332"/>
      <c r="D35" s="332"/>
      <c r="E35" s="371"/>
      <c r="F35" s="335"/>
      <c r="G35" s="335"/>
      <c r="H35" s="47"/>
      <c r="I35" s="3"/>
    </row>
    <row r="36" spans="2:8" ht="26.25" thickTop="1">
      <c r="B36" s="230"/>
      <c r="C36" s="431" t="s">
        <v>155</v>
      </c>
      <c r="D36" s="431"/>
      <c r="E36" s="319"/>
      <c r="F36" s="319"/>
      <c r="G36" s="320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-12317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  <c r="H38" s="111"/>
    </row>
    <row r="39" spans="2:8" ht="27" customHeight="1">
      <c r="B39" s="236"/>
      <c r="C39" s="262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262"/>
      <c r="D40" s="162" t="s">
        <v>102</v>
      </c>
      <c r="E40" s="196"/>
      <c r="F40" s="321"/>
      <c r="G40" s="261">
        <v>0</v>
      </c>
      <c r="H40" s="38"/>
    </row>
    <row r="41" spans="2:8" ht="26.25" customHeight="1">
      <c r="B41" s="236"/>
      <c r="C41" s="262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-80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59"/>
      <c r="C51" s="162"/>
      <c r="D51" s="162" t="s">
        <v>109</v>
      </c>
      <c r="E51" s="196"/>
      <c r="F51" s="321"/>
      <c r="G51" s="261">
        <v>0</v>
      </c>
      <c r="H51" s="38"/>
    </row>
    <row r="52" spans="2:8" ht="12.75" customHeight="1">
      <c r="B52" s="280"/>
      <c r="C52" s="264"/>
      <c r="D52" s="264"/>
      <c r="E52" s="265"/>
      <c r="F52" s="322"/>
      <c r="G52" s="266"/>
      <c r="H52" s="38"/>
    </row>
    <row r="53" spans="2:8" ht="12.75" customHeight="1">
      <c r="B53" s="323">
        <v>12</v>
      </c>
      <c r="C53" s="451" t="s">
        <v>140</v>
      </c>
      <c r="D53" s="451"/>
      <c r="E53" s="269"/>
      <c r="F53" s="324"/>
      <c r="G53" s="345">
        <f>G54+G55</f>
        <v>80</v>
      </c>
      <c r="H53" s="111"/>
    </row>
    <row r="54" spans="2:8" ht="24.75" customHeight="1">
      <c r="B54" s="236"/>
      <c r="C54" s="162"/>
      <c r="D54" s="346" t="s">
        <v>110</v>
      </c>
      <c r="E54" s="347"/>
      <c r="F54" s="348"/>
      <c r="G54" s="261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80</v>
      </c>
      <c r="H55" s="38"/>
    </row>
    <row r="56" spans="2:8" s="7" customFormat="1" ht="12.75" customHeight="1">
      <c r="B56" s="236"/>
      <c r="C56" s="262"/>
      <c r="D56" s="162"/>
      <c r="E56" s="196"/>
      <c r="F56" s="321"/>
      <c r="G56" s="261"/>
      <c r="H56" s="38"/>
    </row>
    <row r="57" spans="2:8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-12606</v>
      </c>
      <c r="H57" s="110"/>
    </row>
    <row r="58" spans="2:8" ht="12.75" customHeight="1">
      <c r="B58" s="236"/>
      <c r="C58" s="262"/>
      <c r="D58" s="262"/>
      <c r="E58" s="196"/>
      <c r="F58" s="321"/>
      <c r="G58" s="261"/>
      <c r="H58" s="38"/>
    </row>
    <row r="59" spans="2:8" ht="12.75" customHeight="1">
      <c r="B59" s="257">
        <v>14</v>
      </c>
      <c r="C59" s="433" t="s">
        <v>281</v>
      </c>
      <c r="D59" s="433"/>
      <c r="E59" s="196"/>
      <c r="F59" s="321"/>
      <c r="G59" s="284">
        <f>F30</f>
        <v>0</v>
      </c>
      <c r="H59" s="110"/>
    </row>
    <row r="60" spans="2:8" ht="12.75" customHeight="1">
      <c r="B60" s="236"/>
      <c r="C60" s="262"/>
      <c r="D60" s="162"/>
      <c r="E60" s="196"/>
      <c r="F60" s="321"/>
      <c r="G60" s="261"/>
      <c r="H60" s="38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-12317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65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279">
        <f>G37-G48+G57+G59</f>
        <v>-24843</v>
      </c>
      <c r="H63" s="78"/>
    </row>
    <row r="64" spans="2:8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-726</v>
      </c>
      <c r="H64" s="111"/>
    </row>
    <row r="65" spans="2:8" ht="12.75" customHeight="1" thickBot="1">
      <c r="B65" s="332"/>
      <c r="C65" s="332"/>
      <c r="D65" s="333"/>
      <c r="E65" s="334"/>
      <c r="F65" s="334"/>
      <c r="G65" s="335"/>
      <c r="H65" s="47"/>
    </row>
    <row r="66" spans="2:9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109"/>
      <c r="I66" s="40"/>
    </row>
    <row r="67" spans="2:8" ht="12.75" customHeight="1">
      <c r="B67" s="233">
        <v>18</v>
      </c>
      <c r="C67" s="429" t="s">
        <v>135</v>
      </c>
      <c r="D67" s="429"/>
      <c r="E67" s="196"/>
      <c r="F67" s="196"/>
      <c r="G67" s="258">
        <f>F32*(-1)</f>
        <v>24117</v>
      </c>
      <c r="H67" s="78"/>
    </row>
    <row r="68" spans="2:8" ht="12.75" customHeight="1">
      <c r="B68" s="236"/>
      <c r="C68" s="262"/>
      <c r="D68" s="262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-11182</v>
      </c>
      <c r="H69" s="110"/>
    </row>
    <row r="70" spans="2:8" ht="12.75" customHeight="1">
      <c r="B70" s="236"/>
      <c r="C70" s="240"/>
      <c r="D70" s="162" t="s">
        <v>68</v>
      </c>
      <c r="E70" s="196"/>
      <c r="F70" s="326"/>
      <c r="G70" s="261">
        <f>G61</f>
        <v>-12317</v>
      </c>
      <c r="H70" s="65"/>
    </row>
    <row r="71" spans="2:8" ht="12.75" customHeight="1">
      <c r="B71" s="236"/>
      <c r="C71" s="262"/>
      <c r="D71" s="162" t="s">
        <v>23</v>
      </c>
      <c r="E71" s="196"/>
      <c r="F71" s="326"/>
      <c r="G71" s="261">
        <f>G72-G73</f>
        <v>0</v>
      </c>
      <c r="H71" s="65"/>
    </row>
    <row r="72" spans="2:8" ht="12.75" customHeight="1">
      <c r="B72" s="236"/>
      <c r="C72" s="262"/>
      <c r="D72" s="162" t="s">
        <v>78</v>
      </c>
      <c r="E72" s="196"/>
      <c r="F72" s="326"/>
      <c r="G72" s="261">
        <f>G45</f>
        <v>0</v>
      </c>
      <c r="H72" s="38"/>
    </row>
    <row r="73" spans="2:8" ht="12.75" customHeight="1">
      <c r="B73" s="233"/>
      <c r="C73" s="262"/>
      <c r="D73" s="162" t="s">
        <v>116</v>
      </c>
      <c r="E73" s="196"/>
      <c r="F73" s="326"/>
      <c r="G73" s="261">
        <f>G40</f>
        <v>0</v>
      </c>
      <c r="H73" s="38"/>
    </row>
    <row r="74" spans="2:8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  <c r="H74" s="65"/>
    </row>
    <row r="75" spans="2:8" ht="12.75" customHeight="1">
      <c r="B75" s="236"/>
      <c r="C75" s="262"/>
      <c r="D75" s="162" t="s">
        <v>117</v>
      </c>
      <c r="E75" s="196"/>
      <c r="F75" s="326"/>
      <c r="G75" s="261">
        <f>G46</f>
        <v>0</v>
      </c>
      <c r="H75" s="38"/>
    </row>
    <row r="76" spans="2:8" ht="12.75" customHeight="1">
      <c r="B76" s="236"/>
      <c r="C76" s="262"/>
      <c r="D76" s="162" t="s">
        <v>118</v>
      </c>
      <c r="E76" s="196"/>
      <c r="F76" s="326"/>
      <c r="G76" s="261">
        <f>G41</f>
        <v>0</v>
      </c>
      <c r="H76" s="38"/>
    </row>
    <row r="77" spans="2:9" ht="12.75" customHeight="1">
      <c r="B77" s="236"/>
      <c r="C77" s="162"/>
      <c r="D77" s="162" t="s">
        <v>80</v>
      </c>
      <c r="E77" s="196"/>
      <c r="F77" s="326"/>
      <c r="G77" s="261">
        <f>F27</f>
        <v>1135</v>
      </c>
      <c r="H77" s="65"/>
      <c r="I77" s="2"/>
    </row>
    <row r="78" spans="2:8" ht="12.75" customHeight="1">
      <c r="B78" s="236"/>
      <c r="C78" s="162"/>
      <c r="D78" s="162"/>
      <c r="E78" s="196"/>
      <c r="F78" s="326"/>
      <c r="G78" s="258"/>
      <c r="H78" s="78"/>
    </row>
    <row r="79" spans="2:8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-13741</v>
      </c>
      <c r="H79" s="110"/>
    </row>
    <row r="80" spans="2:8" ht="12.75" customHeight="1">
      <c r="B80" s="236"/>
      <c r="C80" s="162"/>
      <c r="D80" s="162" t="s">
        <v>81</v>
      </c>
      <c r="E80" s="286"/>
      <c r="F80" s="340"/>
      <c r="G80" s="261">
        <f>F28</f>
        <v>-13741</v>
      </c>
      <c r="H80" s="38"/>
    </row>
    <row r="81" spans="2:8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  <c r="H81" s="65"/>
    </row>
    <row r="82" spans="2:8" s="7" customFormat="1" ht="12.75" customHeight="1">
      <c r="B82" s="236"/>
      <c r="C82" s="162"/>
      <c r="D82" s="162" t="s">
        <v>95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83</v>
      </c>
      <c r="E84" s="196"/>
      <c r="F84" s="326"/>
      <c r="G84" s="261">
        <v>0</v>
      </c>
      <c r="H84" s="65"/>
    </row>
    <row r="85" spans="2:8" ht="12.75" customHeight="1">
      <c r="B85" s="236"/>
      <c r="C85" s="162"/>
      <c r="D85" s="162" t="s">
        <v>84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166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26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711</v>
      </c>
      <c r="H88" s="110"/>
    </row>
    <row r="89" spans="2:8" ht="12.75" customHeight="1">
      <c r="B89" s="236"/>
      <c r="C89" s="162"/>
      <c r="D89" s="162" t="s">
        <v>159</v>
      </c>
      <c r="E89" s="196"/>
      <c r="F89" s="326"/>
      <c r="G89" s="261">
        <f>-G64</f>
        <v>726</v>
      </c>
      <c r="H89" s="38"/>
    </row>
    <row r="90" spans="2:8" ht="12.75" customHeight="1">
      <c r="B90" s="236"/>
      <c r="C90" s="162"/>
      <c r="D90" s="162" t="s">
        <v>160</v>
      </c>
      <c r="E90" s="196"/>
      <c r="F90" s="326"/>
      <c r="G90" s="261">
        <f>G92-(G67+G69+G79)-G89</f>
        <v>-15</v>
      </c>
      <c r="H90" s="38"/>
    </row>
    <row r="91" spans="2:8" ht="12.75" customHeight="1">
      <c r="B91" s="236"/>
      <c r="C91" s="162"/>
      <c r="D91" s="162"/>
      <c r="E91" s="196"/>
      <c r="F91" s="326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41"/>
      <c r="G92" s="279">
        <v>-95</v>
      </c>
      <c r="H92" s="78"/>
    </row>
    <row r="93" spans="5:8" ht="12.75" customHeight="1">
      <c r="E93" s="1"/>
      <c r="F93" s="1"/>
      <c r="G93" s="1"/>
      <c r="H93" s="1"/>
    </row>
    <row r="94" spans="5:8" ht="12.75" customHeight="1">
      <c r="E94" s="1"/>
      <c r="F94" s="1"/>
      <c r="G94" s="1"/>
      <c r="H94" s="1"/>
    </row>
    <row r="95" spans="5:8" ht="12.75" customHeight="1">
      <c r="E95" s="1"/>
      <c r="F95" s="1"/>
      <c r="G95" s="18"/>
      <c r="H95" s="18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="7" customFormat="1" ht="12.75" customHeight="1"/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7:8" ht="12.75" customHeight="1">
      <c r="G120" s="40"/>
      <c r="H120" s="40"/>
    </row>
    <row r="121" spans="7:8" ht="12.75" customHeight="1">
      <c r="G121" s="40"/>
      <c r="H121" s="40"/>
    </row>
    <row r="122" spans="7:8" ht="12.75" customHeight="1">
      <c r="G122" s="40"/>
      <c r="H122" s="40"/>
    </row>
    <row r="123" spans="7:8" ht="12.75" customHeight="1">
      <c r="G123" s="40"/>
      <c r="H123" s="40"/>
    </row>
    <row r="124" spans="7:8" ht="12.75" customHeight="1">
      <c r="G124" s="40"/>
      <c r="H124" s="40"/>
    </row>
    <row r="125" spans="7:8" ht="12.75" customHeight="1">
      <c r="G125" s="40"/>
      <c r="H125" s="40"/>
    </row>
    <row r="126" spans="7:8" ht="12.75" customHeight="1">
      <c r="G126" s="40"/>
      <c r="H126" s="40"/>
    </row>
    <row r="127" spans="7:8" ht="12.75" customHeight="1">
      <c r="G127" s="40"/>
      <c r="H127" s="40"/>
    </row>
    <row r="128" spans="7:8" ht="12.75" customHeight="1">
      <c r="G128" s="40"/>
      <c r="H128" s="40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 customHeight="1">
      <c r="G136" s="40"/>
      <c r="H136" s="40"/>
    </row>
    <row r="137" spans="7:8" ht="12.75" customHeight="1">
      <c r="G137" s="40"/>
      <c r="H137" s="40"/>
    </row>
    <row r="138" spans="7:8" ht="12.75">
      <c r="G138" s="40"/>
      <c r="H138" s="40"/>
    </row>
    <row r="139" spans="7:8" ht="12.75">
      <c r="G139" s="40"/>
      <c r="H139" s="40"/>
    </row>
  </sheetData>
  <mergeCells count="21">
    <mergeCell ref="C24:D24"/>
    <mergeCell ref="C3:D3"/>
    <mergeCell ref="C26:D26"/>
    <mergeCell ref="C30:D30"/>
    <mergeCell ref="C36:D36"/>
    <mergeCell ref="C14:D14"/>
    <mergeCell ref="C32:D32"/>
    <mergeCell ref="C4:D4"/>
    <mergeCell ref="C61:D61"/>
    <mergeCell ref="C33:D33"/>
    <mergeCell ref="C88:D88"/>
    <mergeCell ref="C79:D79"/>
    <mergeCell ref="C34:D34"/>
    <mergeCell ref="C67:D67"/>
    <mergeCell ref="C38:D38"/>
    <mergeCell ref="C59:D59"/>
    <mergeCell ref="C49:D49"/>
    <mergeCell ref="C53:D53"/>
    <mergeCell ref="C66:D66"/>
    <mergeCell ref="C43:D43"/>
    <mergeCell ref="C57:D57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2" min="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9"/>
  <sheetViews>
    <sheetView showGridLines="0" view="pageBreakPreview" zoomScale="80" zoomScaleSheetLayoutView="80" workbookViewId="0" topLeftCell="A58">
      <selection activeCell="H83" sqref="H83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3" customWidth="1"/>
    <col min="6" max="6" width="10.57421875" style="43" customWidth="1"/>
    <col min="7" max="7" width="11.00390625" style="42" customWidth="1"/>
    <col min="8" max="8" width="27.00390625" style="42" customWidth="1"/>
    <col min="9" max="16384" width="9.140625" style="1" customWidth="1"/>
  </cols>
  <sheetData>
    <row r="1" spans="2:8" s="31" customFormat="1" ht="15">
      <c r="B1" s="289"/>
      <c r="C1" s="290" t="s">
        <v>60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29" t="s">
        <v>119</v>
      </c>
      <c r="D4" s="429"/>
      <c r="E4" s="234">
        <f>E5+E11</f>
        <v>213597</v>
      </c>
      <c r="F4" s="234">
        <f>F5+F11</f>
        <v>366763</v>
      </c>
      <c r="G4" s="235">
        <f aca="true" t="shared" si="0" ref="G4:G11">F4-E4</f>
        <v>153166</v>
      </c>
      <c r="H4" s="78"/>
    </row>
    <row r="5" spans="2:8" ht="12.75" customHeight="1">
      <c r="B5" s="236"/>
      <c r="C5" s="237" t="s">
        <v>0</v>
      </c>
      <c r="D5" s="237" t="s">
        <v>30</v>
      </c>
      <c r="E5" s="238">
        <f>E6+E7+E8+E9+E10</f>
        <v>44931</v>
      </c>
      <c r="F5" s="238">
        <f>F6+F7+F8+F9+F10</f>
        <v>126616</v>
      </c>
      <c r="G5" s="239">
        <f t="shared" si="0"/>
        <v>81685</v>
      </c>
      <c r="H5" s="38"/>
    </row>
    <row r="6" spans="2:8" ht="12.75" customHeight="1">
      <c r="B6" s="236"/>
      <c r="C6" s="237"/>
      <c r="D6" s="240" t="s">
        <v>44</v>
      </c>
      <c r="E6" s="238">
        <v>3746</v>
      </c>
      <c r="F6" s="238">
        <v>4730</v>
      </c>
      <c r="G6" s="239">
        <f t="shared" si="0"/>
        <v>984</v>
      </c>
      <c r="H6" s="38"/>
    </row>
    <row r="7" spans="2:8" ht="12.75" customHeight="1">
      <c r="B7" s="236"/>
      <c r="C7" s="237"/>
      <c r="D7" s="240" t="s">
        <v>40</v>
      </c>
      <c r="E7" s="238">
        <v>37947</v>
      </c>
      <c r="F7" s="238">
        <v>62796</v>
      </c>
      <c r="G7" s="239">
        <f t="shared" si="0"/>
        <v>24849</v>
      </c>
      <c r="H7" s="38"/>
    </row>
    <row r="8" spans="2:8" ht="12.75" customHeight="1">
      <c r="B8" s="236"/>
      <c r="C8" s="237"/>
      <c r="D8" s="240" t="s">
        <v>41</v>
      </c>
      <c r="E8" s="238">
        <v>1691</v>
      </c>
      <c r="F8" s="238">
        <v>690</v>
      </c>
      <c r="G8" s="239">
        <f t="shared" si="0"/>
        <v>-1001</v>
      </c>
      <c r="H8" s="38"/>
    </row>
    <row r="9" spans="2:8" ht="12.75" customHeight="1">
      <c r="B9" s="236"/>
      <c r="C9" s="237"/>
      <c r="D9" s="240" t="s">
        <v>42</v>
      </c>
      <c r="E9" s="238">
        <f>10+0</f>
        <v>10</v>
      </c>
      <c r="F9" s="238">
        <v>12</v>
      </c>
      <c r="G9" s="239">
        <f t="shared" si="0"/>
        <v>2</v>
      </c>
      <c r="H9" s="38"/>
    </row>
    <row r="10" spans="2:8" ht="12.75" customHeight="1">
      <c r="B10" s="236"/>
      <c r="C10" s="237"/>
      <c r="D10" s="240" t="s">
        <v>43</v>
      </c>
      <c r="E10" s="238">
        <v>1537</v>
      </c>
      <c r="F10" s="238">
        <f>58387+1</f>
        <v>58388</v>
      </c>
      <c r="G10" s="239">
        <f t="shared" si="0"/>
        <v>56851</v>
      </c>
      <c r="H10" s="38"/>
    </row>
    <row r="11" spans="2:8" ht="12.75" customHeight="1">
      <c r="B11" s="236"/>
      <c r="C11" s="237"/>
      <c r="D11" s="237" t="s">
        <v>31</v>
      </c>
      <c r="E11" s="238">
        <v>168666</v>
      </c>
      <c r="F11" s="238">
        <v>240147</v>
      </c>
      <c r="G11" s="239">
        <f t="shared" si="0"/>
        <v>71481</v>
      </c>
      <c r="H11" s="38"/>
    </row>
    <row r="12" spans="2:8" ht="12.75" customHeight="1">
      <c r="B12" s="236"/>
      <c r="C12" s="237"/>
      <c r="D12" s="237"/>
      <c r="E12" s="238"/>
      <c r="F12" s="238"/>
      <c r="G12" s="239"/>
      <c r="H12" s="38"/>
    </row>
    <row r="13" spans="2:8" ht="12.75" customHeight="1">
      <c r="B13" s="236"/>
      <c r="C13" s="237"/>
      <c r="D13" s="237"/>
      <c r="E13" s="238"/>
      <c r="F13" s="238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213921</v>
      </c>
      <c r="F14" s="243">
        <f>F15+F20</f>
        <v>370433</v>
      </c>
      <c r="G14" s="235">
        <f aca="true" t="shared" si="1" ref="G14:G22">F14-E14</f>
        <v>156512</v>
      </c>
      <c r="H14" s="7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199885</v>
      </c>
      <c r="F15" s="238">
        <f>F16+F17+F18+F19</f>
        <v>306964</v>
      </c>
      <c r="G15" s="239">
        <f t="shared" si="1"/>
        <v>107079</v>
      </c>
      <c r="H15" s="38"/>
    </row>
    <row r="16" spans="2:8" ht="12.75" customHeight="1">
      <c r="B16" s="236"/>
      <c r="C16" s="237"/>
      <c r="D16" s="240" t="s">
        <v>34</v>
      </c>
      <c r="E16" s="238">
        <f>92382+32410</f>
        <v>124792</v>
      </c>
      <c r="F16" s="238">
        <f>105627+36502</f>
        <v>142129</v>
      </c>
      <c r="G16" s="239">
        <f t="shared" si="1"/>
        <v>17337</v>
      </c>
      <c r="H16" s="38"/>
    </row>
    <row r="17" spans="2:8" ht="12.75" customHeight="1">
      <c r="B17" s="236"/>
      <c r="C17" s="237"/>
      <c r="D17" s="240" t="s">
        <v>35</v>
      </c>
      <c r="E17" s="238">
        <v>73663</v>
      </c>
      <c r="F17" s="238">
        <f>158555-1</f>
        <v>158554</v>
      </c>
      <c r="G17" s="239">
        <f t="shared" si="1"/>
        <v>84891</v>
      </c>
      <c r="H17" s="38"/>
    </row>
    <row r="18" spans="2:8" ht="12.75" customHeight="1">
      <c r="B18" s="236"/>
      <c r="C18" s="237"/>
      <c r="D18" s="240" t="s">
        <v>36</v>
      </c>
      <c r="E18" s="238">
        <v>1429</v>
      </c>
      <c r="F18" s="238">
        <v>6280</v>
      </c>
      <c r="G18" s="239">
        <f t="shared" si="1"/>
        <v>4851</v>
      </c>
      <c r="H18" s="38"/>
    </row>
    <row r="19" spans="2:8" ht="12.75" customHeight="1">
      <c r="B19" s="236"/>
      <c r="C19" s="237"/>
      <c r="D19" s="240" t="s">
        <v>37</v>
      </c>
      <c r="E19" s="238">
        <v>1</v>
      </c>
      <c r="F19" s="238">
        <v>1</v>
      </c>
      <c r="G19" s="239">
        <f t="shared" si="1"/>
        <v>0</v>
      </c>
      <c r="H19" s="38"/>
    </row>
    <row r="20" spans="2:8" ht="12.75" customHeight="1">
      <c r="B20" s="236"/>
      <c r="C20" s="237"/>
      <c r="D20" s="237" t="s">
        <v>33</v>
      </c>
      <c r="E20" s="238">
        <f>E21+E22</f>
        <v>14036</v>
      </c>
      <c r="F20" s="238">
        <f>F21+F22</f>
        <v>63469</v>
      </c>
      <c r="G20" s="239">
        <f t="shared" si="1"/>
        <v>49433</v>
      </c>
      <c r="H20" s="38"/>
    </row>
    <row r="21" spans="2:8" ht="12.75" customHeight="1">
      <c r="B21" s="236"/>
      <c r="C21" s="237"/>
      <c r="D21" s="240" t="s">
        <v>38</v>
      </c>
      <c r="E21" s="238">
        <v>14036</v>
      </c>
      <c r="F21" s="238">
        <v>61727</v>
      </c>
      <c r="G21" s="239">
        <f t="shared" si="1"/>
        <v>47691</v>
      </c>
      <c r="H21" s="38"/>
    </row>
    <row r="22" spans="2:8" ht="12.75" customHeight="1">
      <c r="B22" s="236"/>
      <c r="C22" s="237"/>
      <c r="D22" s="240" t="s">
        <v>39</v>
      </c>
      <c r="E22" s="238">
        <v>0</v>
      </c>
      <c r="F22" s="238">
        <v>1742</v>
      </c>
      <c r="G22" s="239">
        <f t="shared" si="1"/>
        <v>1742</v>
      </c>
      <c r="H22" s="38"/>
    </row>
    <row r="23" spans="2:8" ht="12.75" customHeight="1">
      <c r="B23" s="236"/>
      <c r="C23" s="237"/>
      <c r="D23" s="237"/>
      <c r="E23" s="238"/>
      <c r="F23" s="238"/>
      <c r="G23" s="239"/>
      <c r="H23" s="38"/>
    </row>
    <row r="24" spans="2:8" ht="12.75" customHeight="1">
      <c r="B24" s="244">
        <v>3</v>
      </c>
      <c r="C24" s="434" t="s">
        <v>131</v>
      </c>
      <c r="D24" s="435"/>
      <c r="E24" s="245">
        <f>E4-E14</f>
        <v>-324</v>
      </c>
      <c r="F24" s="245">
        <f>F4-F14</f>
        <v>-3670</v>
      </c>
      <c r="G24" s="246">
        <f>F24-E24</f>
        <v>-3346</v>
      </c>
      <c r="H24" s="78"/>
    </row>
    <row r="25" spans="2:8" ht="12.75" customHeight="1">
      <c r="B25" s="236"/>
      <c r="C25" s="237"/>
      <c r="D25" s="237"/>
      <c r="E25" s="243"/>
      <c r="F25" s="372"/>
      <c r="G25" s="235"/>
      <c r="H25" s="78"/>
    </row>
    <row r="26" spans="2:8" ht="12.75" customHeight="1">
      <c r="B26" s="233">
        <v>4</v>
      </c>
      <c r="C26" s="430" t="s">
        <v>167</v>
      </c>
      <c r="D26" s="430"/>
      <c r="E26" s="243">
        <f>E27+E28</f>
        <v>0</v>
      </c>
      <c r="F26" s="243">
        <f>F27+F28</f>
        <v>-5065</v>
      </c>
      <c r="G26" s="235">
        <f>F26-E26</f>
        <v>-5065</v>
      </c>
      <c r="H26" s="78"/>
    </row>
    <row r="27" spans="2:9" ht="12.75" customHeight="1">
      <c r="B27" s="236"/>
      <c r="C27" s="237"/>
      <c r="D27" s="237" t="s">
        <v>3</v>
      </c>
      <c r="E27" s="258">
        <v>0</v>
      </c>
      <c r="F27" s="238">
        <v>3002</v>
      </c>
      <c r="G27" s="239">
        <f aca="true" t="shared" si="2" ref="G27:G28">F27-E27</f>
        <v>3002</v>
      </c>
      <c r="H27" s="78"/>
      <c r="I27" s="2"/>
    </row>
    <row r="28" spans="2:8" ht="12.75" customHeight="1">
      <c r="B28" s="236"/>
      <c r="C28" s="237"/>
      <c r="D28" s="237" t="s">
        <v>4</v>
      </c>
      <c r="E28" s="261">
        <v>0</v>
      </c>
      <c r="F28" s="238">
        <v>-8067</v>
      </c>
      <c r="G28" s="239">
        <f t="shared" si="2"/>
        <v>-8067</v>
      </c>
      <c r="H28" s="78"/>
    </row>
    <row r="29" spans="2:8" ht="12.75" customHeight="1">
      <c r="B29" s="236"/>
      <c r="C29" s="237"/>
      <c r="D29" s="237"/>
      <c r="E29" s="261"/>
      <c r="F29" s="238"/>
      <c r="G29" s="235"/>
      <c r="H29" s="78"/>
    </row>
    <row r="30" spans="2:8" ht="12.75" customHeight="1">
      <c r="B30" s="233">
        <v>5</v>
      </c>
      <c r="C30" s="433" t="s">
        <v>280</v>
      </c>
      <c r="D30" s="433"/>
      <c r="E30" s="258">
        <v>0</v>
      </c>
      <c r="F30" s="243">
        <f>F31</f>
        <v>-13</v>
      </c>
      <c r="G30" s="235">
        <f aca="true" t="shared" si="3" ref="G30:G31">F30-E30</f>
        <v>-13</v>
      </c>
      <c r="H30" s="78"/>
    </row>
    <row r="31" spans="2:8" ht="12.75" customHeight="1">
      <c r="B31" s="233"/>
      <c r="C31" s="237"/>
      <c r="D31" s="237" t="s">
        <v>170</v>
      </c>
      <c r="E31" s="261">
        <v>0</v>
      </c>
      <c r="F31" s="238">
        <v>-13</v>
      </c>
      <c r="G31" s="239">
        <f t="shared" si="3"/>
        <v>-13</v>
      </c>
      <c r="H31" s="78"/>
    </row>
    <row r="32" spans="2:8" ht="12.75" customHeight="1">
      <c r="B32" s="236"/>
      <c r="C32" s="237"/>
      <c r="D32" s="240"/>
      <c r="E32" s="261"/>
      <c r="F32" s="238"/>
      <c r="G32" s="235"/>
      <c r="H32" s="78"/>
    </row>
    <row r="33" spans="2:9" ht="12.75" customHeight="1">
      <c r="B33" s="244">
        <v>6</v>
      </c>
      <c r="C33" s="434" t="s">
        <v>123</v>
      </c>
      <c r="D33" s="435"/>
      <c r="E33" s="245">
        <f>E24+E26</f>
        <v>-324</v>
      </c>
      <c r="F33" s="245">
        <f>F24+F26+F30</f>
        <v>-8748</v>
      </c>
      <c r="G33" s="246">
        <f>F33-E33</f>
        <v>-8424</v>
      </c>
      <c r="H33" s="78"/>
      <c r="I33" s="2"/>
    </row>
    <row r="34" spans="2:8" ht="12.75" customHeight="1">
      <c r="B34" s="236"/>
      <c r="C34" s="433" t="s">
        <v>5</v>
      </c>
      <c r="D34" s="433"/>
      <c r="E34" s="238">
        <f>E4+E27</f>
        <v>213597</v>
      </c>
      <c r="F34" s="238">
        <f>F4+F27</f>
        <v>369765</v>
      </c>
      <c r="G34" s="239">
        <f aca="true" t="shared" si="4" ref="G34:G35">F34-E34</f>
        <v>156168</v>
      </c>
      <c r="H34" s="78"/>
    </row>
    <row r="35" spans="2:8" ht="12.75" customHeight="1">
      <c r="B35" s="251"/>
      <c r="C35" s="436" t="s">
        <v>6</v>
      </c>
      <c r="D35" s="436"/>
      <c r="E35" s="252">
        <f>E14-E28</f>
        <v>213921</v>
      </c>
      <c r="F35" s="252">
        <f>F14-F28-F31</f>
        <v>378513</v>
      </c>
      <c r="G35" s="239">
        <f t="shared" si="4"/>
        <v>164592</v>
      </c>
      <c r="H35" s="47"/>
    </row>
    <row r="36" spans="1:9" ht="12.75" customHeight="1" thickBot="1">
      <c r="A36" s="3"/>
      <c r="B36" s="332"/>
      <c r="C36" s="373"/>
      <c r="D36" s="373"/>
      <c r="E36" s="371"/>
      <c r="F36" s="371"/>
      <c r="G36" s="335"/>
      <c r="H36" s="47"/>
      <c r="I36" s="3"/>
    </row>
    <row r="37" spans="2:8" ht="26.25" thickTop="1">
      <c r="B37" s="230"/>
      <c r="C37" s="431" t="s">
        <v>155</v>
      </c>
      <c r="D37" s="431"/>
      <c r="E37" s="319"/>
      <c r="F37" s="319"/>
      <c r="G37" s="320" t="s">
        <v>205</v>
      </c>
      <c r="H37" s="109"/>
    </row>
    <row r="38" spans="2:8" ht="12.75" customHeight="1">
      <c r="B38" s="257">
        <v>7</v>
      </c>
      <c r="C38" s="271" t="s">
        <v>133</v>
      </c>
      <c r="D38" s="271"/>
      <c r="E38" s="196"/>
      <c r="F38" s="321"/>
      <c r="G38" s="284">
        <f>G44-G39+G62</f>
        <v>-14758</v>
      </c>
      <c r="H38" s="110"/>
    </row>
    <row r="39" spans="2:8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0</v>
      </c>
      <c r="H39" s="111"/>
    </row>
    <row r="40" spans="2:8" ht="27" customHeight="1">
      <c r="B40" s="236"/>
      <c r="C40" s="262"/>
      <c r="D40" s="346" t="s">
        <v>101</v>
      </c>
      <c r="E40" s="347"/>
      <c r="F40" s="348"/>
      <c r="G40" s="261">
        <v>0</v>
      </c>
      <c r="H40" s="38"/>
    </row>
    <row r="41" spans="2:8" ht="12.75" customHeight="1">
      <c r="B41" s="236"/>
      <c r="C41" s="262"/>
      <c r="D41" s="162" t="s">
        <v>102</v>
      </c>
      <c r="E41" s="196"/>
      <c r="F41" s="321"/>
      <c r="G41" s="261">
        <v>0</v>
      </c>
      <c r="H41" s="38"/>
    </row>
    <row r="42" spans="2:8" ht="27" customHeight="1">
      <c r="B42" s="236"/>
      <c r="C42" s="262"/>
      <c r="D42" s="346" t="s">
        <v>114</v>
      </c>
      <c r="E42" s="347"/>
      <c r="F42" s="348"/>
      <c r="G42" s="261">
        <v>0</v>
      </c>
      <c r="H42" s="38"/>
    </row>
    <row r="43" spans="2:8" ht="12.75" customHeight="1">
      <c r="B43" s="236"/>
      <c r="C43" s="162"/>
      <c r="D43" s="162"/>
      <c r="E43" s="196"/>
      <c r="F43" s="321"/>
      <c r="G43" s="261"/>
      <c r="H43" s="38"/>
    </row>
    <row r="44" spans="2:8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0</v>
      </c>
      <c r="H44" s="111"/>
    </row>
    <row r="45" spans="2:8" ht="12.75" customHeight="1">
      <c r="B45" s="236"/>
      <c r="C45" s="162"/>
      <c r="D45" s="162" t="s">
        <v>22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106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 t="s">
        <v>107</v>
      </c>
      <c r="E47" s="196"/>
      <c r="F47" s="321"/>
      <c r="G47" s="261">
        <v>0</v>
      </c>
      <c r="H47" s="38"/>
    </row>
    <row r="48" spans="2:8" ht="12.75" customHeight="1">
      <c r="B48" s="236"/>
      <c r="C48" s="162"/>
      <c r="D48" s="162"/>
      <c r="E48" s="196"/>
      <c r="F48" s="321"/>
      <c r="G48" s="261"/>
      <c r="H48" s="38"/>
    </row>
    <row r="49" spans="2:8" ht="12.75" customHeight="1">
      <c r="B49" s="257">
        <v>10</v>
      </c>
      <c r="C49" s="271" t="s">
        <v>124</v>
      </c>
      <c r="D49" s="271"/>
      <c r="E49" s="196"/>
      <c r="F49" s="321"/>
      <c r="G49" s="284">
        <f>G50-G54</f>
        <v>250</v>
      </c>
      <c r="H49" s="110"/>
    </row>
    <row r="50" spans="2:8" ht="12.75" customHeight="1">
      <c r="B50" s="259">
        <v>11</v>
      </c>
      <c r="C50" s="432" t="s">
        <v>141</v>
      </c>
      <c r="D50" s="432"/>
      <c r="E50" s="196"/>
      <c r="F50" s="321"/>
      <c r="G50" s="260">
        <f>G51+G52</f>
        <v>280</v>
      </c>
      <c r="H50" s="111"/>
    </row>
    <row r="51" spans="2:8" ht="12.75" customHeight="1">
      <c r="B51" s="259"/>
      <c r="C51" s="162"/>
      <c r="D51" s="162" t="s">
        <v>115</v>
      </c>
      <c r="E51" s="196"/>
      <c r="F51" s="321"/>
      <c r="G51" s="261">
        <v>0</v>
      </c>
      <c r="H51" s="38"/>
    </row>
    <row r="52" spans="2:8" ht="12.75" customHeight="1">
      <c r="B52" s="280"/>
      <c r="C52" s="264"/>
      <c r="D52" s="264" t="s">
        <v>109</v>
      </c>
      <c r="E52" s="265"/>
      <c r="F52" s="322"/>
      <c r="G52" s="266">
        <v>280</v>
      </c>
      <c r="H52" s="38"/>
    </row>
    <row r="53" spans="2:8" ht="12.75" customHeight="1">
      <c r="B53" s="323"/>
      <c r="C53" s="268"/>
      <c r="D53" s="268"/>
      <c r="E53" s="269"/>
      <c r="F53" s="324"/>
      <c r="G53" s="270"/>
      <c r="H53" s="38"/>
    </row>
    <row r="54" spans="2:8" ht="12.75" customHeight="1">
      <c r="B54" s="259">
        <v>12</v>
      </c>
      <c r="C54" s="432" t="s">
        <v>140</v>
      </c>
      <c r="D54" s="432"/>
      <c r="E54" s="196"/>
      <c r="F54" s="321"/>
      <c r="G54" s="260">
        <f>G55+G56</f>
        <v>30</v>
      </c>
      <c r="H54" s="111"/>
    </row>
    <row r="55" spans="2:8" ht="26.25" customHeight="1">
      <c r="B55" s="236"/>
      <c r="C55" s="162"/>
      <c r="D55" s="346" t="s">
        <v>110</v>
      </c>
      <c r="E55" s="347"/>
      <c r="F55" s="348"/>
      <c r="G55" s="261">
        <v>0</v>
      </c>
      <c r="H55" s="38"/>
    </row>
    <row r="56" spans="2:8" ht="12.75" customHeight="1">
      <c r="B56" s="236"/>
      <c r="C56" s="162"/>
      <c r="D56" s="162" t="s">
        <v>111</v>
      </c>
      <c r="E56" s="196"/>
      <c r="F56" s="321"/>
      <c r="G56" s="261">
        <v>30</v>
      </c>
      <c r="H56" s="38"/>
    </row>
    <row r="57" spans="2:8" ht="12.75" customHeight="1">
      <c r="B57" s="236"/>
      <c r="C57" s="262"/>
      <c r="D57" s="162"/>
      <c r="E57" s="196"/>
      <c r="F57" s="321"/>
      <c r="G57" s="261"/>
      <c r="H57" s="38"/>
    </row>
    <row r="58" spans="2:8" ht="12.75" customHeight="1">
      <c r="B58" s="257">
        <v>13</v>
      </c>
      <c r="C58" s="430" t="s">
        <v>125</v>
      </c>
      <c r="D58" s="430"/>
      <c r="E58" s="196"/>
      <c r="F58" s="321"/>
      <c r="G58" s="284">
        <f>F26</f>
        <v>-5065</v>
      </c>
      <c r="H58" s="110"/>
    </row>
    <row r="59" spans="2:8" ht="12.75" customHeight="1">
      <c r="B59" s="236"/>
      <c r="C59" s="262"/>
      <c r="D59" s="262"/>
      <c r="E59" s="196"/>
      <c r="F59" s="321"/>
      <c r="G59" s="261"/>
      <c r="H59" s="38"/>
    </row>
    <row r="60" spans="2:8" ht="12.75" customHeight="1">
      <c r="B60" s="257">
        <v>14</v>
      </c>
      <c r="C60" s="433" t="s">
        <v>281</v>
      </c>
      <c r="D60" s="433"/>
      <c r="E60" s="196"/>
      <c r="F60" s="321"/>
      <c r="G60" s="284">
        <f>F30</f>
        <v>-13</v>
      </c>
      <c r="H60" s="110"/>
    </row>
    <row r="61" spans="2:8" ht="12.75" customHeight="1">
      <c r="B61" s="236"/>
      <c r="C61" s="262"/>
      <c r="D61" s="162"/>
      <c r="E61" s="196"/>
      <c r="F61" s="321"/>
      <c r="G61" s="261"/>
      <c r="H61" s="38"/>
    </row>
    <row r="62" spans="2:8" ht="12.75" customHeight="1">
      <c r="B62" s="259">
        <v>15</v>
      </c>
      <c r="C62" s="432" t="s">
        <v>126</v>
      </c>
      <c r="D62" s="432"/>
      <c r="E62" s="196"/>
      <c r="F62" s="196"/>
      <c r="G62" s="260">
        <v>-14758</v>
      </c>
      <c r="H62" s="111"/>
    </row>
    <row r="63" spans="2:8" ht="12.75" customHeight="1">
      <c r="B63" s="236"/>
      <c r="C63" s="264"/>
      <c r="D63" s="264"/>
      <c r="E63" s="265"/>
      <c r="F63" s="322"/>
      <c r="G63" s="266"/>
      <c r="H63" s="38"/>
    </row>
    <row r="64" spans="2:8" ht="12.75" customHeight="1">
      <c r="B64" s="244">
        <v>16</v>
      </c>
      <c r="C64" s="275" t="s">
        <v>127</v>
      </c>
      <c r="D64" s="276"/>
      <c r="E64" s="300"/>
      <c r="F64" s="325"/>
      <c r="G64" s="279">
        <f>G38-G49+G58+G60</f>
        <v>-20086</v>
      </c>
      <c r="H64" s="78"/>
    </row>
    <row r="65" spans="2:8" ht="12.75" customHeight="1">
      <c r="B65" s="280">
        <v>17</v>
      </c>
      <c r="C65" s="281" t="s">
        <v>128</v>
      </c>
      <c r="D65" s="281"/>
      <c r="E65" s="265"/>
      <c r="F65" s="322"/>
      <c r="G65" s="338">
        <f>G64-F33</f>
        <v>-11338</v>
      </c>
      <c r="H65" s="113"/>
    </row>
    <row r="66" spans="2:8" ht="12.75" customHeight="1" thickBot="1">
      <c r="B66" s="332"/>
      <c r="C66" s="332"/>
      <c r="D66" s="333"/>
      <c r="E66" s="334"/>
      <c r="F66" s="334"/>
      <c r="G66" s="335"/>
      <c r="H66" s="47"/>
    </row>
    <row r="67" spans="2:9" ht="26.25" customHeight="1" thickTop="1">
      <c r="B67" s="230"/>
      <c r="C67" s="431" t="s">
        <v>149</v>
      </c>
      <c r="D67" s="431"/>
      <c r="E67" s="319"/>
      <c r="F67" s="319"/>
      <c r="G67" s="320" t="s">
        <v>205</v>
      </c>
      <c r="H67" s="109"/>
      <c r="I67" s="40"/>
    </row>
    <row r="68" spans="2:8" ht="12.75" customHeight="1">
      <c r="B68" s="233">
        <v>18</v>
      </c>
      <c r="C68" s="429" t="s">
        <v>135</v>
      </c>
      <c r="D68" s="429"/>
      <c r="E68" s="196"/>
      <c r="F68" s="196"/>
      <c r="G68" s="258">
        <f>F33*(-1)</f>
        <v>8748</v>
      </c>
      <c r="H68" s="78"/>
    </row>
    <row r="69" spans="2:8" ht="12.75" customHeight="1">
      <c r="B69" s="236"/>
      <c r="C69" s="262"/>
      <c r="D69" s="262"/>
      <c r="E69" s="196"/>
      <c r="F69" s="196"/>
      <c r="G69" s="283"/>
      <c r="H69" s="79"/>
    </row>
    <row r="70" spans="2:8" ht="12.75" customHeight="1">
      <c r="B70" s="257">
        <v>19</v>
      </c>
      <c r="C70" s="271" t="s">
        <v>129</v>
      </c>
      <c r="D70" s="339"/>
      <c r="E70" s="196"/>
      <c r="F70" s="326"/>
      <c r="G70" s="284">
        <f>G71+G72+G75+G78</f>
        <v>-11756</v>
      </c>
      <c r="H70" s="110"/>
    </row>
    <row r="71" spans="2:8" ht="12.75" customHeight="1">
      <c r="B71" s="236"/>
      <c r="C71" s="240"/>
      <c r="D71" s="162" t="s">
        <v>68</v>
      </c>
      <c r="E71" s="196"/>
      <c r="F71" s="326"/>
      <c r="G71" s="261">
        <f>G62</f>
        <v>-14758</v>
      </c>
      <c r="H71" s="65"/>
    </row>
    <row r="72" spans="2:8" ht="12.75" customHeight="1">
      <c r="B72" s="236"/>
      <c r="C72" s="262"/>
      <c r="D72" s="162" t="s">
        <v>23</v>
      </c>
      <c r="E72" s="196"/>
      <c r="F72" s="326"/>
      <c r="G72" s="261">
        <f>G73-G74</f>
        <v>0</v>
      </c>
      <c r="H72" s="65"/>
    </row>
    <row r="73" spans="2:8" ht="12.75" customHeight="1">
      <c r="B73" s="236"/>
      <c r="C73" s="262"/>
      <c r="D73" s="162" t="s">
        <v>78</v>
      </c>
      <c r="E73" s="196"/>
      <c r="F73" s="326"/>
      <c r="G73" s="261">
        <v>0</v>
      </c>
      <c r="H73" s="38"/>
    </row>
    <row r="74" spans="2:8" ht="12.75" customHeight="1">
      <c r="B74" s="233"/>
      <c r="C74" s="262"/>
      <c r="D74" s="162" t="s">
        <v>116</v>
      </c>
      <c r="E74" s="196"/>
      <c r="F74" s="326"/>
      <c r="G74" s="261">
        <v>0</v>
      </c>
      <c r="H74" s="38"/>
    </row>
    <row r="75" spans="2:8" ht="12.75" customHeight="1">
      <c r="B75" s="236"/>
      <c r="C75" s="262"/>
      <c r="D75" s="162" t="s">
        <v>24</v>
      </c>
      <c r="E75" s="196"/>
      <c r="F75" s="326"/>
      <c r="G75" s="261">
        <f>G76-G77</f>
        <v>0</v>
      </c>
      <c r="H75" s="65"/>
    </row>
    <row r="76" spans="2:8" ht="12.75" customHeight="1">
      <c r="B76" s="236"/>
      <c r="C76" s="262"/>
      <c r="D76" s="162" t="s">
        <v>117</v>
      </c>
      <c r="E76" s="196"/>
      <c r="F76" s="326"/>
      <c r="G76" s="261">
        <v>0</v>
      </c>
      <c r="H76" s="38"/>
    </row>
    <row r="77" spans="2:8" ht="12.75" customHeight="1">
      <c r="B77" s="236"/>
      <c r="C77" s="262"/>
      <c r="D77" s="162" t="s">
        <v>118</v>
      </c>
      <c r="E77" s="196"/>
      <c r="F77" s="326"/>
      <c r="G77" s="261">
        <v>0</v>
      </c>
      <c r="H77" s="38"/>
    </row>
    <row r="78" spans="2:8" ht="12.75" customHeight="1">
      <c r="B78" s="236"/>
      <c r="C78" s="162"/>
      <c r="D78" s="162" t="s">
        <v>80</v>
      </c>
      <c r="E78" s="196"/>
      <c r="F78" s="326"/>
      <c r="G78" s="261">
        <f>F27</f>
        <v>3002</v>
      </c>
      <c r="H78" s="65"/>
    </row>
    <row r="79" spans="2:8" ht="12.75" customHeight="1">
      <c r="B79" s="236"/>
      <c r="C79" s="162"/>
      <c r="D79" s="162"/>
      <c r="E79" s="196"/>
      <c r="F79" s="326"/>
      <c r="G79" s="258"/>
      <c r="H79" s="78"/>
    </row>
    <row r="80" spans="2:8" ht="12.75" customHeight="1">
      <c r="B80" s="257">
        <v>20</v>
      </c>
      <c r="C80" s="430" t="s">
        <v>130</v>
      </c>
      <c r="D80" s="430"/>
      <c r="E80" s="196"/>
      <c r="F80" s="326"/>
      <c r="G80" s="284">
        <f>G81+G82+G85+G86+G87</f>
        <v>-8067</v>
      </c>
      <c r="H80" s="110"/>
    </row>
    <row r="81" spans="2:8" ht="12.75" customHeight="1">
      <c r="B81" s="236"/>
      <c r="C81" s="162"/>
      <c r="D81" s="162" t="s">
        <v>81</v>
      </c>
      <c r="E81" s="286"/>
      <c r="F81" s="340"/>
      <c r="G81" s="261">
        <f>F28</f>
        <v>-8067</v>
      </c>
      <c r="H81" s="38"/>
    </row>
    <row r="82" spans="2:8" ht="12.75" customHeight="1">
      <c r="B82" s="236"/>
      <c r="C82" s="162"/>
      <c r="D82" s="162" t="s">
        <v>82</v>
      </c>
      <c r="E82" s="196"/>
      <c r="F82" s="326"/>
      <c r="G82" s="261">
        <f>G83+G84</f>
        <v>0</v>
      </c>
      <c r="H82" s="65"/>
    </row>
    <row r="83" spans="2:8" ht="12.75" customHeight="1">
      <c r="B83" s="236"/>
      <c r="C83" s="162"/>
      <c r="D83" s="162" t="s">
        <v>95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96</v>
      </c>
      <c r="E84" s="196"/>
      <c r="F84" s="326"/>
      <c r="G84" s="261">
        <v>0</v>
      </c>
      <c r="H84" s="38"/>
    </row>
    <row r="85" spans="2:8" ht="12.75" customHeight="1">
      <c r="B85" s="236"/>
      <c r="C85" s="162"/>
      <c r="D85" s="162" t="s">
        <v>83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84</v>
      </c>
      <c r="E86" s="196"/>
      <c r="F86" s="326"/>
      <c r="G86" s="261">
        <v>0</v>
      </c>
      <c r="H86" s="65"/>
    </row>
    <row r="87" spans="2:8" ht="12.75" customHeight="1">
      <c r="B87" s="236"/>
      <c r="C87" s="162"/>
      <c r="D87" s="162" t="s">
        <v>166</v>
      </c>
      <c r="E87" s="196"/>
      <c r="F87" s="326"/>
      <c r="G87" s="261">
        <v>0</v>
      </c>
      <c r="H87" s="38"/>
    </row>
    <row r="88" spans="2:8" ht="12.75" customHeight="1">
      <c r="B88" s="236"/>
      <c r="C88" s="162"/>
      <c r="D88" s="162"/>
      <c r="E88" s="196"/>
      <c r="F88" s="326"/>
      <c r="G88" s="261"/>
      <c r="H88" s="38"/>
    </row>
    <row r="89" spans="2:8" ht="12.75" customHeight="1">
      <c r="B89" s="257">
        <v>21</v>
      </c>
      <c r="C89" s="430" t="s">
        <v>134</v>
      </c>
      <c r="D89" s="430"/>
      <c r="E89" s="196"/>
      <c r="F89" s="326"/>
      <c r="G89" s="284">
        <f>G90+G91</f>
        <v>11324</v>
      </c>
      <c r="H89" s="110"/>
    </row>
    <row r="90" spans="2:8" ht="12.75" customHeight="1">
      <c r="B90" s="236"/>
      <c r="C90" s="162"/>
      <c r="D90" s="162" t="s">
        <v>159</v>
      </c>
      <c r="E90" s="196"/>
      <c r="F90" s="326"/>
      <c r="G90" s="261">
        <f>-G65</f>
        <v>11338</v>
      </c>
      <c r="H90" s="38"/>
    </row>
    <row r="91" spans="2:8" ht="12.75" customHeight="1">
      <c r="B91" s="236"/>
      <c r="C91" s="162"/>
      <c r="D91" s="162" t="s">
        <v>160</v>
      </c>
      <c r="E91" s="196"/>
      <c r="F91" s="326"/>
      <c r="G91" s="261">
        <f>G93-(G68+G70+G80)-G90</f>
        <v>-14</v>
      </c>
      <c r="H91" s="38"/>
    </row>
    <row r="92" spans="2:8" ht="12.75" customHeight="1">
      <c r="B92" s="236"/>
      <c r="C92" s="162"/>
      <c r="D92" s="162"/>
      <c r="E92" s="196"/>
      <c r="F92" s="326"/>
      <c r="G92" s="261"/>
      <c r="H92" s="38"/>
    </row>
    <row r="93" spans="2:8" ht="12.75" customHeight="1">
      <c r="B93" s="244">
        <v>22</v>
      </c>
      <c r="C93" s="275" t="s">
        <v>176</v>
      </c>
      <c r="D93" s="275"/>
      <c r="E93" s="277"/>
      <c r="F93" s="341"/>
      <c r="G93" s="279">
        <v>249</v>
      </c>
      <c r="H93" s="78"/>
    </row>
    <row r="94" spans="5:8" ht="12.75" customHeight="1">
      <c r="E94" s="1"/>
      <c r="F94" s="1"/>
      <c r="G94" s="1"/>
      <c r="H94" s="1"/>
    </row>
    <row r="95" spans="5:8" ht="12.75" customHeight="1">
      <c r="E95" s="1"/>
      <c r="F95" s="1"/>
      <c r="G95" s="1"/>
      <c r="H95" s="1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8"/>
      <c r="H97" s="18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7:8" ht="12.75" customHeight="1">
      <c r="G121" s="40"/>
      <c r="H121" s="40"/>
    </row>
    <row r="122" spans="7:8" ht="12.75" customHeight="1">
      <c r="G122" s="40"/>
      <c r="H122" s="40"/>
    </row>
    <row r="123" spans="7:8" ht="12.75" customHeight="1">
      <c r="G123" s="40"/>
      <c r="H123" s="40"/>
    </row>
    <row r="124" spans="7:8" ht="12.75" customHeight="1">
      <c r="G124" s="40"/>
      <c r="H124" s="40"/>
    </row>
    <row r="125" spans="7:8" ht="12.75" customHeight="1">
      <c r="G125" s="40"/>
      <c r="H125" s="40"/>
    </row>
    <row r="126" spans="7:8" ht="12.75" customHeight="1">
      <c r="G126" s="40"/>
      <c r="H126" s="40"/>
    </row>
    <row r="127" spans="7:8" ht="12.75" customHeight="1">
      <c r="G127" s="40"/>
      <c r="H127" s="40"/>
    </row>
    <row r="128" spans="7:8" ht="12.75" customHeight="1">
      <c r="G128" s="40"/>
      <c r="H128" s="40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 customHeight="1">
      <c r="G136" s="40"/>
      <c r="H136" s="40"/>
    </row>
    <row r="137" spans="7:8" ht="12.75" customHeight="1">
      <c r="G137" s="40"/>
      <c r="H137" s="40"/>
    </row>
    <row r="138" spans="7:8" ht="12.75">
      <c r="G138" s="40"/>
      <c r="H138" s="40"/>
    </row>
    <row r="139" spans="7:8" ht="12.75">
      <c r="G139" s="40"/>
      <c r="H139" s="40"/>
    </row>
  </sheetData>
  <mergeCells count="21">
    <mergeCell ref="C33:D33"/>
    <mergeCell ref="C30:D30"/>
    <mergeCell ref="C3:D3"/>
    <mergeCell ref="C4:D4"/>
    <mergeCell ref="C14:D14"/>
    <mergeCell ref="C24:D24"/>
    <mergeCell ref="C26:D26"/>
    <mergeCell ref="C39:D39"/>
    <mergeCell ref="C34:D34"/>
    <mergeCell ref="C35:D35"/>
    <mergeCell ref="C62:D62"/>
    <mergeCell ref="C67:D67"/>
    <mergeCell ref="C37:D37"/>
    <mergeCell ref="C89:D89"/>
    <mergeCell ref="C44:D44"/>
    <mergeCell ref="C50:D50"/>
    <mergeCell ref="C54:D54"/>
    <mergeCell ref="C80:D80"/>
    <mergeCell ref="C68:D68"/>
    <mergeCell ref="C58:D58"/>
    <mergeCell ref="C60:D60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2" min="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7"/>
  <sheetViews>
    <sheetView showGridLines="0" view="pageBreakPreview" zoomScale="80" zoomScaleSheetLayoutView="80" workbookViewId="0" topLeftCell="A1">
      <selection activeCell="B36" sqref="B36:G36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1.00390625" style="40" customWidth="1"/>
    <col min="7" max="8" width="10.57421875" style="42" customWidth="1"/>
    <col min="9" max="16384" width="9.140625" style="1" customWidth="1"/>
  </cols>
  <sheetData>
    <row r="1" spans="2:8" s="31" customFormat="1" ht="15">
      <c r="B1" s="289"/>
      <c r="C1" s="290" t="s">
        <v>61</v>
      </c>
      <c r="D1" s="289"/>
      <c r="E1" s="312"/>
      <c r="F1" s="29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417"/>
      <c r="C3" s="441" t="s">
        <v>136</v>
      </c>
      <c r="D3" s="441"/>
      <c r="E3" s="418" t="s">
        <v>204</v>
      </c>
      <c r="F3" s="418" t="s">
        <v>205</v>
      </c>
      <c r="G3" s="419" t="s">
        <v>206</v>
      </c>
      <c r="H3" s="107"/>
    </row>
    <row r="4" spans="2:8" ht="12.75" customHeight="1">
      <c r="B4" s="233">
        <v>1</v>
      </c>
      <c r="C4" s="429" t="s">
        <v>119</v>
      </c>
      <c r="D4" s="429"/>
      <c r="E4" s="234">
        <f>E5+E11</f>
        <v>16089</v>
      </c>
      <c r="F4" s="234">
        <f>F5+F11</f>
        <v>15397</v>
      </c>
      <c r="G4" s="235">
        <f aca="true" t="shared" si="0" ref="G4:G11">F4-E4</f>
        <v>-692</v>
      </c>
      <c r="H4" s="78"/>
    </row>
    <row r="5" spans="2:8" ht="12.75" customHeight="1">
      <c r="B5" s="236"/>
      <c r="C5" s="406" t="s">
        <v>0</v>
      </c>
      <c r="D5" s="406" t="s">
        <v>30</v>
      </c>
      <c r="E5" s="238">
        <f>E6+E7+E8+E9+E10</f>
        <v>1104</v>
      </c>
      <c r="F5" s="238">
        <f>F6+F7+F8+F9+F10</f>
        <v>1006</v>
      </c>
      <c r="G5" s="239">
        <f t="shared" si="0"/>
        <v>-98</v>
      </c>
      <c r="H5" s="38"/>
    </row>
    <row r="6" spans="2:8" ht="12.75" customHeight="1">
      <c r="B6" s="236"/>
      <c r="C6" s="406"/>
      <c r="D6" s="405" t="s">
        <v>44</v>
      </c>
      <c r="E6" s="238">
        <v>0</v>
      </c>
      <c r="F6" s="238">
        <v>0</v>
      </c>
      <c r="G6" s="239">
        <f t="shared" si="0"/>
        <v>0</v>
      </c>
      <c r="H6" s="38"/>
    </row>
    <row r="7" spans="2:8" ht="12.75" customHeight="1">
      <c r="B7" s="236"/>
      <c r="C7" s="406"/>
      <c r="D7" s="405" t="s">
        <v>40</v>
      </c>
      <c r="E7" s="238">
        <v>1076</v>
      </c>
      <c r="F7" s="238">
        <v>929</v>
      </c>
      <c r="G7" s="239">
        <f t="shared" si="0"/>
        <v>-147</v>
      </c>
      <c r="H7" s="38"/>
    </row>
    <row r="8" spans="2:8" ht="12.75" customHeight="1">
      <c r="B8" s="236"/>
      <c r="C8" s="406"/>
      <c r="D8" s="405" t="s">
        <v>41</v>
      </c>
      <c r="E8" s="238">
        <v>0</v>
      </c>
      <c r="F8" s="238">
        <v>0</v>
      </c>
      <c r="G8" s="239">
        <f t="shared" si="0"/>
        <v>0</v>
      </c>
      <c r="H8" s="38"/>
    </row>
    <row r="9" spans="2:8" ht="12.75" customHeight="1">
      <c r="B9" s="236"/>
      <c r="C9" s="406"/>
      <c r="D9" s="405" t="s">
        <v>42</v>
      </c>
      <c r="E9" s="238">
        <v>28</v>
      </c>
      <c r="F9" s="238">
        <v>10</v>
      </c>
      <c r="G9" s="239">
        <f t="shared" si="0"/>
        <v>-18</v>
      </c>
      <c r="H9" s="38"/>
    </row>
    <row r="10" spans="2:8" ht="12.75" customHeight="1">
      <c r="B10" s="236"/>
      <c r="C10" s="406"/>
      <c r="D10" s="405" t="s">
        <v>43</v>
      </c>
      <c r="E10" s="238">
        <v>0</v>
      </c>
      <c r="F10" s="238">
        <v>67</v>
      </c>
      <c r="G10" s="239">
        <f t="shared" si="0"/>
        <v>67</v>
      </c>
      <c r="H10" s="38"/>
    </row>
    <row r="11" spans="2:8" ht="12.75" customHeight="1">
      <c r="B11" s="236"/>
      <c r="C11" s="406"/>
      <c r="D11" s="406" t="s">
        <v>31</v>
      </c>
      <c r="E11" s="238">
        <v>14985</v>
      </c>
      <c r="F11" s="238">
        <v>14391</v>
      </c>
      <c r="G11" s="239">
        <f t="shared" si="0"/>
        <v>-594</v>
      </c>
      <c r="H11" s="38"/>
    </row>
    <row r="12" spans="2:8" ht="12.75" customHeight="1">
      <c r="B12" s="236"/>
      <c r="C12" s="406"/>
      <c r="D12" s="406"/>
      <c r="E12" s="238"/>
      <c r="F12" s="238"/>
      <c r="G12" s="239"/>
      <c r="H12" s="38"/>
    </row>
    <row r="13" spans="2:8" ht="12.75" customHeight="1">
      <c r="B13" s="236"/>
      <c r="C13" s="406"/>
      <c r="D13" s="406"/>
      <c r="E13" s="238"/>
      <c r="F13" s="238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16764</v>
      </c>
      <c r="F14" s="243">
        <f>F15+F20</f>
        <v>16189</v>
      </c>
      <c r="G14" s="235">
        <f aca="true" t="shared" si="1" ref="G14:G22">F14-E14</f>
        <v>-575</v>
      </c>
      <c r="H14" s="78"/>
    </row>
    <row r="15" spans="2:8" ht="12.75" customHeight="1">
      <c r="B15" s="236"/>
      <c r="C15" s="406" t="s">
        <v>0</v>
      </c>
      <c r="D15" s="406" t="s">
        <v>32</v>
      </c>
      <c r="E15" s="37">
        <f>E16+E17+E18+E19</f>
        <v>15412</v>
      </c>
      <c r="F15" s="238">
        <f>F16+F17+F18+F19</f>
        <v>14712</v>
      </c>
      <c r="G15" s="239">
        <f t="shared" si="1"/>
        <v>-700</v>
      </c>
      <c r="H15" s="38"/>
    </row>
    <row r="16" spans="2:8" ht="12.75" customHeight="1">
      <c r="B16" s="236"/>
      <c r="C16" s="406"/>
      <c r="D16" s="405" t="s">
        <v>34</v>
      </c>
      <c r="E16" s="37">
        <f>6862+2382</f>
        <v>9244</v>
      </c>
      <c r="F16" s="238">
        <f>6859+2336</f>
        <v>9195</v>
      </c>
      <c r="G16" s="239">
        <f t="shared" si="1"/>
        <v>-49</v>
      </c>
      <c r="H16" s="38"/>
    </row>
    <row r="17" spans="2:8" ht="12.75" customHeight="1">
      <c r="B17" s="236"/>
      <c r="C17" s="406"/>
      <c r="D17" s="405" t="s">
        <v>35</v>
      </c>
      <c r="E17" s="37">
        <v>6061</v>
      </c>
      <c r="F17" s="238">
        <v>5412</v>
      </c>
      <c r="G17" s="239">
        <f t="shared" si="1"/>
        <v>-649</v>
      </c>
      <c r="H17" s="38"/>
    </row>
    <row r="18" spans="2:8" ht="12.75" customHeight="1">
      <c r="B18" s="236"/>
      <c r="C18" s="406"/>
      <c r="D18" s="405" t="s">
        <v>36</v>
      </c>
      <c r="E18" s="37">
        <v>107</v>
      </c>
      <c r="F18" s="238">
        <v>105</v>
      </c>
      <c r="G18" s="239">
        <f t="shared" si="1"/>
        <v>-2</v>
      </c>
      <c r="H18" s="38"/>
    </row>
    <row r="19" spans="2:8" ht="12.75" customHeight="1">
      <c r="B19" s="236"/>
      <c r="C19" s="406"/>
      <c r="D19" s="405" t="s">
        <v>37</v>
      </c>
      <c r="E19" s="37">
        <v>0</v>
      </c>
      <c r="F19" s="238">
        <v>0</v>
      </c>
      <c r="G19" s="239">
        <f t="shared" si="1"/>
        <v>0</v>
      </c>
      <c r="H19" s="38"/>
    </row>
    <row r="20" spans="2:8" ht="12.75" customHeight="1">
      <c r="B20" s="236"/>
      <c r="C20" s="406"/>
      <c r="D20" s="406" t="s">
        <v>33</v>
      </c>
      <c r="E20" s="37">
        <f>E21+E22</f>
        <v>1352</v>
      </c>
      <c r="F20" s="238">
        <f>F21+F22</f>
        <v>1477</v>
      </c>
      <c r="G20" s="239">
        <f t="shared" si="1"/>
        <v>125</v>
      </c>
      <c r="H20" s="38"/>
    </row>
    <row r="21" spans="2:8" ht="12.75" customHeight="1">
      <c r="B21" s="236"/>
      <c r="C21" s="406"/>
      <c r="D21" s="405" t="s">
        <v>38</v>
      </c>
      <c r="E21" s="37">
        <v>1352</v>
      </c>
      <c r="F21" s="238">
        <v>1477</v>
      </c>
      <c r="G21" s="239">
        <f t="shared" si="1"/>
        <v>125</v>
      </c>
      <c r="H21" s="38"/>
    </row>
    <row r="22" spans="2:8" ht="12.75" customHeight="1">
      <c r="B22" s="236"/>
      <c r="C22" s="406"/>
      <c r="D22" s="405" t="s">
        <v>39</v>
      </c>
      <c r="E22" s="238">
        <v>0</v>
      </c>
      <c r="F22" s="238">
        <v>0</v>
      </c>
      <c r="G22" s="239">
        <f t="shared" si="1"/>
        <v>0</v>
      </c>
      <c r="H22" s="38"/>
    </row>
    <row r="23" spans="2:8" ht="12.75" customHeight="1">
      <c r="B23" s="236"/>
      <c r="C23" s="406"/>
      <c r="D23" s="406"/>
      <c r="E23" s="258"/>
      <c r="F23" s="258"/>
      <c r="G23" s="239"/>
      <c r="H23" s="38"/>
    </row>
    <row r="24" spans="2:8" ht="12.75" customHeight="1">
      <c r="B24" s="244">
        <v>3</v>
      </c>
      <c r="C24" s="434" t="s">
        <v>121</v>
      </c>
      <c r="D24" s="435"/>
      <c r="E24" s="245">
        <f>E4-E14</f>
        <v>-675</v>
      </c>
      <c r="F24" s="245">
        <f>F4-F14</f>
        <v>-792</v>
      </c>
      <c r="G24" s="246">
        <f>F24-E24</f>
        <v>-117</v>
      </c>
      <c r="H24" s="78"/>
    </row>
    <row r="25" spans="2:8" ht="12.75" customHeight="1">
      <c r="B25" s="236"/>
      <c r="C25" s="403"/>
      <c r="D25" s="403"/>
      <c r="E25" s="238"/>
      <c r="F25" s="238"/>
      <c r="G25" s="235"/>
      <c r="H25" s="78"/>
    </row>
    <row r="26" spans="2:8" ht="12.75" customHeight="1">
      <c r="B26" s="233">
        <v>4</v>
      </c>
      <c r="C26" s="430" t="s">
        <v>167</v>
      </c>
      <c r="D26" s="430"/>
      <c r="E26" s="243">
        <f>E27+E28</f>
        <v>0</v>
      </c>
      <c r="F26" s="243">
        <f>F27+F28</f>
        <v>1103</v>
      </c>
      <c r="G26" s="235">
        <f>F26-E26</f>
        <v>1103</v>
      </c>
      <c r="H26" s="78"/>
    </row>
    <row r="27" spans="2:8" ht="12.75" customHeight="1">
      <c r="B27" s="236"/>
      <c r="C27" s="406"/>
      <c r="D27" s="406" t="s">
        <v>3</v>
      </c>
      <c r="E27" s="238">
        <v>0</v>
      </c>
      <c r="F27" s="238">
        <v>-6</v>
      </c>
      <c r="G27" s="239">
        <f aca="true" t="shared" si="2" ref="G27:G28">F27-E27</f>
        <v>-6</v>
      </c>
      <c r="H27" s="78"/>
    </row>
    <row r="28" spans="2:8" ht="12.75" customHeight="1">
      <c r="B28" s="236"/>
      <c r="C28" s="406"/>
      <c r="D28" s="406" t="s">
        <v>4</v>
      </c>
      <c r="E28" s="238">
        <v>0</v>
      </c>
      <c r="F28" s="238">
        <v>1109</v>
      </c>
      <c r="G28" s="239">
        <f t="shared" si="2"/>
        <v>1109</v>
      </c>
      <c r="H28" s="78"/>
    </row>
    <row r="29" spans="2:8" ht="12.75" customHeight="1">
      <c r="B29" s="236"/>
      <c r="C29" s="406"/>
      <c r="D29" s="406"/>
      <c r="E29" s="238"/>
      <c r="F29" s="238"/>
      <c r="G29" s="235"/>
      <c r="H29" s="78"/>
    </row>
    <row r="30" spans="2:8" ht="12.75" customHeight="1">
      <c r="B30" s="233">
        <v>5</v>
      </c>
      <c r="C30" s="433" t="s">
        <v>280</v>
      </c>
      <c r="D30" s="433"/>
      <c r="E30" s="243">
        <v>0</v>
      </c>
      <c r="F30" s="243">
        <v>0</v>
      </c>
      <c r="G30" s="239">
        <f aca="true" t="shared" si="3" ref="G30">F30-E30</f>
        <v>0</v>
      </c>
      <c r="H30" s="78"/>
    </row>
    <row r="31" spans="2:8" ht="12.75" customHeight="1">
      <c r="B31" s="236"/>
      <c r="C31" s="406"/>
      <c r="D31" s="406"/>
      <c r="E31" s="238"/>
      <c r="F31" s="238"/>
      <c r="G31" s="235"/>
      <c r="H31" s="78"/>
    </row>
    <row r="32" spans="2:12" ht="12.75" customHeight="1">
      <c r="B32" s="244">
        <v>6</v>
      </c>
      <c r="C32" s="434" t="s">
        <v>123</v>
      </c>
      <c r="D32" s="435"/>
      <c r="E32" s="245">
        <f>E24+E26</f>
        <v>-675</v>
      </c>
      <c r="F32" s="245">
        <f>F24+F26</f>
        <v>311</v>
      </c>
      <c r="G32" s="246">
        <f>F32-E32</f>
        <v>986</v>
      </c>
      <c r="H32" s="78"/>
      <c r="J32" s="73"/>
      <c r="K32" s="68"/>
      <c r="L32" s="3"/>
    </row>
    <row r="33" spans="2:10" ht="12.75" customHeight="1">
      <c r="B33" s="236"/>
      <c r="C33" s="433" t="s">
        <v>5</v>
      </c>
      <c r="D33" s="433"/>
      <c r="E33" s="238">
        <f>E4+E27</f>
        <v>16089</v>
      </c>
      <c r="F33" s="238">
        <f>F4+F27</f>
        <v>15391</v>
      </c>
      <c r="G33" s="239">
        <f aca="true" t="shared" si="4" ref="G33:G34">F33-E33</f>
        <v>-698</v>
      </c>
      <c r="H33" s="78"/>
      <c r="J33" s="2"/>
    </row>
    <row r="34" spans="2:8" ht="12.75" customHeight="1">
      <c r="B34" s="251"/>
      <c r="C34" s="436" t="s">
        <v>6</v>
      </c>
      <c r="D34" s="436"/>
      <c r="E34" s="252">
        <f>E14-E28</f>
        <v>16764</v>
      </c>
      <c r="F34" s="252">
        <f>F14-F28</f>
        <v>15080</v>
      </c>
      <c r="G34" s="239">
        <f t="shared" si="4"/>
        <v>-1684</v>
      </c>
      <c r="H34" s="47"/>
    </row>
    <row r="35" spans="1:9" ht="12.75" customHeight="1" thickBot="1">
      <c r="A35" s="3"/>
      <c r="B35" s="332"/>
      <c r="C35" s="332"/>
      <c r="D35" s="332"/>
      <c r="E35" s="371"/>
      <c r="F35" s="371"/>
      <c r="G35" s="335"/>
      <c r="H35" s="47"/>
      <c r="I35" s="3"/>
    </row>
    <row r="36" spans="2:8" ht="26.25" thickTop="1">
      <c r="B36" s="420"/>
      <c r="C36" s="440" t="s">
        <v>155</v>
      </c>
      <c r="D36" s="440"/>
      <c r="E36" s="415"/>
      <c r="F36" s="415"/>
      <c r="G36" s="416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-754</v>
      </c>
      <c r="H37" s="110"/>
    </row>
    <row r="38" spans="2:8" s="7" customFormat="1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  <c r="H38" s="111"/>
    </row>
    <row r="39" spans="2:8" ht="24.75" customHeight="1">
      <c r="B39" s="236"/>
      <c r="C39" s="404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404"/>
      <c r="D40" s="162" t="s">
        <v>102</v>
      </c>
      <c r="E40" s="196"/>
      <c r="F40" s="321"/>
      <c r="G40" s="261">
        <v>0</v>
      </c>
      <c r="H40" s="38"/>
    </row>
    <row r="41" spans="2:8" ht="26.25" customHeight="1">
      <c r="B41" s="236"/>
      <c r="C41" s="404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59"/>
      <c r="C51" s="162"/>
      <c r="D51" s="162" t="s">
        <v>109</v>
      </c>
      <c r="E51" s="196"/>
      <c r="F51" s="321"/>
      <c r="G51" s="261">
        <v>0</v>
      </c>
      <c r="H51" s="38"/>
    </row>
    <row r="52" spans="2:8" ht="12.75" customHeight="1">
      <c r="B52" s="259"/>
      <c r="C52" s="162"/>
      <c r="D52" s="162"/>
      <c r="E52" s="196"/>
      <c r="F52" s="321"/>
      <c r="G52" s="261"/>
      <c r="H52" s="38"/>
    </row>
    <row r="53" spans="2:8" ht="12.75" customHeight="1">
      <c r="B53" s="280">
        <v>12</v>
      </c>
      <c r="C53" s="456" t="s">
        <v>140</v>
      </c>
      <c r="D53" s="456"/>
      <c r="E53" s="265"/>
      <c r="F53" s="322"/>
      <c r="G53" s="338">
        <f>G54+G55</f>
        <v>0</v>
      </c>
      <c r="H53" s="111"/>
    </row>
    <row r="54" spans="2:8" ht="27" customHeight="1">
      <c r="B54" s="267"/>
      <c r="C54" s="268"/>
      <c r="D54" s="352" t="s">
        <v>110</v>
      </c>
      <c r="E54" s="353"/>
      <c r="F54" s="354"/>
      <c r="G54" s="270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0</v>
      </c>
      <c r="H55" s="38"/>
    </row>
    <row r="56" spans="2:8" ht="12.75" customHeight="1">
      <c r="B56" s="236"/>
      <c r="C56" s="404"/>
      <c r="D56" s="162"/>
      <c r="E56" s="196"/>
      <c r="F56" s="321"/>
      <c r="G56" s="261"/>
      <c r="H56" s="38"/>
    </row>
    <row r="57" spans="2:8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1103</v>
      </c>
      <c r="H57" s="110"/>
    </row>
    <row r="58" spans="2:8" ht="12.75" customHeight="1">
      <c r="B58" s="236"/>
      <c r="C58" s="404"/>
      <c r="D58" s="404"/>
      <c r="E58" s="196"/>
      <c r="F58" s="321"/>
      <c r="G58" s="261"/>
      <c r="H58" s="38"/>
    </row>
    <row r="59" spans="2:8" ht="12.75" customHeight="1">
      <c r="B59" s="257">
        <v>14</v>
      </c>
      <c r="C59" s="433" t="s">
        <v>281</v>
      </c>
      <c r="D59" s="433"/>
      <c r="E59" s="196"/>
      <c r="F59" s="321"/>
      <c r="G59" s="284">
        <f>F30</f>
        <v>0</v>
      </c>
      <c r="H59" s="110"/>
    </row>
    <row r="60" spans="2:8" ht="12.75" customHeight="1">
      <c r="B60" s="236"/>
      <c r="C60" s="404"/>
      <c r="D60" s="162"/>
      <c r="E60" s="196"/>
      <c r="F60" s="321"/>
      <c r="G60" s="261"/>
      <c r="H60" s="38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-754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38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279">
        <f>G37-G48+G57+G59</f>
        <v>349</v>
      </c>
      <c r="H63" s="78"/>
    </row>
    <row r="64" spans="2:8" s="7" customFormat="1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38</v>
      </c>
      <c r="H64" s="111"/>
    </row>
    <row r="65" spans="2:8" ht="12.75" customHeight="1" thickBot="1">
      <c r="B65" s="332"/>
      <c r="C65" s="332"/>
      <c r="D65" s="332"/>
      <c r="E65" s="334"/>
      <c r="F65" s="334"/>
      <c r="G65" s="335"/>
      <c r="H65" s="47"/>
    </row>
    <row r="66" spans="2:9" ht="26.25" customHeight="1" thickTop="1">
      <c r="B66" s="420"/>
      <c r="C66" s="440" t="s">
        <v>149</v>
      </c>
      <c r="D66" s="440"/>
      <c r="E66" s="415"/>
      <c r="F66" s="415"/>
      <c r="G66" s="416" t="s">
        <v>205</v>
      </c>
      <c r="H66" s="109"/>
      <c r="I66" s="40"/>
    </row>
    <row r="67" spans="2:8" ht="12.75" customHeight="1">
      <c r="B67" s="233">
        <v>18</v>
      </c>
      <c r="C67" s="429" t="s">
        <v>135</v>
      </c>
      <c r="D67" s="429"/>
      <c r="E67" s="196"/>
      <c r="F67" s="196"/>
      <c r="G67" s="258">
        <f>F32*(-1)</f>
        <v>-311</v>
      </c>
      <c r="H67" s="78"/>
    </row>
    <row r="68" spans="2:8" ht="12.75" customHeight="1">
      <c r="B68" s="236"/>
      <c r="C68" s="404"/>
      <c r="D68" s="404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-760</v>
      </c>
      <c r="H69" s="110"/>
    </row>
    <row r="70" spans="2:8" ht="12.75" customHeight="1">
      <c r="B70" s="236"/>
      <c r="C70" s="405"/>
      <c r="D70" s="162" t="s">
        <v>68</v>
      </c>
      <c r="E70" s="196"/>
      <c r="F70" s="326"/>
      <c r="G70" s="261">
        <f>G61</f>
        <v>-754</v>
      </c>
      <c r="H70" s="65"/>
    </row>
    <row r="71" spans="2:8" ht="12.75" customHeight="1">
      <c r="B71" s="236"/>
      <c r="C71" s="404"/>
      <c r="D71" s="162" t="s">
        <v>23</v>
      </c>
      <c r="E71" s="196"/>
      <c r="F71" s="326"/>
      <c r="G71" s="261">
        <f>G72-G73</f>
        <v>0</v>
      </c>
      <c r="H71" s="65"/>
    </row>
    <row r="72" spans="2:8" ht="12.75" customHeight="1">
      <c r="B72" s="236"/>
      <c r="C72" s="404"/>
      <c r="D72" s="162" t="s">
        <v>78</v>
      </c>
      <c r="E72" s="196"/>
      <c r="F72" s="326"/>
      <c r="G72" s="261">
        <v>0</v>
      </c>
      <c r="H72" s="38"/>
    </row>
    <row r="73" spans="2:8" ht="12.75" customHeight="1">
      <c r="B73" s="233"/>
      <c r="C73" s="404"/>
      <c r="D73" s="162" t="s">
        <v>116</v>
      </c>
      <c r="E73" s="196"/>
      <c r="F73" s="326"/>
      <c r="G73" s="261">
        <v>0</v>
      </c>
      <c r="H73" s="38"/>
    </row>
    <row r="74" spans="2:8" ht="12.75" customHeight="1">
      <c r="B74" s="236"/>
      <c r="C74" s="404"/>
      <c r="D74" s="162" t="s">
        <v>24</v>
      </c>
      <c r="E74" s="196"/>
      <c r="F74" s="326"/>
      <c r="G74" s="261">
        <f>G75-G76</f>
        <v>0</v>
      </c>
      <c r="H74" s="65"/>
    </row>
    <row r="75" spans="2:8" ht="12.75" customHeight="1">
      <c r="B75" s="236"/>
      <c r="C75" s="404"/>
      <c r="D75" s="162" t="s">
        <v>117</v>
      </c>
      <c r="E75" s="196"/>
      <c r="F75" s="326"/>
      <c r="G75" s="261">
        <v>0</v>
      </c>
      <c r="H75" s="38"/>
    </row>
    <row r="76" spans="2:8" ht="12.75" customHeight="1">
      <c r="B76" s="236"/>
      <c r="C76" s="404"/>
      <c r="D76" s="162" t="s">
        <v>118</v>
      </c>
      <c r="E76" s="196"/>
      <c r="F76" s="326"/>
      <c r="G76" s="261">
        <v>0</v>
      </c>
      <c r="H76" s="38"/>
    </row>
    <row r="77" spans="2:8" ht="12.75" customHeight="1">
      <c r="B77" s="236"/>
      <c r="C77" s="162"/>
      <c r="D77" s="162" t="s">
        <v>80</v>
      </c>
      <c r="E77" s="196"/>
      <c r="F77" s="326"/>
      <c r="G77" s="261">
        <f>F27</f>
        <v>-6</v>
      </c>
      <c r="H77" s="65"/>
    </row>
    <row r="78" spans="2:8" ht="12.75" customHeight="1">
      <c r="B78" s="236"/>
      <c r="C78" s="162"/>
      <c r="D78" s="162"/>
      <c r="E78" s="196"/>
      <c r="F78" s="326"/>
      <c r="G78" s="258"/>
      <c r="H78" s="78"/>
    </row>
    <row r="79" spans="2:8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1109</v>
      </c>
      <c r="H79" s="110"/>
    </row>
    <row r="80" spans="2:8" ht="12.75" customHeight="1">
      <c r="B80" s="236"/>
      <c r="C80" s="162"/>
      <c r="D80" s="162" t="s">
        <v>81</v>
      </c>
      <c r="E80" s="286"/>
      <c r="F80" s="340"/>
      <c r="G80" s="261">
        <f>F28</f>
        <v>1109</v>
      </c>
      <c r="H80" s="38"/>
    </row>
    <row r="81" spans="2:8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  <c r="H81" s="65"/>
    </row>
    <row r="82" spans="2:8" ht="12.75" customHeight="1">
      <c r="B82" s="236"/>
      <c r="C82" s="162"/>
      <c r="D82" s="162" t="s">
        <v>95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83</v>
      </c>
      <c r="E84" s="196"/>
      <c r="F84" s="326"/>
      <c r="G84" s="261">
        <v>0</v>
      </c>
      <c r="H84" s="65"/>
    </row>
    <row r="85" spans="2:8" ht="12.75" customHeight="1">
      <c r="B85" s="236"/>
      <c r="C85" s="162"/>
      <c r="D85" s="162" t="s">
        <v>84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166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26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-38</v>
      </c>
      <c r="H88" s="110"/>
    </row>
    <row r="89" spans="2:8" ht="12.75" customHeight="1">
      <c r="B89" s="236"/>
      <c r="C89" s="162"/>
      <c r="D89" s="162" t="s">
        <v>159</v>
      </c>
      <c r="E89" s="196"/>
      <c r="F89" s="326"/>
      <c r="G89" s="261">
        <f>-G64</f>
        <v>-38</v>
      </c>
      <c r="H89" s="38"/>
    </row>
    <row r="90" spans="2:8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  <c r="H90" s="38"/>
    </row>
    <row r="91" spans="2:8" ht="12.75" customHeight="1">
      <c r="B91" s="236"/>
      <c r="C91" s="162"/>
      <c r="D91" s="162"/>
      <c r="E91" s="196"/>
      <c r="F91" s="326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  <c r="H92" s="78"/>
    </row>
    <row r="93" spans="5:8" ht="12.75" customHeight="1">
      <c r="E93" s="1"/>
      <c r="F93" s="1"/>
      <c r="G93" s="1"/>
      <c r="H93" s="1"/>
    </row>
    <row r="94" spans="5:8" ht="12.75" customHeight="1">
      <c r="E94" s="1"/>
      <c r="F94" s="1"/>
      <c r="G94" s="1"/>
      <c r="H94" s="1"/>
    </row>
    <row r="95" s="7" customFormat="1" ht="12.75" customHeight="1"/>
    <row r="96" spans="5:8" ht="12.75" customHeight="1">
      <c r="E96" s="1"/>
      <c r="F96" s="1"/>
      <c r="G96" s="18"/>
      <c r="H96" s="18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7:8" ht="12.75" customHeight="1">
      <c r="G121" s="40"/>
      <c r="H121" s="40"/>
    </row>
    <row r="122" spans="7:8" ht="12.75" customHeight="1">
      <c r="G122" s="40"/>
      <c r="H122" s="40"/>
    </row>
    <row r="123" spans="7:8" ht="12.75" customHeight="1">
      <c r="G123" s="40"/>
      <c r="H123" s="40"/>
    </row>
    <row r="124" spans="7:8" ht="12.75" customHeight="1">
      <c r="G124" s="40"/>
      <c r="H124" s="40"/>
    </row>
    <row r="125" spans="7:8" ht="12.75" customHeight="1">
      <c r="G125" s="40"/>
      <c r="H125" s="40"/>
    </row>
    <row r="126" spans="7:8" ht="12.75" customHeight="1">
      <c r="G126" s="40"/>
      <c r="H126" s="40"/>
    </row>
    <row r="127" spans="7:8" ht="12.75" customHeight="1">
      <c r="G127" s="40"/>
      <c r="H127" s="40"/>
    </row>
    <row r="128" spans="7:8" ht="12.75" customHeight="1">
      <c r="G128" s="40"/>
      <c r="H128" s="40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>
      <c r="G136" s="40"/>
      <c r="H136" s="40"/>
    </row>
    <row r="137" spans="7:8" ht="12.75">
      <c r="G137" s="40"/>
      <c r="H137" s="40"/>
    </row>
  </sheetData>
  <mergeCells count="21">
    <mergeCell ref="C24:D24"/>
    <mergeCell ref="C49:D49"/>
    <mergeCell ref="C3:D3"/>
    <mergeCell ref="C43:D43"/>
    <mergeCell ref="C4:D4"/>
    <mergeCell ref="C14:D14"/>
    <mergeCell ref="C32:D32"/>
    <mergeCell ref="C26:D26"/>
    <mergeCell ref="C30:D30"/>
    <mergeCell ref="C36:D36"/>
    <mergeCell ref="C33:D33"/>
    <mergeCell ref="C34:D34"/>
    <mergeCell ref="C88:D88"/>
    <mergeCell ref="C59:D59"/>
    <mergeCell ref="C61:D61"/>
    <mergeCell ref="C66:D66"/>
    <mergeCell ref="C38:D38"/>
    <mergeCell ref="C79:D79"/>
    <mergeCell ref="C67:D67"/>
    <mergeCell ref="C57:D57"/>
    <mergeCell ref="C53:D53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1"/>
  <rowBreaks count="1" manualBreakCount="1">
    <brk id="53" min="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H138"/>
  <sheetViews>
    <sheetView showGridLines="0" view="pageBreakPreview" zoomScale="80" zoomScaleSheetLayoutView="80" workbookViewId="0" topLeftCell="A61">
      <selection activeCell="K14" sqref="K14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8515625" style="40" customWidth="1"/>
    <col min="7" max="7" width="10.7109375" style="42" customWidth="1"/>
    <col min="8" max="16384" width="9.140625" style="1" customWidth="1"/>
  </cols>
  <sheetData>
    <row r="1" spans="2:7" s="31" customFormat="1" ht="15">
      <c r="B1" s="289"/>
      <c r="C1" s="290" t="s">
        <v>62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E5+E11</f>
        <v>0</v>
      </c>
      <c r="F4" s="234">
        <f>F5+F11</f>
        <v>1626</v>
      </c>
      <c r="G4" s="235">
        <f aca="true" t="shared" si="0" ref="G4:G11">F4-E4</f>
        <v>1626</v>
      </c>
    </row>
    <row r="5" spans="2:7" ht="12.75" customHeight="1">
      <c r="B5" s="236"/>
      <c r="C5" s="237" t="s">
        <v>0</v>
      </c>
      <c r="D5" s="237" t="s">
        <v>30</v>
      </c>
      <c r="E5" s="238">
        <f>E6+E7+E8+E9+E10</f>
        <v>0</v>
      </c>
      <c r="F5" s="238">
        <f>F6+F7+F8+F9+F10</f>
        <v>26</v>
      </c>
      <c r="G5" s="239">
        <f t="shared" si="0"/>
        <v>26</v>
      </c>
    </row>
    <row r="6" spans="2:7" ht="12.75" customHeight="1">
      <c r="B6" s="236"/>
      <c r="C6" s="237"/>
      <c r="D6" s="240" t="s">
        <v>44</v>
      </c>
      <c r="E6" s="238">
        <v>0</v>
      </c>
      <c r="F6" s="238">
        <v>0</v>
      </c>
      <c r="G6" s="239">
        <f t="shared" si="0"/>
        <v>0</v>
      </c>
    </row>
    <row r="7" spans="2:7" ht="12.75" customHeight="1">
      <c r="B7" s="236"/>
      <c r="C7" s="237"/>
      <c r="D7" s="240" t="s">
        <v>40</v>
      </c>
      <c r="E7" s="238">
        <v>0</v>
      </c>
      <c r="F7" s="238">
        <v>21</v>
      </c>
      <c r="G7" s="239">
        <f t="shared" si="0"/>
        <v>21</v>
      </c>
    </row>
    <row r="8" spans="2:7" ht="12.75" customHeight="1">
      <c r="B8" s="236"/>
      <c r="C8" s="237"/>
      <c r="D8" s="240" t="s">
        <v>41</v>
      </c>
      <c r="E8" s="238">
        <v>0</v>
      </c>
      <c r="F8" s="238">
        <v>0</v>
      </c>
      <c r="G8" s="239">
        <f t="shared" si="0"/>
        <v>0</v>
      </c>
    </row>
    <row r="9" spans="2:7" ht="12.75" customHeight="1">
      <c r="B9" s="236"/>
      <c r="C9" s="237"/>
      <c r="D9" s="240" t="s">
        <v>42</v>
      </c>
      <c r="E9" s="238">
        <v>0</v>
      </c>
      <c r="F9" s="238">
        <v>2</v>
      </c>
      <c r="G9" s="239">
        <f t="shared" si="0"/>
        <v>2</v>
      </c>
    </row>
    <row r="10" spans="2:7" ht="12.75" customHeight="1">
      <c r="B10" s="236"/>
      <c r="C10" s="237"/>
      <c r="D10" s="240" t="s">
        <v>43</v>
      </c>
      <c r="E10" s="238">
        <v>0</v>
      </c>
      <c r="F10" s="238">
        <v>3</v>
      </c>
      <c r="G10" s="239">
        <f t="shared" si="0"/>
        <v>3</v>
      </c>
    </row>
    <row r="11" spans="2:7" ht="12.75" customHeight="1">
      <c r="B11" s="236"/>
      <c r="C11" s="237"/>
      <c r="D11" s="237" t="s">
        <v>31</v>
      </c>
      <c r="E11" s="238">
        <v>0</v>
      </c>
      <c r="F11" s="238">
        <v>1600</v>
      </c>
      <c r="G11" s="239">
        <f t="shared" si="0"/>
        <v>1600</v>
      </c>
    </row>
    <row r="12" spans="2:7" ht="12.75" customHeight="1">
      <c r="B12" s="236"/>
      <c r="C12" s="237"/>
      <c r="D12" s="237"/>
      <c r="E12" s="238"/>
      <c r="F12" s="238"/>
      <c r="G12" s="239"/>
    </row>
    <row r="13" spans="2:7" ht="12.75" customHeight="1">
      <c r="B13" s="236"/>
      <c r="C13" s="237"/>
      <c r="D13" s="237"/>
      <c r="E13" s="238"/>
      <c r="F13" s="238"/>
      <c r="G13" s="242"/>
    </row>
    <row r="14" spans="2:7" ht="12.75" customHeight="1">
      <c r="B14" s="233">
        <v>2</v>
      </c>
      <c r="C14" s="429" t="s">
        <v>120</v>
      </c>
      <c r="D14" s="429"/>
      <c r="E14" s="243">
        <f>E15+E20</f>
        <v>1613</v>
      </c>
      <c r="F14" s="243">
        <f>F15+F20</f>
        <v>1658</v>
      </c>
      <c r="G14" s="235">
        <f aca="true" t="shared" si="1" ref="G14:G22">F14-E14</f>
        <v>45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1581</v>
      </c>
      <c r="F15" s="238">
        <f>F16+F17+F18+F19</f>
        <v>1656</v>
      </c>
      <c r="G15" s="239">
        <f t="shared" si="1"/>
        <v>75</v>
      </c>
    </row>
    <row r="16" spans="2:7" ht="12.75" customHeight="1">
      <c r="B16" s="236"/>
      <c r="C16" s="237"/>
      <c r="D16" s="240" t="s">
        <v>34</v>
      </c>
      <c r="E16" s="238">
        <f>791+305</f>
        <v>1096</v>
      </c>
      <c r="F16" s="238">
        <f>780+291</f>
        <v>1071</v>
      </c>
      <c r="G16" s="239">
        <f t="shared" si="1"/>
        <v>-25</v>
      </c>
    </row>
    <row r="17" spans="2:7" ht="12.75" customHeight="1">
      <c r="B17" s="236"/>
      <c r="C17" s="237"/>
      <c r="D17" s="240" t="s">
        <v>35</v>
      </c>
      <c r="E17" s="238">
        <v>483</v>
      </c>
      <c r="F17" s="238">
        <v>575</v>
      </c>
      <c r="G17" s="239">
        <f t="shared" si="1"/>
        <v>92</v>
      </c>
    </row>
    <row r="18" spans="2:7" ht="12.75" customHeight="1">
      <c r="B18" s="236"/>
      <c r="C18" s="237"/>
      <c r="D18" s="240" t="s">
        <v>36</v>
      </c>
      <c r="E18" s="238">
        <v>2</v>
      </c>
      <c r="F18" s="238">
        <v>10</v>
      </c>
      <c r="G18" s="239">
        <f t="shared" si="1"/>
        <v>8</v>
      </c>
    </row>
    <row r="19" spans="2:7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</row>
    <row r="20" spans="2:7" ht="12.75" customHeight="1">
      <c r="B20" s="236"/>
      <c r="C20" s="237"/>
      <c r="D20" s="237" t="s">
        <v>33</v>
      </c>
      <c r="E20" s="238">
        <f>E21+E22</f>
        <v>32</v>
      </c>
      <c r="F20" s="238">
        <f>F21+F22</f>
        <v>2</v>
      </c>
      <c r="G20" s="239">
        <f t="shared" si="1"/>
        <v>-30</v>
      </c>
    </row>
    <row r="21" spans="2:7" ht="12.75" customHeight="1">
      <c r="B21" s="236"/>
      <c r="C21" s="237"/>
      <c r="D21" s="240" t="s">
        <v>38</v>
      </c>
      <c r="E21" s="238">
        <v>32</v>
      </c>
      <c r="F21" s="238">
        <v>2</v>
      </c>
      <c r="G21" s="239">
        <f t="shared" si="1"/>
        <v>-30</v>
      </c>
    </row>
    <row r="22" spans="2:7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</row>
    <row r="23" spans="2:7" ht="12.75" customHeight="1">
      <c r="B23" s="236"/>
      <c r="C23" s="237"/>
      <c r="D23" s="237"/>
      <c r="E23" s="258"/>
      <c r="F23" s="258"/>
      <c r="G23" s="239"/>
    </row>
    <row r="24" spans="2:7" ht="12.75" customHeight="1">
      <c r="B24" s="244">
        <v>3</v>
      </c>
      <c r="C24" s="434" t="s">
        <v>121</v>
      </c>
      <c r="D24" s="435"/>
      <c r="E24" s="245">
        <f>E4-E14</f>
        <v>-1613</v>
      </c>
      <c r="F24" s="245">
        <f>F4-F14</f>
        <v>-32</v>
      </c>
      <c r="G24" s="246">
        <f>F24-E24</f>
        <v>1581</v>
      </c>
    </row>
    <row r="25" spans="2:7" ht="12.75" customHeight="1">
      <c r="B25" s="236"/>
      <c r="C25" s="247"/>
      <c r="D25" s="247"/>
      <c r="E25" s="238"/>
      <c r="F25" s="238"/>
      <c r="G25" s="235"/>
    </row>
    <row r="26" spans="2:7" ht="12.75" customHeight="1">
      <c r="B26" s="233">
        <v>4</v>
      </c>
      <c r="C26" s="430" t="s">
        <v>167</v>
      </c>
      <c r="D26" s="430"/>
      <c r="E26" s="243">
        <v>0</v>
      </c>
      <c r="F26" s="243">
        <f>F27+F28</f>
        <v>1</v>
      </c>
      <c r="G26" s="235">
        <f>F26-E26</f>
        <v>1</v>
      </c>
    </row>
    <row r="27" spans="2:7" ht="12.75" customHeight="1">
      <c r="B27" s="236"/>
      <c r="C27" s="237"/>
      <c r="D27" s="237" t="s">
        <v>3</v>
      </c>
      <c r="E27" s="238">
        <v>0</v>
      </c>
      <c r="F27" s="238">
        <v>2</v>
      </c>
      <c r="G27" s="239">
        <f aca="true" t="shared" si="2" ref="G27:G28">F27-E27</f>
        <v>2</v>
      </c>
    </row>
    <row r="28" spans="2:7" ht="12.75" customHeight="1">
      <c r="B28" s="236"/>
      <c r="C28" s="237"/>
      <c r="D28" s="237" t="s">
        <v>4</v>
      </c>
      <c r="E28" s="238">
        <v>0</v>
      </c>
      <c r="F28" s="238">
        <v>-1</v>
      </c>
      <c r="G28" s="239">
        <f t="shared" si="2"/>
        <v>-1</v>
      </c>
    </row>
    <row r="29" spans="2:7" ht="12.75" customHeight="1">
      <c r="B29" s="236"/>
      <c r="C29" s="237"/>
      <c r="D29" s="237"/>
      <c r="E29" s="238"/>
      <c r="F29" s="238"/>
      <c r="G29" s="235"/>
    </row>
    <row r="30" spans="2:7" ht="12.75" customHeight="1">
      <c r="B30" s="233">
        <v>5</v>
      </c>
      <c r="C30" s="433" t="s">
        <v>280</v>
      </c>
      <c r="D30" s="433"/>
      <c r="E30" s="243">
        <v>0</v>
      </c>
      <c r="F30" s="243">
        <v>0</v>
      </c>
      <c r="G30" s="235">
        <f aca="true" t="shared" si="3" ref="G30">F30-E30</f>
        <v>0</v>
      </c>
    </row>
    <row r="31" spans="2:7" ht="12.75" customHeight="1">
      <c r="B31" s="236"/>
      <c r="C31" s="237"/>
      <c r="D31" s="237"/>
      <c r="E31" s="238"/>
      <c r="F31" s="258"/>
      <c r="G31" s="235"/>
    </row>
    <row r="32" spans="2:7" ht="12.75" customHeight="1">
      <c r="B32" s="244">
        <v>6</v>
      </c>
      <c r="C32" s="434" t="s">
        <v>123</v>
      </c>
      <c r="D32" s="435"/>
      <c r="E32" s="245">
        <f>E24+E26</f>
        <v>-1613</v>
      </c>
      <c r="F32" s="245">
        <f>F24+F26</f>
        <v>-31</v>
      </c>
      <c r="G32" s="246">
        <f>F32-E32</f>
        <v>1582</v>
      </c>
    </row>
    <row r="33" spans="2:7" ht="12.75" customHeight="1">
      <c r="B33" s="236"/>
      <c r="C33" s="433" t="s">
        <v>5</v>
      </c>
      <c r="D33" s="433"/>
      <c r="E33" s="238">
        <f>E4+E27</f>
        <v>0</v>
      </c>
      <c r="F33" s="238">
        <f>F4+F27</f>
        <v>1628</v>
      </c>
      <c r="G33" s="239">
        <f aca="true" t="shared" si="4" ref="G33:G34">F33-E33</f>
        <v>1628</v>
      </c>
    </row>
    <row r="34" spans="2:7" ht="12.75" customHeight="1">
      <c r="B34" s="251"/>
      <c r="C34" s="436" t="s">
        <v>6</v>
      </c>
      <c r="D34" s="436"/>
      <c r="E34" s="252">
        <f>E14-E28</f>
        <v>1613</v>
      </c>
      <c r="F34" s="252">
        <f>F14-F28</f>
        <v>1659</v>
      </c>
      <c r="G34" s="239">
        <f t="shared" si="4"/>
        <v>46</v>
      </c>
    </row>
    <row r="35" spans="2:8" ht="12.75" customHeight="1" thickBot="1">
      <c r="B35" s="332"/>
      <c r="C35" s="332"/>
      <c r="D35" s="332"/>
      <c r="E35" s="371"/>
      <c r="F35" s="371"/>
      <c r="G35" s="335"/>
      <c r="H35" s="3"/>
    </row>
    <row r="36" spans="2:7" ht="26.25" thickTop="1">
      <c r="B36" s="230"/>
      <c r="C36" s="431" t="s">
        <v>155</v>
      </c>
      <c r="D36" s="431"/>
      <c r="E36" s="319"/>
      <c r="F36" s="319"/>
      <c r="G36" s="320" t="s">
        <v>205</v>
      </c>
    </row>
    <row r="37" spans="2:7" s="7" customFormat="1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-33</v>
      </c>
    </row>
    <row r="38" spans="2:7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</row>
    <row r="39" spans="2:7" ht="24.75" customHeight="1">
      <c r="B39" s="236"/>
      <c r="C39" s="262"/>
      <c r="D39" s="346" t="s">
        <v>101</v>
      </c>
      <c r="E39" s="347"/>
      <c r="F39" s="348"/>
      <c r="G39" s="261">
        <v>0</v>
      </c>
    </row>
    <row r="40" spans="2:7" ht="12.75" customHeight="1">
      <c r="B40" s="236"/>
      <c r="C40" s="262"/>
      <c r="D40" s="162" t="s">
        <v>102</v>
      </c>
      <c r="E40" s="196"/>
      <c r="F40" s="321"/>
      <c r="G40" s="261">
        <v>0</v>
      </c>
    </row>
    <row r="41" spans="2:7" ht="24" customHeight="1">
      <c r="B41" s="236"/>
      <c r="C41" s="262"/>
      <c r="D41" s="346" t="s">
        <v>114</v>
      </c>
      <c r="E41" s="347"/>
      <c r="F41" s="348"/>
      <c r="G41" s="261">
        <v>0</v>
      </c>
    </row>
    <row r="42" spans="2:7" ht="12.75" customHeight="1">
      <c r="B42" s="236"/>
      <c r="C42" s="162"/>
      <c r="D42" s="162"/>
      <c r="E42" s="196"/>
      <c r="F42" s="321"/>
      <c r="G42" s="261"/>
    </row>
    <row r="43" spans="2:7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</row>
    <row r="44" spans="2:7" ht="12.75" customHeight="1">
      <c r="B44" s="236"/>
      <c r="C44" s="162"/>
      <c r="D44" s="162" t="s">
        <v>22</v>
      </c>
      <c r="E44" s="196"/>
      <c r="F44" s="321"/>
      <c r="G44" s="261">
        <v>0</v>
      </c>
    </row>
    <row r="45" spans="2:7" ht="12.75" customHeight="1">
      <c r="B45" s="236"/>
      <c r="C45" s="162"/>
      <c r="D45" s="162" t="s">
        <v>106</v>
      </c>
      <c r="E45" s="196"/>
      <c r="F45" s="321"/>
      <c r="G45" s="261">
        <v>0</v>
      </c>
    </row>
    <row r="46" spans="2:7" ht="12.75" customHeight="1">
      <c r="B46" s="236"/>
      <c r="C46" s="162"/>
      <c r="D46" s="162" t="s">
        <v>107</v>
      </c>
      <c r="E46" s="196"/>
      <c r="F46" s="321"/>
      <c r="G46" s="261">
        <v>0</v>
      </c>
    </row>
    <row r="47" spans="2:7" ht="12.75" customHeight="1">
      <c r="B47" s="236"/>
      <c r="C47" s="162"/>
      <c r="D47" s="162"/>
      <c r="E47" s="196"/>
      <c r="F47" s="321"/>
      <c r="G47" s="261"/>
    </row>
    <row r="48" spans="2:7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</row>
    <row r="49" spans="2:7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</row>
    <row r="50" spans="2:7" ht="12.75" customHeight="1">
      <c r="B50" s="259"/>
      <c r="C50" s="162"/>
      <c r="D50" s="162" t="s">
        <v>115</v>
      </c>
      <c r="E50" s="196"/>
      <c r="F50" s="321"/>
      <c r="G50" s="261">
        <v>0</v>
      </c>
    </row>
    <row r="51" spans="2:7" ht="12.75" customHeight="1">
      <c r="B51" s="259"/>
      <c r="C51" s="162"/>
      <c r="D51" s="162" t="s">
        <v>109</v>
      </c>
      <c r="E51" s="196"/>
      <c r="F51" s="321"/>
      <c r="G51" s="261">
        <v>0</v>
      </c>
    </row>
    <row r="52" spans="2:7" ht="12.75" customHeight="1">
      <c r="B52" s="259"/>
      <c r="C52" s="162"/>
      <c r="D52" s="162"/>
      <c r="E52" s="196"/>
      <c r="F52" s="321"/>
      <c r="G52" s="261"/>
    </row>
    <row r="53" spans="2:7" ht="12.75" customHeight="1">
      <c r="B53" s="280">
        <v>12</v>
      </c>
      <c r="C53" s="456" t="s">
        <v>140</v>
      </c>
      <c r="D53" s="456"/>
      <c r="E53" s="265"/>
      <c r="F53" s="322"/>
      <c r="G53" s="338">
        <f>G54+G55</f>
        <v>0</v>
      </c>
    </row>
    <row r="54" spans="2:7" ht="26.25" customHeight="1">
      <c r="B54" s="267"/>
      <c r="C54" s="268"/>
      <c r="D54" s="352" t="s">
        <v>110</v>
      </c>
      <c r="E54" s="353"/>
      <c r="F54" s="354"/>
      <c r="G54" s="270">
        <v>0</v>
      </c>
    </row>
    <row r="55" spans="2:7" ht="12.75" customHeight="1">
      <c r="B55" s="236"/>
      <c r="C55" s="162"/>
      <c r="D55" s="162" t="s">
        <v>111</v>
      </c>
      <c r="E55" s="196"/>
      <c r="F55" s="321"/>
      <c r="G55" s="261">
        <v>0</v>
      </c>
    </row>
    <row r="56" spans="2:7" ht="12.75" customHeight="1">
      <c r="B56" s="236"/>
      <c r="C56" s="262"/>
      <c r="D56" s="162"/>
      <c r="E56" s="196"/>
      <c r="F56" s="321"/>
      <c r="G56" s="261"/>
    </row>
    <row r="57" spans="2:7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1</v>
      </c>
    </row>
    <row r="58" spans="2:7" ht="12.75" customHeight="1">
      <c r="B58" s="236"/>
      <c r="C58" s="262"/>
      <c r="D58" s="262"/>
      <c r="E58" s="196"/>
      <c r="F58" s="321"/>
      <c r="G58" s="261"/>
    </row>
    <row r="59" spans="2:7" ht="12.75" customHeight="1">
      <c r="B59" s="257">
        <v>14</v>
      </c>
      <c r="C59" s="433" t="s">
        <v>281</v>
      </c>
      <c r="D59" s="433"/>
      <c r="E59" s="196"/>
      <c r="F59" s="321"/>
      <c r="G59" s="284">
        <f>F30</f>
        <v>0</v>
      </c>
    </row>
    <row r="60" spans="2:7" ht="12.75" customHeight="1">
      <c r="B60" s="236"/>
      <c r="C60" s="262"/>
      <c r="D60" s="162"/>
      <c r="E60" s="196"/>
      <c r="F60" s="321"/>
      <c r="G60" s="261"/>
    </row>
    <row r="61" spans="2:7" s="7" customFormat="1" ht="12.75" customHeight="1">
      <c r="B61" s="259">
        <v>15</v>
      </c>
      <c r="C61" s="432" t="s">
        <v>126</v>
      </c>
      <c r="D61" s="432"/>
      <c r="E61" s="196"/>
      <c r="F61" s="196"/>
      <c r="G61" s="260">
        <v>-33</v>
      </c>
    </row>
    <row r="62" spans="2:7" ht="12.75" customHeight="1">
      <c r="B62" s="236"/>
      <c r="C62" s="264"/>
      <c r="D62" s="264"/>
      <c r="E62" s="265"/>
      <c r="F62" s="322"/>
      <c r="G62" s="266"/>
    </row>
    <row r="63" spans="2:7" ht="12.75" customHeight="1">
      <c r="B63" s="244">
        <v>16</v>
      </c>
      <c r="C63" s="275" t="s">
        <v>127</v>
      </c>
      <c r="D63" s="276"/>
      <c r="E63" s="300"/>
      <c r="F63" s="325"/>
      <c r="G63" s="337">
        <f>G37-G48+G57+G59</f>
        <v>-32</v>
      </c>
    </row>
    <row r="64" spans="2:7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-1</v>
      </c>
    </row>
    <row r="65" spans="2:7" ht="12.75" customHeight="1" thickBot="1">
      <c r="B65" s="332"/>
      <c r="C65" s="332"/>
      <c r="D65" s="333"/>
      <c r="E65" s="334"/>
      <c r="F65" s="334"/>
      <c r="G65" s="335"/>
    </row>
    <row r="66" spans="2:8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40"/>
    </row>
    <row r="67" spans="2:7" ht="12.75" customHeight="1">
      <c r="B67" s="233">
        <v>18</v>
      </c>
      <c r="C67" s="429" t="s">
        <v>135</v>
      </c>
      <c r="D67" s="429"/>
      <c r="E67" s="196"/>
      <c r="F67" s="196"/>
      <c r="G67" s="258">
        <f>F32*(-1)</f>
        <v>31</v>
      </c>
    </row>
    <row r="68" spans="2:7" ht="12.75" customHeight="1">
      <c r="B68" s="236"/>
      <c r="C68" s="262"/>
      <c r="D68" s="262"/>
      <c r="E68" s="196"/>
      <c r="F68" s="196"/>
      <c r="G68" s="283"/>
    </row>
    <row r="69" spans="2:7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-31</v>
      </c>
    </row>
    <row r="70" spans="2:7" ht="12.75" customHeight="1">
      <c r="B70" s="236"/>
      <c r="C70" s="240"/>
      <c r="D70" s="162" t="s">
        <v>68</v>
      </c>
      <c r="E70" s="196"/>
      <c r="F70" s="326"/>
      <c r="G70" s="261">
        <f>G61</f>
        <v>-33</v>
      </c>
    </row>
    <row r="71" spans="2:7" ht="12.75" customHeight="1">
      <c r="B71" s="236"/>
      <c r="C71" s="262"/>
      <c r="D71" s="162" t="s">
        <v>23</v>
      </c>
      <c r="E71" s="196"/>
      <c r="F71" s="326"/>
      <c r="G71" s="261">
        <f>G72-G73</f>
        <v>0</v>
      </c>
    </row>
    <row r="72" spans="2:7" ht="12.75" customHeight="1">
      <c r="B72" s="236"/>
      <c r="C72" s="262"/>
      <c r="D72" s="162" t="s">
        <v>78</v>
      </c>
      <c r="E72" s="196"/>
      <c r="F72" s="326"/>
      <c r="G72" s="261">
        <v>0</v>
      </c>
    </row>
    <row r="73" spans="2:7" ht="12.75" customHeight="1">
      <c r="B73" s="233"/>
      <c r="C73" s="262"/>
      <c r="D73" s="162" t="s">
        <v>116</v>
      </c>
      <c r="E73" s="196"/>
      <c r="F73" s="326"/>
      <c r="G73" s="261">
        <v>0</v>
      </c>
    </row>
    <row r="74" spans="2:7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</row>
    <row r="75" spans="2:7" ht="12.75" customHeight="1">
      <c r="B75" s="236"/>
      <c r="C75" s="262"/>
      <c r="D75" s="162" t="s">
        <v>117</v>
      </c>
      <c r="E75" s="196"/>
      <c r="F75" s="326"/>
      <c r="G75" s="261">
        <v>0</v>
      </c>
    </row>
    <row r="76" spans="2:7" ht="12.75" customHeight="1">
      <c r="B76" s="236"/>
      <c r="C76" s="262"/>
      <c r="D76" s="162" t="s">
        <v>118</v>
      </c>
      <c r="E76" s="196"/>
      <c r="F76" s="326"/>
      <c r="G76" s="261">
        <v>0</v>
      </c>
    </row>
    <row r="77" spans="2:7" ht="12.75" customHeight="1">
      <c r="B77" s="236"/>
      <c r="C77" s="162"/>
      <c r="D77" s="162" t="s">
        <v>80</v>
      </c>
      <c r="E77" s="196"/>
      <c r="F77" s="326"/>
      <c r="G77" s="261">
        <f>F27</f>
        <v>2</v>
      </c>
    </row>
    <row r="78" spans="2:7" ht="12.75" customHeight="1">
      <c r="B78" s="236"/>
      <c r="C78" s="162"/>
      <c r="D78" s="162"/>
      <c r="E78" s="196"/>
      <c r="F78" s="326"/>
      <c r="G78" s="258"/>
    </row>
    <row r="79" spans="2:7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-1</v>
      </c>
    </row>
    <row r="80" spans="2:7" ht="12.75" customHeight="1">
      <c r="B80" s="236"/>
      <c r="C80" s="162"/>
      <c r="D80" s="162" t="s">
        <v>81</v>
      </c>
      <c r="E80" s="286"/>
      <c r="F80" s="340"/>
      <c r="G80" s="261">
        <f>F28</f>
        <v>-1</v>
      </c>
    </row>
    <row r="81" spans="2:7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</row>
    <row r="82" spans="2:7" ht="12.75" customHeight="1">
      <c r="B82" s="236"/>
      <c r="C82" s="162"/>
      <c r="D82" s="162" t="s">
        <v>95</v>
      </c>
      <c r="E82" s="196"/>
      <c r="F82" s="326"/>
      <c r="G82" s="261">
        <v>0</v>
      </c>
    </row>
    <row r="83" spans="2:7" ht="12.75" customHeight="1">
      <c r="B83" s="236"/>
      <c r="C83" s="162"/>
      <c r="D83" s="162" t="s">
        <v>96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83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84</v>
      </c>
      <c r="E85" s="196"/>
      <c r="F85" s="326"/>
      <c r="G85" s="261">
        <v>0</v>
      </c>
    </row>
    <row r="86" spans="2:7" ht="12.75" customHeight="1">
      <c r="B86" s="236"/>
      <c r="C86" s="162"/>
      <c r="D86" s="162" t="s">
        <v>166</v>
      </c>
      <c r="E86" s="196"/>
      <c r="F86" s="326"/>
      <c r="G86" s="261">
        <v>0</v>
      </c>
    </row>
    <row r="87" spans="2:7" ht="12.75" customHeight="1">
      <c r="B87" s="236"/>
      <c r="C87" s="162"/>
      <c r="D87" s="162"/>
      <c r="E87" s="196"/>
      <c r="F87" s="326"/>
      <c r="G87" s="261"/>
    </row>
    <row r="88" spans="2:7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1</v>
      </c>
    </row>
    <row r="89" spans="2:7" ht="12.75" customHeight="1">
      <c r="B89" s="236"/>
      <c r="C89" s="162"/>
      <c r="D89" s="162" t="s">
        <v>159</v>
      </c>
      <c r="E89" s="196"/>
      <c r="F89" s="326"/>
      <c r="G89" s="261">
        <f>-G64</f>
        <v>1</v>
      </c>
    </row>
    <row r="90" spans="2:7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</row>
    <row r="91" spans="2:7" ht="12.75" customHeight="1">
      <c r="B91" s="236"/>
      <c r="C91" s="162"/>
      <c r="D91" s="162"/>
      <c r="E91" s="196"/>
      <c r="F91" s="326"/>
      <c r="G91" s="261"/>
    </row>
    <row r="92" spans="2:7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</row>
    <row r="93" s="7" customFormat="1" ht="12.75" customHeight="1"/>
    <row r="94" spans="5:7" ht="12.75" customHeight="1">
      <c r="E94" s="1"/>
      <c r="F94" s="1"/>
      <c r="G94" s="1"/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8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spans="5:7" ht="12.75" customHeight="1">
      <c r="E119" s="1"/>
      <c r="F119" s="1"/>
      <c r="G119" s="1"/>
    </row>
    <row r="120" ht="12.75" customHeight="1">
      <c r="G120" s="40"/>
    </row>
    <row r="121" ht="12.75" customHeight="1">
      <c r="G121" s="40"/>
    </row>
    <row r="122" ht="12.75" customHeight="1">
      <c r="G122" s="40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 customHeight="1">
      <c r="G135" s="40"/>
    </row>
    <row r="136" ht="12.75" customHeight="1">
      <c r="G136" s="40"/>
    </row>
    <row r="137" ht="12.75">
      <c r="G137" s="40"/>
    </row>
    <row r="138" ht="12.75">
      <c r="G138" s="40"/>
    </row>
  </sheetData>
  <mergeCells count="21">
    <mergeCell ref="C88:D88"/>
    <mergeCell ref="C57:D57"/>
    <mergeCell ref="C30:D30"/>
    <mergeCell ref="C36:D36"/>
    <mergeCell ref="C79:D79"/>
    <mergeCell ref="C38:D38"/>
    <mergeCell ref="C66:D66"/>
    <mergeCell ref="C34:D34"/>
    <mergeCell ref="C59:D59"/>
    <mergeCell ref="C67:D67"/>
    <mergeCell ref="C61:D61"/>
    <mergeCell ref="C3:D3"/>
    <mergeCell ref="C43:D43"/>
    <mergeCell ref="C49:D49"/>
    <mergeCell ref="C53:D53"/>
    <mergeCell ref="C33:D33"/>
    <mergeCell ref="C24:D24"/>
    <mergeCell ref="C26:D26"/>
    <mergeCell ref="C32:D32"/>
    <mergeCell ref="C4:D4"/>
    <mergeCell ref="C14:D1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7" r:id="rId1"/>
  <rowBreaks count="1" manualBreakCount="1">
    <brk id="53" min="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5"/>
  <sheetViews>
    <sheetView showGridLines="0" view="pageBreakPreview" zoomScale="80" zoomScaleSheetLayoutView="80" workbookViewId="0" topLeftCell="A43">
      <selection activeCell="E11" sqref="E11:E17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7109375" style="40" customWidth="1"/>
    <col min="7" max="7" width="10.00390625" style="42" customWidth="1"/>
    <col min="8" max="16384" width="9.140625" style="1" customWidth="1"/>
  </cols>
  <sheetData>
    <row r="1" spans="2:7" s="31" customFormat="1" ht="15">
      <c r="B1" s="289"/>
      <c r="C1" s="290" t="s">
        <v>63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E5+E11</f>
        <v>582</v>
      </c>
      <c r="F4" s="234">
        <f>F5+F11</f>
        <v>649</v>
      </c>
      <c r="G4" s="235">
        <f aca="true" t="shared" si="0" ref="G4:G11">F4-E4</f>
        <v>67</v>
      </c>
    </row>
    <row r="5" spans="2:7" ht="12.75" customHeight="1">
      <c r="B5" s="236"/>
      <c r="C5" s="237" t="s">
        <v>0</v>
      </c>
      <c r="D5" s="237" t="s">
        <v>30</v>
      </c>
      <c r="E5" s="238">
        <f>E6+E7+E8+E9+E10</f>
        <v>0</v>
      </c>
      <c r="F5" s="238">
        <f>F6+F7+F8+F9+F10</f>
        <v>0</v>
      </c>
      <c r="G5" s="239">
        <f t="shared" si="0"/>
        <v>0</v>
      </c>
    </row>
    <row r="6" spans="2:7" ht="12.75" customHeight="1">
      <c r="B6" s="236"/>
      <c r="C6" s="237"/>
      <c r="D6" s="240" t="s">
        <v>44</v>
      </c>
      <c r="E6" s="238">
        <v>0</v>
      </c>
      <c r="F6" s="238">
        <v>0</v>
      </c>
      <c r="G6" s="239">
        <f t="shared" si="0"/>
        <v>0</v>
      </c>
    </row>
    <row r="7" spans="2:7" ht="12.75" customHeight="1">
      <c r="B7" s="236"/>
      <c r="C7" s="237"/>
      <c r="D7" s="240" t="s">
        <v>40</v>
      </c>
      <c r="E7" s="238">
        <v>0</v>
      </c>
      <c r="F7" s="238">
        <v>0</v>
      </c>
      <c r="G7" s="239">
        <f t="shared" si="0"/>
        <v>0</v>
      </c>
    </row>
    <row r="8" spans="2:7" ht="12.75" customHeight="1">
      <c r="B8" s="236"/>
      <c r="C8" s="237"/>
      <c r="D8" s="240" t="s">
        <v>41</v>
      </c>
      <c r="E8" s="238">
        <v>0</v>
      </c>
      <c r="F8" s="238">
        <v>0</v>
      </c>
      <c r="G8" s="239">
        <f t="shared" si="0"/>
        <v>0</v>
      </c>
    </row>
    <row r="9" spans="2:7" ht="12.75" customHeight="1">
      <c r="B9" s="236"/>
      <c r="C9" s="237"/>
      <c r="D9" s="240" t="s">
        <v>42</v>
      </c>
      <c r="E9" s="238">
        <v>0</v>
      </c>
      <c r="F9" s="238">
        <v>0</v>
      </c>
      <c r="G9" s="239">
        <f t="shared" si="0"/>
        <v>0</v>
      </c>
    </row>
    <row r="10" spans="2:7" ht="12.75" customHeight="1">
      <c r="B10" s="236"/>
      <c r="C10" s="237"/>
      <c r="D10" s="240" t="s">
        <v>43</v>
      </c>
      <c r="E10" s="238">
        <v>0</v>
      </c>
      <c r="F10" s="238">
        <v>0</v>
      </c>
      <c r="G10" s="239">
        <f t="shared" si="0"/>
        <v>0</v>
      </c>
    </row>
    <row r="11" spans="2:7" ht="12.75" customHeight="1">
      <c r="B11" s="236"/>
      <c r="C11" s="237"/>
      <c r="D11" s="237" t="s">
        <v>31</v>
      </c>
      <c r="E11" s="238">
        <v>582</v>
      </c>
      <c r="F11" s="238">
        <v>649</v>
      </c>
      <c r="G11" s="239">
        <f t="shared" si="0"/>
        <v>67</v>
      </c>
    </row>
    <row r="12" spans="2:7" ht="12.75" customHeight="1">
      <c r="B12" s="236"/>
      <c r="C12" s="237"/>
      <c r="D12" s="237"/>
      <c r="E12" s="238"/>
      <c r="F12" s="238"/>
      <c r="G12" s="239"/>
    </row>
    <row r="13" spans="2:7" ht="12.75" customHeight="1">
      <c r="B13" s="236"/>
      <c r="C13" s="237"/>
      <c r="D13" s="237"/>
      <c r="E13" s="238"/>
      <c r="F13" s="238"/>
      <c r="G13" s="242"/>
    </row>
    <row r="14" spans="2:7" ht="12.75" customHeight="1">
      <c r="B14" s="233">
        <v>2</v>
      </c>
      <c r="C14" s="429" t="s">
        <v>120</v>
      </c>
      <c r="D14" s="429"/>
      <c r="E14" s="243">
        <f>E15+E20</f>
        <v>572</v>
      </c>
      <c r="F14" s="243">
        <f>F15+F20</f>
        <v>643</v>
      </c>
      <c r="G14" s="235">
        <f>F14-E14</f>
        <v>71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572</v>
      </c>
      <c r="F15" s="238">
        <f>F16+F17+F18+F19</f>
        <v>643</v>
      </c>
      <c r="G15" s="239">
        <f>F15-E15</f>
        <v>71</v>
      </c>
    </row>
    <row r="16" spans="2:7" ht="12.75" customHeight="1">
      <c r="B16" s="236"/>
      <c r="C16" s="237"/>
      <c r="D16" s="240" t="s">
        <v>34</v>
      </c>
      <c r="E16" s="238">
        <f>265+93</f>
        <v>358</v>
      </c>
      <c r="F16" s="238">
        <f>240+82</f>
        <v>322</v>
      </c>
      <c r="G16" s="239">
        <f aca="true" t="shared" si="1" ref="G16:G22">F16-E16</f>
        <v>-36</v>
      </c>
    </row>
    <row r="17" spans="2:7" ht="12.75" customHeight="1">
      <c r="B17" s="236"/>
      <c r="C17" s="237"/>
      <c r="D17" s="240" t="s">
        <v>35</v>
      </c>
      <c r="E17" s="238">
        <v>209</v>
      </c>
      <c r="F17" s="238">
        <v>304</v>
      </c>
      <c r="G17" s="239">
        <f t="shared" si="1"/>
        <v>95</v>
      </c>
    </row>
    <row r="18" spans="2:7" ht="12.75" customHeight="1">
      <c r="B18" s="236"/>
      <c r="C18" s="237"/>
      <c r="D18" s="240" t="s">
        <v>36</v>
      </c>
      <c r="E18" s="238">
        <v>5</v>
      </c>
      <c r="F18" s="238">
        <v>17</v>
      </c>
      <c r="G18" s="239">
        <f t="shared" si="1"/>
        <v>12</v>
      </c>
    </row>
    <row r="19" spans="2:7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</row>
    <row r="20" spans="2:7" ht="12.75" customHeight="1">
      <c r="B20" s="236"/>
      <c r="C20" s="237"/>
      <c r="D20" s="237" t="s">
        <v>33</v>
      </c>
      <c r="E20" s="238">
        <f>E21+E22</f>
        <v>0</v>
      </c>
      <c r="F20" s="238">
        <f>F21+F22</f>
        <v>0</v>
      </c>
      <c r="G20" s="239">
        <f t="shared" si="1"/>
        <v>0</v>
      </c>
    </row>
    <row r="21" spans="2:7" ht="12.75" customHeight="1">
      <c r="B21" s="236"/>
      <c r="C21" s="237"/>
      <c r="D21" s="240" t="s">
        <v>38</v>
      </c>
      <c r="E21" s="238">
        <v>0</v>
      </c>
      <c r="F21" s="238">
        <v>0</v>
      </c>
      <c r="G21" s="239">
        <f t="shared" si="1"/>
        <v>0</v>
      </c>
    </row>
    <row r="22" spans="2:7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</row>
    <row r="23" spans="2:7" ht="12.75" customHeight="1">
      <c r="B23" s="236"/>
      <c r="C23" s="237"/>
      <c r="D23" s="237"/>
      <c r="E23" s="258"/>
      <c r="F23" s="370"/>
      <c r="G23" s="239"/>
    </row>
    <row r="24" spans="2:7" ht="12.75" customHeight="1">
      <c r="B24" s="244">
        <v>3</v>
      </c>
      <c r="C24" s="434" t="s">
        <v>121</v>
      </c>
      <c r="D24" s="435"/>
      <c r="E24" s="245">
        <f>E4-E14</f>
        <v>10</v>
      </c>
      <c r="F24" s="245">
        <f>F4-F14</f>
        <v>6</v>
      </c>
      <c r="G24" s="246">
        <f>F24-E24</f>
        <v>-4</v>
      </c>
    </row>
    <row r="25" spans="2:7" ht="12.75" customHeight="1">
      <c r="B25" s="236"/>
      <c r="C25" s="247"/>
      <c r="D25" s="247"/>
      <c r="E25" s="238"/>
      <c r="F25" s="238"/>
      <c r="G25" s="235"/>
    </row>
    <row r="26" spans="2:7" ht="12.75" customHeight="1">
      <c r="B26" s="233">
        <v>4</v>
      </c>
      <c r="C26" s="430" t="s">
        <v>282</v>
      </c>
      <c r="D26" s="430"/>
      <c r="E26" s="243">
        <f>E27+E28</f>
        <v>0</v>
      </c>
      <c r="F26" s="243">
        <f>F27+F28</f>
        <v>122</v>
      </c>
      <c r="G26" s="235">
        <f>F26-E26</f>
        <v>122</v>
      </c>
    </row>
    <row r="27" spans="2:7" ht="12.75" customHeight="1">
      <c r="B27" s="236"/>
      <c r="C27" s="237"/>
      <c r="D27" s="237" t="s">
        <v>3</v>
      </c>
      <c r="E27" s="238">
        <v>0</v>
      </c>
      <c r="F27" s="238">
        <v>-3</v>
      </c>
      <c r="G27" s="239">
        <f>F27-E27</f>
        <v>-3</v>
      </c>
    </row>
    <row r="28" spans="2:7" ht="12.75" customHeight="1">
      <c r="B28" s="236"/>
      <c r="C28" s="237"/>
      <c r="D28" s="237" t="s">
        <v>4</v>
      </c>
      <c r="E28" s="238">
        <v>0</v>
      </c>
      <c r="F28" s="238">
        <v>125</v>
      </c>
      <c r="G28" s="239">
        <f>F28-E28</f>
        <v>125</v>
      </c>
    </row>
    <row r="29" spans="2:7" ht="12.75" customHeight="1">
      <c r="B29" s="236"/>
      <c r="C29" s="237"/>
      <c r="D29" s="240"/>
      <c r="E29" s="238"/>
      <c r="F29" s="238"/>
      <c r="G29" s="235"/>
    </row>
    <row r="30" spans="2:7" ht="12.75" customHeight="1">
      <c r="B30" s="233">
        <v>5</v>
      </c>
      <c r="C30" s="433" t="s">
        <v>280</v>
      </c>
      <c r="D30" s="433"/>
      <c r="E30" s="243">
        <v>0</v>
      </c>
      <c r="F30" s="243">
        <f>F31</f>
        <v>-121</v>
      </c>
      <c r="G30" s="235">
        <f>F30-E30</f>
        <v>-121</v>
      </c>
    </row>
    <row r="31" spans="2:7" ht="27" customHeight="1">
      <c r="B31" s="233"/>
      <c r="C31" s="237"/>
      <c r="D31" s="376" t="s">
        <v>209</v>
      </c>
      <c r="E31" s="243">
        <v>0</v>
      </c>
      <c r="F31" s="238">
        <v>-121</v>
      </c>
      <c r="G31" s="239">
        <f aca="true" t="shared" si="2" ref="G31">F31-E31</f>
        <v>-121</v>
      </c>
    </row>
    <row r="32" spans="2:7" ht="12.75" customHeight="1">
      <c r="B32" s="233"/>
      <c r="C32" s="237"/>
      <c r="D32" s="237"/>
      <c r="E32" s="238"/>
      <c r="F32" s="261"/>
      <c r="G32" s="242"/>
    </row>
    <row r="33" spans="2:7" ht="12.75" customHeight="1">
      <c r="B33" s="244">
        <v>6</v>
      </c>
      <c r="C33" s="434" t="s">
        <v>123</v>
      </c>
      <c r="D33" s="435"/>
      <c r="E33" s="245">
        <f>E24+E26</f>
        <v>10</v>
      </c>
      <c r="F33" s="245">
        <f>F24+F26+F30</f>
        <v>7</v>
      </c>
      <c r="G33" s="246">
        <f>F33-E33</f>
        <v>-3</v>
      </c>
    </row>
    <row r="34" spans="2:8" ht="12.75" customHeight="1">
      <c r="B34" s="236"/>
      <c r="C34" s="433" t="s">
        <v>5</v>
      </c>
      <c r="D34" s="433"/>
      <c r="E34" s="238">
        <f>E4+E27</f>
        <v>582</v>
      </c>
      <c r="F34" s="238">
        <f>F4+F27</f>
        <v>646</v>
      </c>
      <c r="G34" s="239">
        <f aca="true" t="shared" si="3" ref="G34:G35">F34-E34</f>
        <v>64</v>
      </c>
      <c r="H34" s="2"/>
    </row>
    <row r="35" spans="2:7" ht="12.75" customHeight="1">
      <c r="B35" s="251"/>
      <c r="C35" s="436" t="s">
        <v>6</v>
      </c>
      <c r="D35" s="436"/>
      <c r="E35" s="252">
        <f>E14-E28</f>
        <v>572</v>
      </c>
      <c r="F35" s="252">
        <f>F14-F28-F31</f>
        <v>639</v>
      </c>
      <c r="G35" s="239">
        <f t="shared" si="3"/>
        <v>67</v>
      </c>
    </row>
    <row r="36" spans="1:8" ht="12.75" customHeight="1" thickBot="1">
      <c r="A36" s="3"/>
      <c r="B36" s="332"/>
      <c r="C36" s="373"/>
      <c r="D36" s="373"/>
      <c r="E36" s="334"/>
      <c r="F36" s="371"/>
      <c r="G36" s="335"/>
      <c r="H36" s="3"/>
    </row>
    <row r="37" spans="2:7" ht="39" thickTop="1">
      <c r="B37" s="230"/>
      <c r="C37" s="431" t="s">
        <v>155</v>
      </c>
      <c r="D37" s="431"/>
      <c r="E37" s="319"/>
      <c r="F37" s="319"/>
      <c r="G37" s="320" t="s">
        <v>205</v>
      </c>
    </row>
    <row r="38" spans="2:7" ht="12.75" customHeight="1">
      <c r="B38" s="257">
        <v>7</v>
      </c>
      <c r="C38" s="271" t="s">
        <v>133</v>
      </c>
      <c r="D38" s="271"/>
      <c r="E38" s="196"/>
      <c r="F38" s="321"/>
      <c r="G38" s="284">
        <f>G44-G39+G61</f>
        <v>-115</v>
      </c>
    </row>
    <row r="39" spans="2:7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0</v>
      </c>
    </row>
    <row r="40" spans="2:7" ht="26.25" customHeight="1">
      <c r="B40" s="236"/>
      <c r="C40" s="262"/>
      <c r="D40" s="346" t="s">
        <v>101</v>
      </c>
      <c r="E40" s="347"/>
      <c r="F40" s="348"/>
      <c r="G40" s="261">
        <v>0</v>
      </c>
    </row>
    <row r="41" spans="2:7" ht="12.75" customHeight="1">
      <c r="B41" s="236"/>
      <c r="C41" s="262"/>
      <c r="D41" s="162" t="s">
        <v>102</v>
      </c>
      <c r="E41" s="196"/>
      <c r="F41" s="321"/>
      <c r="G41" s="261">
        <v>0</v>
      </c>
    </row>
    <row r="42" spans="2:7" ht="24.75" customHeight="1">
      <c r="B42" s="236"/>
      <c r="C42" s="262"/>
      <c r="D42" s="346" t="s">
        <v>114</v>
      </c>
      <c r="E42" s="347"/>
      <c r="F42" s="348"/>
      <c r="G42" s="261">
        <v>0</v>
      </c>
    </row>
    <row r="43" spans="2:7" ht="12.75" customHeight="1">
      <c r="B43" s="236"/>
      <c r="C43" s="162"/>
      <c r="D43" s="162"/>
      <c r="E43" s="196"/>
      <c r="F43" s="321"/>
      <c r="G43" s="261"/>
    </row>
    <row r="44" spans="2:7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0</v>
      </c>
    </row>
    <row r="45" spans="2:7" ht="12.75" customHeight="1">
      <c r="B45" s="236"/>
      <c r="C45" s="162"/>
      <c r="D45" s="162" t="s">
        <v>22</v>
      </c>
      <c r="E45" s="196"/>
      <c r="F45" s="321"/>
      <c r="G45" s="261">
        <v>0</v>
      </c>
    </row>
    <row r="46" spans="2:7" ht="12.75" customHeight="1">
      <c r="B46" s="236"/>
      <c r="C46" s="162"/>
      <c r="D46" s="162" t="s">
        <v>106</v>
      </c>
      <c r="E46" s="196"/>
      <c r="F46" s="321"/>
      <c r="G46" s="261">
        <v>0</v>
      </c>
    </row>
    <row r="47" spans="2:7" ht="12.75" customHeight="1">
      <c r="B47" s="236"/>
      <c r="C47" s="162"/>
      <c r="D47" s="162" t="s">
        <v>107</v>
      </c>
      <c r="E47" s="196"/>
      <c r="F47" s="321"/>
      <c r="G47" s="261">
        <v>0</v>
      </c>
    </row>
    <row r="48" spans="2:7" ht="12.75" customHeight="1">
      <c r="B48" s="236"/>
      <c r="C48" s="162"/>
      <c r="D48" s="162"/>
      <c r="E48" s="196"/>
      <c r="F48" s="321"/>
      <c r="G48" s="261"/>
    </row>
    <row r="49" spans="2:7" ht="12.75" customHeight="1">
      <c r="B49" s="257">
        <v>10</v>
      </c>
      <c r="C49" s="271" t="s">
        <v>124</v>
      </c>
      <c r="D49" s="271"/>
      <c r="E49" s="196"/>
      <c r="F49" s="321"/>
      <c r="G49" s="284">
        <f>G50-G53</f>
        <v>0</v>
      </c>
    </row>
    <row r="50" spans="2:7" ht="12.75" customHeight="1">
      <c r="B50" s="259">
        <v>11</v>
      </c>
      <c r="C50" s="432" t="s">
        <v>141</v>
      </c>
      <c r="D50" s="432"/>
      <c r="E50" s="196"/>
      <c r="F50" s="321"/>
      <c r="G50" s="260">
        <f>G51+G52</f>
        <v>0</v>
      </c>
    </row>
    <row r="51" spans="2:7" ht="12.75" customHeight="1">
      <c r="B51" s="259"/>
      <c r="C51" s="162"/>
      <c r="D51" s="162" t="s">
        <v>115</v>
      </c>
      <c r="E51" s="196"/>
      <c r="F51" s="321"/>
      <c r="G51" s="261">
        <v>0</v>
      </c>
    </row>
    <row r="52" spans="2:7" ht="12.75" customHeight="1">
      <c r="B52" s="280"/>
      <c r="C52" s="264"/>
      <c r="D52" s="264" t="s">
        <v>109</v>
      </c>
      <c r="E52" s="265"/>
      <c r="F52" s="322"/>
      <c r="G52" s="266">
        <v>0</v>
      </c>
    </row>
    <row r="53" spans="2:7" ht="12.75" customHeight="1">
      <c r="B53" s="323">
        <v>12</v>
      </c>
      <c r="C53" s="451" t="s">
        <v>140</v>
      </c>
      <c r="D53" s="451"/>
      <c r="E53" s="269"/>
      <c r="F53" s="324"/>
      <c r="G53" s="345">
        <f>G54+G55</f>
        <v>0</v>
      </c>
    </row>
    <row r="54" spans="2:7" ht="26.25" customHeight="1">
      <c r="B54" s="236"/>
      <c r="C54" s="162"/>
      <c r="D54" s="346" t="s">
        <v>110</v>
      </c>
      <c r="E54" s="347"/>
      <c r="F54" s="348"/>
      <c r="G54" s="261">
        <v>0</v>
      </c>
    </row>
    <row r="55" spans="2:7" ht="12.75" customHeight="1">
      <c r="B55" s="236"/>
      <c r="C55" s="162"/>
      <c r="D55" s="162" t="s">
        <v>111</v>
      </c>
      <c r="E55" s="196"/>
      <c r="F55" s="321"/>
      <c r="G55" s="261">
        <v>0</v>
      </c>
    </row>
    <row r="56" spans="2:7" ht="12.75" customHeight="1">
      <c r="B56" s="236"/>
      <c r="C56" s="262"/>
      <c r="D56" s="162"/>
      <c r="E56" s="196"/>
      <c r="F56" s="321"/>
      <c r="G56" s="261"/>
    </row>
    <row r="57" spans="2:7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122</v>
      </c>
    </row>
    <row r="58" spans="2:7" ht="12.75" customHeight="1">
      <c r="B58" s="236"/>
      <c r="C58" s="262"/>
      <c r="D58" s="262"/>
      <c r="E58" s="196"/>
      <c r="F58" s="321"/>
      <c r="G58" s="261"/>
    </row>
    <row r="59" spans="2:7" ht="12.75" customHeight="1">
      <c r="B59" s="257">
        <v>14</v>
      </c>
      <c r="C59" s="433" t="s">
        <v>281</v>
      </c>
      <c r="D59" s="433"/>
      <c r="E59" s="196"/>
      <c r="F59" s="321"/>
      <c r="G59" s="284">
        <f>F30+121</f>
        <v>0</v>
      </c>
    </row>
    <row r="60" spans="2:7" ht="12.75" customHeight="1">
      <c r="B60" s="236"/>
      <c r="C60" s="262"/>
      <c r="D60" s="162"/>
      <c r="E60" s="196"/>
      <c r="F60" s="321"/>
      <c r="G60" s="261"/>
    </row>
    <row r="61" spans="2:7" ht="12.75" customHeight="1">
      <c r="B61" s="259">
        <v>15</v>
      </c>
      <c r="C61" s="432" t="s">
        <v>126</v>
      </c>
      <c r="D61" s="432"/>
      <c r="E61" s="196"/>
      <c r="F61" s="196"/>
      <c r="G61" s="260">
        <v>-115</v>
      </c>
    </row>
    <row r="62" spans="2:7" ht="12.75" customHeight="1">
      <c r="B62" s="236"/>
      <c r="C62" s="264"/>
      <c r="D62" s="264"/>
      <c r="E62" s="265"/>
      <c r="F62" s="322"/>
      <c r="G62" s="266"/>
    </row>
    <row r="63" spans="2:7" ht="12.75" customHeight="1">
      <c r="B63" s="244">
        <v>16</v>
      </c>
      <c r="C63" s="275" t="s">
        <v>127</v>
      </c>
      <c r="D63" s="276"/>
      <c r="E63" s="300"/>
      <c r="F63" s="325"/>
      <c r="G63" s="279">
        <f>G38-G49+G57+G59</f>
        <v>7</v>
      </c>
    </row>
    <row r="64" spans="2:7" ht="12.75" customHeight="1">
      <c r="B64" s="280">
        <v>17</v>
      </c>
      <c r="C64" s="281" t="s">
        <v>128</v>
      </c>
      <c r="D64" s="281"/>
      <c r="E64" s="265"/>
      <c r="F64" s="322"/>
      <c r="G64" s="338">
        <f>G63-F33</f>
        <v>0</v>
      </c>
    </row>
    <row r="65" spans="2:7" ht="12.75" customHeight="1" thickBot="1">
      <c r="B65" s="332"/>
      <c r="C65" s="332"/>
      <c r="D65" s="333"/>
      <c r="E65" s="334"/>
      <c r="F65" s="334"/>
      <c r="G65" s="335"/>
    </row>
    <row r="66" spans="2:8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40"/>
    </row>
    <row r="67" spans="2:7" ht="12.75" customHeight="1">
      <c r="B67" s="233">
        <v>18</v>
      </c>
      <c r="C67" s="429" t="s">
        <v>135</v>
      </c>
      <c r="D67" s="429"/>
      <c r="E67" s="196"/>
      <c r="F67" s="196"/>
      <c r="G67" s="258">
        <f>F33*(-1)</f>
        <v>-7</v>
      </c>
    </row>
    <row r="68" spans="2:7" ht="12.75" customHeight="1">
      <c r="B68" s="236"/>
      <c r="C68" s="262"/>
      <c r="D68" s="262"/>
      <c r="E68" s="196"/>
      <c r="F68" s="196"/>
      <c r="G68" s="283"/>
    </row>
    <row r="69" spans="2:7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-118</v>
      </c>
    </row>
    <row r="70" spans="2:7" ht="12.75" customHeight="1">
      <c r="B70" s="236"/>
      <c r="C70" s="240"/>
      <c r="D70" s="162" t="s">
        <v>68</v>
      </c>
      <c r="E70" s="196"/>
      <c r="F70" s="326"/>
      <c r="G70" s="261">
        <f>G61</f>
        <v>-115</v>
      </c>
    </row>
    <row r="71" spans="2:8" ht="12.75" customHeight="1">
      <c r="B71" s="236"/>
      <c r="C71" s="262"/>
      <c r="D71" s="162" t="s">
        <v>23</v>
      </c>
      <c r="E71" s="196"/>
      <c r="F71" s="326"/>
      <c r="G71" s="261">
        <f>G72-G73</f>
        <v>0</v>
      </c>
      <c r="H71" s="66"/>
    </row>
    <row r="72" spans="2:7" ht="12.75" customHeight="1">
      <c r="B72" s="236"/>
      <c r="C72" s="262"/>
      <c r="D72" s="162" t="s">
        <v>78</v>
      </c>
      <c r="E72" s="196"/>
      <c r="F72" s="326"/>
      <c r="G72" s="261">
        <v>0</v>
      </c>
    </row>
    <row r="73" spans="2:7" ht="12.75" customHeight="1">
      <c r="B73" s="233"/>
      <c r="C73" s="262"/>
      <c r="D73" s="162" t="s">
        <v>116</v>
      </c>
      <c r="E73" s="196"/>
      <c r="F73" s="326"/>
      <c r="G73" s="261">
        <v>0</v>
      </c>
    </row>
    <row r="74" spans="2:7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</row>
    <row r="75" spans="2:7" ht="12.75" customHeight="1">
      <c r="B75" s="236"/>
      <c r="C75" s="262"/>
      <c r="D75" s="162" t="s">
        <v>117</v>
      </c>
      <c r="E75" s="196"/>
      <c r="F75" s="326"/>
      <c r="G75" s="261">
        <v>0</v>
      </c>
    </row>
    <row r="76" spans="2:7" ht="12.75" customHeight="1">
      <c r="B76" s="236"/>
      <c r="C76" s="262"/>
      <c r="D76" s="162" t="s">
        <v>118</v>
      </c>
      <c r="E76" s="196"/>
      <c r="F76" s="326"/>
      <c r="G76" s="261">
        <v>0</v>
      </c>
    </row>
    <row r="77" spans="2:7" ht="12.75" customHeight="1">
      <c r="B77" s="236"/>
      <c r="C77" s="162"/>
      <c r="D77" s="162" t="s">
        <v>80</v>
      </c>
      <c r="E77" s="196"/>
      <c r="F77" s="326"/>
      <c r="G77" s="261">
        <f>F27</f>
        <v>-3</v>
      </c>
    </row>
    <row r="78" spans="2:7" ht="12.75" customHeight="1">
      <c r="B78" s="236"/>
      <c r="C78" s="162"/>
      <c r="D78" s="162"/>
      <c r="E78" s="196"/>
      <c r="F78" s="326"/>
      <c r="G78" s="258"/>
    </row>
    <row r="79" spans="2:7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125</v>
      </c>
    </row>
    <row r="80" spans="2:7" ht="12.75" customHeight="1">
      <c r="B80" s="236"/>
      <c r="C80" s="162"/>
      <c r="D80" s="162" t="s">
        <v>81</v>
      </c>
      <c r="E80" s="286"/>
      <c r="F80" s="340"/>
      <c r="G80" s="261">
        <f>F28</f>
        <v>125</v>
      </c>
    </row>
    <row r="81" spans="2:7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</row>
    <row r="82" spans="2:7" ht="12.75" customHeight="1">
      <c r="B82" s="236"/>
      <c r="C82" s="162"/>
      <c r="D82" s="162" t="s">
        <v>95</v>
      </c>
      <c r="E82" s="196"/>
      <c r="F82" s="326"/>
      <c r="G82" s="261">
        <v>0</v>
      </c>
    </row>
    <row r="83" spans="2:7" ht="12.75" customHeight="1">
      <c r="B83" s="236"/>
      <c r="C83" s="162"/>
      <c r="D83" s="162" t="s">
        <v>96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83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84</v>
      </c>
      <c r="E85" s="196"/>
      <c r="F85" s="326"/>
      <c r="G85" s="261">
        <v>0</v>
      </c>
    </row>
    <row r="86" spans="2:7" ht="12.75" customHeight="1">
      <c r="B86" s="236"/>
      <c r="C86" s="162"/>
      <c r="D86" s="162" t="s">
        <v>166</v>
      </c>
      <c r="E86" s="196"/>
      <c r="F86" s="326"/>
      <c r="G86" s="261">
        <v>0</v>
      </c>
    </row>
    <row r="87" spans="2:7" ht="12.75" customHeight="1">
      <c r="B87" s="236"/>
      <c r="C87" s="162"/>
      <c r="D87" s="162"/>
      <c r="E87" s="196"/>
      <c r="F87" s="326"/>
      <c r="G87" s="261"/>
    </row>
    <row r="88" spans="2:7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0</v>
      </c>
    </row>
    <row r="89" spans="2:7" ht="12.75" customHeight="1">
      <c r="B89" s="236"/>
      <c r="C89" s="162"/>
      <c r="D89" s="162" t="s">
        <v>159</v>
      </c>
      <c r="E89" s="196"/>
      <c r="F89" s="326"/>
      <c r="G89" s="261">
        <f>-G64</f>
        <v>0</v>
      </c>
    </row>
    <row r="90" spans="2:7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</row>
    <row r="91" spans="2:7" ht="12.75" customHeight="1">
      <c r="B91" s="236"/>
      <c r="C91" s="162"/>
      <c r="D91" s="162"/>
      <c r="E91" s="196"/>
      <c r="F91" s="326"/>
      <c r="G91" s="261"/>
    </row>
    <row r="92" spans="2:7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</row>
    <row r="93" spans="5:7" ht="12.75" customHeight="1">
      <c r="E93" s="1"/>
      <c r="F93" s="1"/>
      <c r="G93" s="1"/>
    </row>
    <row r="94" spans="5:7" ht="12.75" customHeight="1">
      <c r="E94" s="1"/>
      <c r="F94" s="1"/>
      <c r="G94" s="1"/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8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spans="5:7" ht="12.75" customHeight="1">
      <c r="E119" s="1"/>
      <c r="F119" s="1"/>
      <c r="G119" s="1"/>
    </row>
    <row r="120" spans="5:7" ht="12.75" customHeight="1">
      <c r="E120" s="1"/>
      <c r="F120" s="1"/>
      <c r="G120" s="1"/>
    </row>
    <row r="121" spans="5:7" ht="12.75" customHeight="1">
      <c r="E121" s="1"/>
      <c r="F121" s="1"/>
      <c r="G121" s="1"/>
    </row>
    <row r="122" ht="12.75" customHeight="1">
      <c r="G122" s="40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>
      <c r="G134" s="40"/>
    </row>
    <row r="135" ht="12.75">
      <c r="G135" s="40"/>
    </row>
  </sheetData>
  <mergeCells count="21">
    <mergeCell ref="C88:D88"/>
    <mergeCell ref="C57:D57"/>
    <mergeCell ref="C30:D30"/>
    <mergeCell ref="C37:D37"/>
    <mergeCell ref="C79:D79"/>
    <mergeCell ref="C39:D39"/>
    <mergeCell ref="C66:D66"/>
    <mergeCell ref="C35:D35"/>
    <mergeCell ref="C59:D59"/>
    <mergeCell ref="C67:D67"/>
    <mergeCell ref="C61:D61"/>
    <mergeCell ref="C3:D3"/>
    <mergeCell ref="C44:D44"/>
    <mergeCell ref="C50:D50"/>
    <mergeCell ref="C53:D53"/>
    <mergeCell ref="C34:D34"/>
    <mergeCell ref="C24:D24"/>
    <mergeCell ref="C26:D26"/>
    <mergeCell ref="C33:D33"/>
    <mergeCell ref="C4:D4"/>
    <mergeCell ref="C14:D1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5" r:id="rId1"/>
  <rowBreaks count="1" manualBreakCount="1">
    <brk id="52" min="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H138"/>
  <sheetViews>
    <sheetView showGridLines="0" view="pageBreakPreview" zoomScale="80" zoomScaleSheetLayoutView="80" workbookViewId="0" topLeftCell="A46">
      <selection activeCell="G14" sqref="G14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7109375" style="40" customWidth="1"/>
    <col min="7" max="7" width="10.57421875" style="42" customWidth="1"/>
    <col min="8" max="16384" width="9.140625" style="1" customWidth="1"/>
  </cols>
  <sheetData>
    <row r="1" spans="2:7" s="31" customFormat="1" ht="15">
      <c r="B1" s="289"/>
      <c r="C1" s="290" t="s">
        <v>64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E5+E6+E12</f>
        <v>63230</v>
      </c>
      <c r="F4" s="234">
        <f>F5+F6+F12</f>
        <v>72041</v>
      </c>
      <c r="G4" s="235">
        <f aca="true" t="shared" si="0" ref="G4:G12">F4-E4</f>
        <v>8811</v>
      </c>
    </row>
    <row r="5" spans="2:7" ht="12.75" customHeight="1">
      <c r="B5" s="236"/>
      <c r="C5" s="237" t="s">
        <v>0</v>
      </c>
      <c r="D5" s="237" t="s">
        <v>69</v>
      </c>
      <c r="E5" s="238">
        <v>54217</v>
      </c>
      <c r="F5" s="238">
        <v>53316</v>
      </c>
      <c r="G5" s="239">
        <f t="shared" si="0"/>
        <v>-901</v>
      </c>
    </row>
    <row r="6" spans="2:7" ht="12.75" customHeight="1">
      <c r="B6" s="236"/>
      <c r="C6" s="237"/>
      <c r="D6" s="237" t="s">
        <v>30</v>
      </c>
      <c r="E6" s="238">
        <f>SUM(E7:E11)</f>
        <v>9013</v>
      </c>
      <c r="F6" s="238">
        <f>SUM(F7:F11)</f>
        <v>6152</v>
      </c>
      <c r="G6" s="239">
        <f t="shared" si="0"/>
        <v>-2861</v>
      </c>
    </row>
    <row r="7" spans="2:7" ht="12.75" customHeight="1">
      <c r="B7" s="236"/>
      <c r="C7" s="237"/>
      <c r="D7" s="240" t="s">
        <v>44</v>
      </c>
      <c r="E7" s="238">
        <v>283</v>
      </c>
      <c r="F7" s="238">
        <v>274</v>
      </c>
      <c r="G7" s="239">
        <f t="shared" si="0"/>
        <v>-9</v>
      </c>
    </row>
    <row r="8" spans="2:7" ht="12.75" customHeight="1">
      <c r="B8" s="236"/>
      <c r="C8" s="237"/>
      <c r="D8" s="240" t="s">
        <v>40</v>
      </c>
      <c r="E8" s="238">
        <v>8724</v>
      </c>
      <c r="F8" s="238">
        <v>5806</v>
      </c>
      <c r="G8" s="239">
        <f t="shared" si="0"/>
        <v>-2918</v>
      </c>
    </row>
    <row r="9" spans="2:7" ht="12.75" customHeight="1">
      <c r="B9" s="236"/>
      <c r="C9" s="237"/>
      <c r="D9" s="240" t="s">
        <v>41</v>
      </c>
      <c r="E9" s="238">
        <v>0</v>
      </c>
      <c r="F9" s="238">
        <v>0</v>
      </c>
      <c r="G9" s="239">
        <f t="shared" si="0"/>
        <v>0</v>
      </c>
    </row>
    <row r="10" spans="2:7" ht="12.75" customHeight="1">
      <c r="B10" s="236"/>
      <c r="C10" s="237"/>
      <c r="D10" s="240" t="s">
        <v>42</v>
      </c>
      <c r="E10" s="238">
        <v>6</v>
      </c>
      <c r="F10" s="238">
        <v>1</v>
      </c>
      <c r="G10" s="239">
        <f t="shared" si="0"/>
        <v>-5</v>
      </c>
    </row>
    <row r="11" spans="2:7" ht="12.75" customHeight="1">
      <c r="B11" s="236"/>
      <c r="C11" s="237"/>
      <c r="D11" s="240" t="s">
        <v>43</v>
      </c>
      <c r="E11" s="238">
        <v>0</v>
      </c>
      <c r="F11" s="238">
        <v>71</v>
      </c>
      <c r="G11" s="239">
        <f t="shared" si="0"/>
        <v>71</v>
      </c>
    </row>
    <row r="12" spans="2:7" ht="12.75" customHeight="1">
      <c r="B12" s="236"/>
      <c r="C12" s="237"/>
      <c r="D12" s="237" t="s">
        <v>31</v>
      </c>
      <c r="E12" s="238">
        <v>0</v>
      </c>
      <c r="F12" s="238">
        <v>12573</v>
      </c>
      <c r="G12" s="242">
        <f t="shared" si="0"/>
        <v>12573</v>
      </c>
    </row>
    <row r="13" spans="2:7" ht="12.75" customHeight="1">
      <c r="B13" s="233"/>
      <c r="C13" s="237"/>
      <c r="D13" s="237"/>
      <c r="E13" s="238"/>
      <c r="F13" s="238"/>
      <c r="G13" s="235"/>
    </row>
    <row r="14" spans="2:7" ht="12.75" customHeight="1">
      <c r="B14" s="233">
        <v>2</v>
      </c>
      <c r="C14" s="429" t="s">
        <v>120</v>
      </c>
      <c r="D14" s="429"/>
      <c r="E14" s="243">
        <f>E15+E20</f>
        <v>63230</v>
      </c>
      <c r="F14" s="243">
        <f>F15+F20</f>
        <v>71260</v>
      </c>
      <c r="G14" s="235">
        <f aca="true" t="shared" si="1" ref="G14:G22">F14-E14</f>
        <v>8030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61570</v>
      </c>
      <c r="F15" s="238">
        <f>F16+F17+F18+F19</f>
        <v>70226</v>
      </c>
      <c r="G15" s="239">
        <f t="shared" si="1"/>
        <v>8656</v>
      </c>
    </row>
    <row r="16" spans="2:7" ht="12.75" customHeight="1">
      <c r="B16" s="236"/>
      <c r="C16" s="237"/>
      <c r="D16" s="240" t="s">
        <v>34</v>
      </c>
      <c r="E16" s="238">
        <f>13458+4562</f>
        <v>18020</v>
      </c>
      <c r="F16" s="238">
        <f>12863+4392</f>
        <v>17255</v>
      </c>
      <c r="G16" s="239">
        <f t="shared" si="1"/>
        <v>-765</v>
      </c>
    </row>
    <row r="17" spans="2:7" ht="12.75" customHeight="1">
      <c r="B17" s="236"/>
      <c r="C17" s="237"/>
      <c r="D17" s="240" t="s">
        <v>35</v>
      </c>
      <c r="E17" s="238">
        <v>41487</v>
      </c>
      <c r="F17" s="238">
        <v>50665</v>
      </c>
      <c r="G17" s="239">
        <f t="shared" si="1"/>
        <v>9178</v>
      </c>
    </row>
    <row r="18" spans="2:7" ht="12.75" customHeight="1">
      <c r="B18" s="236"/>
      <c r="C18" s="237"/>
      <c r="D18" s="240" t="s">
        <v>36</v>
      </c>
      <c r="E18" s="238">
        <v>2063</v>
      </c>
      <c r="F18" s="238">
        <v>2303</v>
      </c>
      <c r="G18" s="239">
        <f t="shared" si="1"/>
        <v>240</v>
      </c>
    </row>
    <row r="19" spans="2:7" ht="12.75" customHeight="1">
      <c r="B19" s="236"/>
      <c r="C19" s="237"/>
      <c r="D19" s="240" t="s">
        <v>37</v>
      </c>
      <c r="E19" s="238">
        <v>0</v>
      </c>
      <c r="F19" s="238">
        <v>3</v>
      </c>
      <c r="G19" s="239">
        <f t="shared" si="1"/>
        <v>3</v>
      </c>
    </row>
    <row r="20" spans="2:7" ht="12.75" customHeight="1">
      <c r="B20" s="236"/>
      <c r="C20" s="237"/>
      <c r="D20" s="237" t="s">
        <v>33</v>
      </c>
      <c r="E20" s="238">
        <f>E21+E22</f>
        <v>1660</v>
      </c>
      <c r="F20" s="238">
        <f>F21+F22</f>
        <v>1034</v>
      </c>
      <c r="G20" s="239">
        <f t="shared" si="1"/>
        <v>-626</v>
      </c>
    </row>
    <row r="21" spans="2:7" ht="12.75" customHeight="1">
      <c r="B21" s="236"/>
      <c r="C21" s="237"/>
      <c r="D21" s="240" t="s">
        <v>38</v>
      </c>
      <c r="E21" s="238">
        <v>1660</v>
      </c>
      <c r="F21" s="238">
        <v>1034</v>
      </c>
      <c r="G21" s="239">
        <f t="shared" si="1"/>
        <v>-626</v>
      </c>
    </row>
    <row r="22" spans="2:7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</row>
    <row r="23" spans="2:7" ht="12.75" customHeight="1">
      <c r="B23" s="233"/>
      <c r="C23" s="237"/>
      <c r="D23" s="237"/>
      <c r="E23" s="370"/>
      <c r="F23" s="370"/>
      <c r="G23" s="242"/>
    </row>
    <row r="24" spans="2:7" ht="12.75" customHeight="1">
      <c r="B24" s="244">
        <v>3</v>
      </c>
      <c r="C24" s="434" t="s">
        <v>121</v>
      </c>
      <c r="D24" s="435"/>
      <c r="E24" s="245">
        <f>E4-E14</f>
        <v>0</v>
      </c>
      <c r="F24" s="245">
        <f>F4-F14</f>
        <v>781</v>
      </c>
      <c r="G24" s="246">
        <f>F24-E24</f>
        <v>781</v>
      </c>
    </row>
    <row r="25" spans="2:7" ht="12.75" customHeight="1">
      <c r="B25" s="233"/>
      <c r="C25" s="247"/>
      <c r="D25" s="247"/>
      <c r="E25" s="238"/>
      <c r="F25" s="238"/>
      <c r="G25" s="235"/>
    </row>
    <row r="26" spans="2:7" ht="12.75" customHeight="1">
      <c r="B26" s="233">
        <v>4</v>
      </c>
      <c r="C26" s="430" t="s">
        <v>167</v>
      </c>
      <c r="D26" s="430"/>
      <c r="E26" s="243">
        <f>E27+E28</f>
        <v>0</v>
      </c>
      <c r="F26" s="243">
        <f>F27+F28</f>
        <v>-15759</v>
      </c>
      <c r="G26" s="235">
        <f>F26-E26</f>
        <v>-15759</v>
      </c>
    </row>
    <row r="27" spans="2:8" ht="12.75" customHeight="1">
      <c r="B27" s="236"/>
      <c r="C27" s="237"/>
      <c r="D27" s="237" t="s">
        <v>3</v>
      </c>
      <c r="E27" s="238">
        <v>0</v>
      </c>
      <c r="F27" s="238">
        <f>-3689</f>
        <v>-3689</v>
      </c>
      <c r="G27" s="239">
        <f aca="true" t="shared" si="2" ref="G27:G31">F27-E27</f>
        <v>-3689</v>
      </c>
      <c r="H27" s="17"/>
    </row>
    <row r="28" spans="2:8" ht="12.75" customHeight="1">
      <c r="B28" s="236"/>
      <c r="C28" s="237"/>
      <c r="D28" s="237" t="s">
        <v>4</v>
      </c>
      <c r="E28" s="238">
        <v>0</v>
      </c>
      <c r="F28" s="238">
        <f>-11930-140</f>
        <v>-12070</v>
      </c>
      <c r="G28" s="239">
        <f t="shared" si="2"/>
        <v>-12070</v>
      </c>
      <c r="H28" s="17"/>
    </row>
    <row r="29" spans="2:8" ht="12.75" customHeight="1">
      <c r="B29" s="233"/>
      <c r="C29" s="237"/>
      <c r="D29" s="237"/>
      <c r="E29" s="238"/>
      <c r="F29" s="243"/>
      <c r="G29" s="235"/>
      <c r="H29" s="17"/>
    </row>
    <row r="30" spans="2:8" ht="12.75" customHeight="1">
      <c r="B30" s="233">
        <v>5</v>
      </c>
      <c r="C30" s="433" t="s">
        <v>280</v>
      </c>
      <c r="D30" s="433"/>
      <c r="E30" s="243">
        <v>0</v>
      </c>
      <c r="F30" s="243">
        <f>F31</f>
        <v>-182</v>
      </c>
      <c r="G30" s="235">
        <f t="shared" si="2"/>
        <v>-182</v>
      </c>
      <c r="H30" s="17"/>
    </row>
    <row r="31" spans="2:8" ht="12.75">
      <c r="B31" s="233"/>
      <c r="C31" s="237"/>
      <c r="D31" s="237" t="s">
        <v>170</v>
      </c>
      <c r="E31" s="238">
        <v>0</v>
      </c>
      <c r="F31" s="238">
        <v>-182</v>
      </c>
      <c r="G31" s="239">
        <f t="shared" si="2"/>
        <v>-182</v>
      </c>
      <c r="H31" s="17"/>
    </row>
    <row r="32" spans="2:7" ht="12.75" customHeight="1">
      <c r="B32" s="233"/>
      <c r="C32" s="237"/>
      <c r="D32" s="240"/>
      <c r="E32" s="238"/>
      <c r="F32" s="238"/>
      <c r="G32" s="235"/>
    </row>
    <row r="33" spans="2:7" ht="12.75" customHeight="1">
      <c r="B33" s="244">
        <v>6</v>
      </c>
      <c r="C33" s="434" t="s">
        <v>123</v>
      </c>
      <c r="D33" s="435"/>
      <c r="E33" s="245">
        <f>E24+E26</f>
        <v>0</v>
      </c>
      <c r="F33" s="245">
        <f>F24+F26+F30</f>
        <v>-15160</v>
      </c>
      <c r="G33" s="246">
        <f>F33-E33</f>
        <v>-15160</v>
      </c>
    </row>
    <row r="34" spans="2:8" ht="12.75" customHeight="1">
      <c r="B34" s="236"/>
      <c r="C34" s="433" t="s">
        <v>5</v>
      </c>
      <c r="D34" s="433"/>
      <c r="E34" s="238">
        <f>E4+E27</f>
        <v>63230</v>
      </c>
      <c r="F34" s="238">
        <f>F4+F27</f>
        <v>68352</v>
      </c>
      <c r="G34" s="239">
        <f aca="true" t="shared" si="3" ref="G34:G35">F34-E34</f>
        <v>5122</v>
      </c>
      <c r="H34" s="2"/>
    </row>
    <row r="35" spans="2:7" ht="12.75" customHeight="1">
      <c r="B35" s="251"/>
      <c r="C35" s="436" t="s">
        <v>6</v>
      </c>
      <c r="D35" s="436"/>
      <c r="E35" s="252">
        <f>E14-E28</f>
        <v>63230</v>
      </c>
      <c r="F35" s="252">
        <f>F14-F28-F31</f>
        <v>83512</v>
      </c>
      <c r="G35" s="239">
        <f t="shared" si="3"/>
        <v>20282</v>
      </c>
    </row>
    <row r="36" spans="2:8" ht="12.75" customHeight="1" thickBot="1">
      <c r="B36" s="332"/>
      <c r="C36" s="373"/>
      <c r="D36" s="373"/>
      <c r="E36" s="371"/>
      <c r="F36" s="371"/>
      <c r="G36" s="335"/>
      <c r="H36" s="3"/>
    </row>
    <row r="37" spans="2:7" ht="26.25" thickTop="1">
      <c r="B37" s="230"/>
      <c r="C37" s="431" t="s">
        <v>155</v>
      </c>
      <c r="D37" s="431"/>
      <c r="E37" s="319"/>
      <c r="F37" s="319"/>
      <c r="G37" s="313" t="s">
        <v>205</v>
      </c>
    </row>
    <row r="38" spans="2:7" ht="12.75" customHeight="1">
      <c r="B38" s="257">
        <v>7</v>
      </c>
      <c r="C38" s="271" t="s">
        <v>133</v>
      </c>
      <c r="D38" s="271"/>
      <c r="E38" s="196"/>
      <c r="F38" s="321"/>
      <c r="G38" s="284">
        <f>G44-G39+G62</f>
        <v>718</v>
      </c>
    </row>
    <row r="39" spans="2:7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0</v>
      </c>
    </row>
    <row r="40" spans="2:7" ht="27" customHeight="1">
      <c r="B40" s="236"/>
      <c r="C40" s="262"/>
      <c r="D40" s="346" t="s">
        <v>101</v>
      </c>
      <c r="E40" s="347"/>
      <c r="F40" s="348"/>
      <c r="G40" s="261">
        <v>0</v>
      </c>
    </row>
    <row r="41" spans="2:7" ht="12.75" customHeight="1">
      <c r="B41" s="236"/>
      <c r="C41" s="262"/>
      <c r="D41" s="162" t="s">
        <v>102</v>
      </c>
      <c r="E41" s="196"/>
      <c r="F41" s="321"/>
      <c r="G41" s="261">
        <v>0</v>
      </c>
    </row>
    <row r="42" spans="2:7" ht="27" customHeight="1">
      <c r="B42" s="236"/>
      <c r="C42" s="262"/>
      <c r="D42" s="346" t="s">
        <v>114</v>
      </c>
      <c r="E42" s="347"/>
      <c r="F42" s="348"/>
      <c r="G42" s="261">
        <v>0</v>
      </c>
    </row>
    <row r="43" spans="2:7" ht="12.75" customHeight="1">
      <c r="B43" s="236"/>
      <c r="C43" s="162"/>
      <c r="D43" s="162"/>
      <c r="E43" s="196"/>
      <c r="F43" s="321"/>
      <c r="G43" s="261"/>
    </row>
    <row r="44" spans="2:7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140</v>
      </c>
    </row>
    <row r="45" spans="2:7" ht="12.75" customHeight="1">
      <c r="B45" s="236"/>
      <c r="C45" s="162"/>
      <c r="D45" s="162" t="s">
        <v>22</v>
      </c>
      <c r="E45" s="196"/>
      <c r="F45" s="321"/>
      <c r="G45" s="261">
        <v>0</v>
      </c>
    </row>
    <row r="46" spans="2:7" ht="12.75" customHeight="1">
      <c r="B46" s="236"/>
      <c r="C46" s="162"/>
      <c r="D46" s="162" t="s">
        <v>106</v>
      </c>
      <c r="E46" s="196"/>
      <c r="F46" s="321"/>
      <c r="G46" s="261">
        <v>0</v>
      </c>
    </row>
    <row r="47" spans="2:7" ht="12.75" customHeight="1">
      <c r="B47" s="236"/>
      <c r="C47" s="162"/>
      <c r="D47" s="162" t="s">
        <v>107</v>
      </c>
      <c r="E47" s="196"/>
      <c r="F47" s="321"/>
      <c r="G47" s="261">
        <v>140</v>
      </c>
    </row>
    <row r="48" spans="2:7" ht="12.75" customHeight="1">
      <c r="B48" s="236"/>
      <c r="C48" s="162"/>
      <c r="D48" s="162"/>
      <c r="E48" s="196"/>
      <c r="F48" s="321"/>
      <c r="G48" s="261"/>
    </row>
    <row r="49" spans="2:7" ht="12.75" customHeight="1">
      <c r="B49" s="257">
        <v>10</v>
      </c>
      <c r="C49" s="271" t="s">
        <v>124</v>
      </c>
      <c r="D49" s="271"/>
      <c r="E49" s="196"/>
      <c r="F49" s="321"/>
      <c r="G49" s="284">
        <f>G50-G54</f>
        <v>-15</v>
      </c>
    </row>
    <row r="50" spans="2:7" ht="12.75" customHeight="1">
      <c r="B50" s="259">
        <v>11</v>
      </c>
      <c r="C50" s="432" t="s">
        <v>141</v>
      </c>
      <c r="D50" s="432"/>
      <c r="E50" s="196"/>
      <c r="F50" s="321"/>
      <c r="G50" s="260">
        <f>G51+G52</f>
        <v>0</v>
      </c>
    </row>
    <row r="51" spans="2:7" ht="12.75" customHeight="1">
      <c r="B51" s="259"/>
      <c r="C51" s="162"/>
      <c r="D51" s="162" t="s">
        <v>115</v>
      </c>
      <c r="E51" s="196"/>
      <c r="F51" s="321"/>
      <c r="G51" s="261">
        <v>0</v>
      </c>
    </row>
    <row r="52" spans="2:7" ht="12.75" customHeight="1">
      <c r="B52" s="259"/>
      <c r="C52" s="162"/>
      <c r="D52" s="162" t="s">
        <v>109</v>
      </c>
      <c r="E52" s="196"/>
      <c r="F52" s="321"/>
      <c r="G52" s="261">
        <v>0</v>
      </c>
    </row>
    <row r="53" spans="2:7" ht="12.75" customHeight="1">
      <c r="B53" s="280"/>
      <c r="C53" s="264"/>
      <c r="D53" s="264"/>
      <c r="E53" s="265"/>
      <c r="F53" s="322"/>
      <c r="G53" s="266"/>
    </row>
    <row r="54" spans="2:7" ht="12.75" customHeight="1">
      <c r="B54" s="323">
        <v>12</v>
      </c>
      <c r="C54" s="451" t="s">
        <v>140</v>
      </c>
      <c r="D54" s="451"/>
      <c r="E54" s="269"/>
      <c r="F54" s="324"/>
      <c r="G54" s="345">
        <f>G55+G56</f>
        <v>15</v>
      </c>
    </row>
    <row r="55" spans="2:7" ht="27" customHeight="1">
      <c r="B55" s="236"/>
      <c r="C55" s="162"/>
      <c r="D55" s="346" t="s">
        <v>110</v>
      </c>
      <c r="E55" s="347"/>
      <c r="F55" s="348"/>
      <c r="G55" s="261">
        <v>0</v>
      </c>
    </row>
    <row r="56" spans="2:7" ht="12.75" customHeight="1">
      <c r="B56" s="236"/>
      <c r="C56" s="162"/>
      <c r="D56" s="162" t="s">
        <v>111</v>
      </c>
      <c r="E56" s="196"/>
      <c r="F56" s="321"/>
      <c r="G56" s="261">
        <v>15</v>
      </c>
    </row>
    <row r="57" spans="2:7" ht="12.75" customHeight="1">
      <c r="B57" s="236"/>
      <c r="C57" s="262"/>
      <c r="D57" s="162"/>
      <c r="E57" s="196"/>
      <c r="F57" s="321"/>
      <c r="G57" s="261"/>
    </row>
    <row r="58" spans="2:7" ht="12.75" customHeight="1">
      <c r="B58" s="257">
        <v>13</v>
      </c>
      <c r="C58" s="430" t="s">
        <v>125</v>
      </c>
      <c r="D58" s="430"/>
      <c r="E58" s="196"/>
      <c r="F58" s="321"/>
      <c r="G58" s="284">
        <f>F26+140</f>
        <v>-15619</v>
      </c>
    </row>
    <row r="59" spans="2:7" ht="12.75" customHeight="1">
      <c r="B59" s="236"/>
      <c r="C59" s="262"/>
      <c r="D59" s="262"/>
      <c r="E59" s="196"/>
      <c r="F59" s="321"/>
      <c r="G59" s="261"/>
    </row>
    <row r="60" spans="2:7" ht="12.75" customHeight="1">
      <c r="B60" s="257">
        <v>14</v>
      </c>
      <c r="C60" s="433" t="s">
        <v>280</v>
      </c>
      <c r="D60" s="433"/>
      <c r="E60" s="196"/>
      <c r="F60" s="321"/>
      <c r="G60" s="284">
        <f>F30-140</f>
        <v>-322</v>
      </c>
    </row>
    <row r="61" spans="2:7" ht="12.75" customHeight="1">
      <c r="B61" s="236"/>
      <c r="C61" s="262"/>
      <c r="D61" s="162"/>
      <c r="E61" s="196"/>
      <c r="F61" s="321"/>
      <c r="G61" s="261"/>
    </row>
    <row r="62" spans="2:7" ht="12.75" customHeight="1">
      <c r="B62" s="259">
        <v>15</v>
      </c>
      <c r="C62" s="432" t="s">
        <v>126</v>
      </c>
      <c r="D62" s="432"/>
      <c r="E62" s="196"/>
      <c r="F62" s="196"/>
      <c r="G62" s="260">
        <v>578</v>
      </c>
    </row>
    <row r="63" spans="2:7" ht="12.75" customHeight="1">
      <c r="B63" s="236"/>
      <c r="C63" s="264"/>
      <c r="D63" s="264"/>
      <c r="E63" s="265"/>
      <c r="F63" s="322"/>
      <c r="G63" s="266"/>
    </row>
    <row r="64" spans="2:7" ht="12.75" customHeight="1">
      <c r="B64" s="244">
        <v>16</v>
      </c>
      <c r="C64" s="275" t="s">
        <v>127</v>
      </c>
      <c r="D64" s="276"/>
      <c r="E64" s="300"/>
      <c r="F64" s="325"/>
      <c r="G64" s="279">
        <f>G38-G49+G58+G60</f>
        <v>-15208</v>
      </c>
    </row>
    <row r="65" spans="2:7" ht="12.75" customHeight="1">
      <c r="B65" s="280">
        <v>17</v>
      </c>
      <c r="C65" s="281" t="s">
        <v>128</v>
      </c>
      <c r="D65" s="281"/>
      <c r="E65" s="265"/>
      <c r="F65" s="322"/>
      <c r="G65" s="338">
        <f>G64-F33</f>
        <v>-48</v>
      </c>
    </row>
    <row r="66" spans="2:7" ht="12.75" customHeight="1" thickBot="1">
      <c r="B66" s="332"/>
      <c r="C66" s="332"/>
      <c r="D66" s="333"/>
      <c r="E66" s="334"/>
      <c r="F66" s="334"/>
      <c r="G66" s="335"/>
    </row>
    <row r="67" spans="2:8" ht="26.25" customHeight="1" thickTop="1">
      <c r="B67" s="230"/>
      <c r="C67" s="431" t="s">
        <v>149</v>
      </c>
      <c r="D67" s="431"/>
      <c r="E67" s="319"/>
      <c r="F67" s="319"/>
      <c r="G67" s="313" t="s">
        <v>205</v>
      </c>
      <c r="H67" s="40"/>
    </row>
    <row r="68" spans="2:7" ht="12.75" customHeight="1">
      <c r="B68" s="233">
        <v>18</v>
      </c>
      <c r="C68" s="429" t="s">
        <v>135</v>
      </c>
      <c r="D68" s="429"/>
      <c r="E68" s="196"/>
      <c r="F68" s="196"/>
      <c r="G68" s="258">
        <f>F33*(-1)</f>
        <v>15160</v>
      </c>
    </row>
    <row r="69" spans="2:7" ht="12.75" customHeight="1">
      <c r="B69" s="236"/>
      <c r="C69" s="262"/>
      <c r="D69" s="262"/>
      <c r="E69" s="196"/>
      <c r="F69" s="196"/>
      <c r="G69" s="283"/>
    </row>
    <row r="70" spans="2:7" ht="12.75" customHeight="1">
      <c r="B70" s="257">
        <v>19</v>
      </c>
      <c r="C70" s="271" t="s">
        <v>129</v>
      </c>
      <c r="D70" s="339"/>
      <c r="E70" s="196"/>
      <c r="F70" s="326"/>
      <c r="G70" s="284">
        <f>G71+G72+G75+G78</f>
        <v>-2971</v>
      </c>
    </row>
    <row r="71" spans="2:7" ht="12.75" customHeight="1">
      <c r="B71" s="236"/>
      <c r="C71" s="240"/>
      <c r="D71" s="162" t="s">
        <v>68</v>
      </c>
      <c r="E71" s="196"/>
      <c r="F71" s="326"/>
      <c r="G71" s="261">
        <f>G62</f>
        <v>578</v>
      </c>
    </row>
    <row r="72" spans="2:7" ht="12.75" customHeight="1">
      <c r="B72" s="236"/>
      <c r="C72" s="262"/>
      <c r="D72" s="162" t="s">
        <v>23</v>
      </c>
      <c r="E72" s="196"/>
      <c r="F72" s="326"/>
      <c r="G72" s="261">
        <f>G73-G74</f>
        <v>0</v>
      </c>
    </row>
    <row r="73" spans="2:7" ht="12.75" customHeight="1">
      <c r="B73" s="236"/>
      <c r="C73" s="262"/>
      <c r="D73" s="162" t="s">
        <v>78</v>
      </c>
      <c r="E73" s="196"/>
      <c r="F73" s="326"/>
      <c r="G73" s="261">
        <v>0</v>
      </c>
    </row>
    <row r="74" spans="2:7" ht="12.75" customHeight="1">
      <c r="B74" s="233"/>
      <c r="C74" s="262"/>
      <c r="D74" s="162" t="s">
        <v>116</v>
      </c>
      <c r="E74" s="196"/>
      <c r="F74" s="326"/>
      <c r="G74" s="261">
        <v>0</v>
      </c>
    </row>
    <row r="75" spans="2:7" ht="12.75" customHeight="1">
      <c r="B75" s="236"/>
      <c r="C75" s="262"/>
      <c r="D75" s="162" t="s">
        <v>24</v>
      </c>
      <c r="E75" s="196"/>
      <c r="F75" s="326"/>
      <c r="G75" s="261">
        <f>G76-G77</f>
        <v>0</v>
      </c>
    </row>
    <row r="76" spans="2:7" ht="12.75" customHeight="1">
      <c r="B76" s="236"/>
      <c r="C76" s="262"/>
      <c r="D76" s="162" t="s">
        <v>117</v>
      </c>
      <c r="E76" s="196"/>
      <c r="F76" s="326"/>
      <c r="G76" s="261">
        <f>G47-140</f>
        <v>0</v>
      </c>
    </row>
    <row r="77" spans="2:7" ht="12.75" customHeight="1">
      <c r="B77" s="236"/>
      <c r="C77" s="262"/>
      <c r="D77" s="162" t="s">
        <v>118</v>
      </c>
      <c r="E77" s="196"/>
      <c r="F77" s="326"/>
      <c r="G77" s="261">
        <v>0</v>
      </c>
    </row>
    <row r="78" spans="2:7" ht="12.75" customHeight="1">
      <c r="B78" s="236"/>
      <c r="C78" s="162"/>
      <c r="D78" s="162" t="s">
        <v>80</v>
      </c>
      <c r="E78" s="196"/>
      <c r="F78" s="326"/>
      <c r="G78" s="261">
        <f>F27+140</f>
        <v>-3549</v>
      </c>
    </row>
    <row r="79" spans="2:7" ht="12.75" customHeight="1">
      <c r="B79" s="236"/>
      <c r="C79" s="162"/>
      <c r="D79" s="162"/>
      <c r="E79" s="196"/>
      <c r="F79" s="326"/>
      <c r="G79" s="258"/>
    </row>
    <row r="80" spans="2:7" ht="12.75" customHeight="1">
      <c r="B80" s="257">
        <v>20</v>
      </c>
      <c r="C80" s="430" t="s">
        <v>130</v>
      </c>
      <c r="D80" s="430"/>
      <c r="E80" s="196"/>
      <c r="F80" s="326"/>
      <c r="G80" s="284">
        <f>G81+G82+G85+G86+G87</f>
        <v>-12070</v>
      </c>
    </row>
    <row r="81" spans="2:7" ht="12.75" customHeight="1">
      <c r="B81" s="236"/>
      <c r="C81" s="162"/>
      <c r="D81" s="162" t="s">
        <v>81</v>
      </c>
      <c r="E81" s="286"/>
      <c r="F81" s="340"/>
      <c r="G81" s="261">
        <f>F28</f>
        <v>-12070</v>
      </c>
    </row>
    <row r="82" spans="2:7" ht="12.75" customHeight="1">
      <c r="B82" s="236"/>
      <c r="C82" s="162"/>
      <c r="D82" s="162" t="s">
        <v>82</v>
      </c>
      <c r="E82" s="196"/>
      <c r="F82" s="326"/>
      <c r="G82" s="261">
        <f>G83+G84</f>
        <v>0</v>
      </c>
    </row>
    <row r="83" spans="2:7" ht="12.75" customHeight="1">
      <c r="B83" s="236"/>
      <c r="C83" s="162"/>
      <c r="D83" s="162" t="s">
        <v>95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96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83</v>
      </c>
      <c r="E85" s="196"/>
      <c r="F85" s="326"/>
      <c r="G85" s="261">
        <v>0</v>
      </c>
    </row>
    <row r="86" spans="2:7" ht="12.75" customHeight="1">
      <c r="B86" s="236"/>
      <c r="C86" s="162"/>
      <c r="D86" s="162" t="s">
        <v>84</v>
      </c>
      <c r="E86" s="196"/>
      <c r="F86" s="326"/>
      <c r="G86" s="261">
        <v>0</v>
      </c>
    </row>
    <row r="87" spans="2:7" ht="12.75" customHeight="1">
      <c r="B87" s="236"/>
      <c r="C87" s="162"/>
      <c r="D87" s="162" t="s">
        <v>166</v>
      </c>
      <c r="E87" s="196"/>
      <c r="F87" s="326"/>
      <c r="G87" s="261">
        <v>0</v>
      </c>
    </row>
    <row r="88" spans="2:7" ht="12.75" customHeight="1">
      <c r="B88" s="236"/>
      <c r="C88" s="162"/>
      <c r="D88" s="162"/>
      <c r="E88" s="196"/>
      <c r="F88" s="326"/>
      <c r="G88" s="261"/>
    </row>
    <row r="89" spans="2:7" ht="12.75" customHeight="1">
      <c r="B89" s="257">
        <v>21</v>
      </c>
      <c r="C89" s="430" t="s">
        <v>134</v>
      </c>
      <c r="D89" s="430"/>
      <c r="E89" s="196"/>
      <c r="F89" s="326"/>
      <c r="G89" s="284">
        <f>G90+G91</f>
        <v>48</v>
      </c>
    </row>
    <row r="90" spans="2:7" ht="12.75" customHeight="1">
      <c r="B90" s="236"/>
      <c r="C90" s="162"/>
      <c r="D90" s="162" t="s">
        <v>159</v>
      </c>
      <c r="E90" s="196"/>
      <c r="F90" s="326"/>
      <c r="G90" s="261">
        <f>-G65</f>
        <v>48</v>
      </c>
    </row>
    <row r="91" spans="2:7" ht="12.75" customHeight="1">
      <c r="B91" s="236"/>
      <c r="C91" s="162"/>
      <c r="D91" s="162" t="s">
        <v>160</v>
      </c>
      <c r="E91" s="196"/>
      <c r="F91" s="326"/>
      <c r="G91" s="261">
        <f>G93-(G68+G70+G80)-G90</f>
        <v>0</v>
      </c>
    </row>
    <row r="92" spans="2:7" ht="12.75" customHeight="1">
      <c r="B92" s="236"/>
      <c r="C92" s="162"/>
      <c r="D92" s="162"/>
      <c r="E92" s="196"/>
      <c r="F92" s="326"/>
      <c r="G92" s="261"/>
    </row>
    <row r="93" spans="2:7" ht="12.75" customHeight="1">
      <c r="B93" s="244">
        <v>22</v>
      </c>
      <c r="C93" s="275" t="s">
        <v>176</v>
      </c>
      <c r="D93" s="275"/>
      <c r="E93" s="277"/>
      <c r="F93" s="341"/>
      <c r="G93" s="279">
        <v>167</v>
      </c>
    </row>
    <row r="94" spans="5:7" ht="12.75" customHeight="1">
      <c r="E94" s="1"/>
      <c r="F94" s="1"/>
      <c r="G94" s="1"/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8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spans="5:7" ht="12.75" customHeight="1">
      <c r="E119" s="1"/>
      <c r="F119" s="1"/>
      <c r="G119" s="1"/>
    </row>
    <row r="120" spans="5:7" ht="12.75" customHeight="1">
      <c r="E120" s="1"/>
      <c r="F120" s="1"/>
      <c r="G120" s="1"/>
    </row>
    <row r="121" spans="5:7" ht="12.75" customHeight="1">
      <c r="E121" s="1"/>
      <c r="F121" s="1"/>
      <c r="G121" s="1"/>
    </row>
    <row r="122" ht="12.75" customHeight="1">
      <c r="G122" s="40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 customHeight="1">
      <c r="G135" s="40"/>
    </row>
    <row r="136" ht="12.75" customHeight="1">
      <c r="G136" s="40"/>
    </row>
    <row r="137" ht="12.75">
      <c r="G137" s="40"/>
    </row>
    <row r="138" ht="12.75">
      <c r="G138" s="40"/>
    </row>
  </sheetData>
  <mergeCells count="21">
    <mergeCell ref="C89:D89"/>
    <mergeCell ref="C58:D58"/>
    <mergeCell ref="C39:D39"/>
    <mergeCell ref="C37:D37"/>
    <mergeCell ref="C80:D80"/>
    <mergeCell ref="C68:D68"/>
    <mergeCell ref="C67:D67"/>
    <mergeCell ref="C60:D60"/>
    <mergeCell ref="C62:D62"/>
    <mergeCell ref="C3:D3"/>
    <mergeCell ref="C44:D44"/>
    <mergeCell ref="C50:D50"/>
    <mergeCell ref="C54:D54"/>
    <mergeCell ref="C4:D4"/>
    <mergeCell ref="C24:D24"/>
    <mergeCell ref="C26:D26"/>
    <mergeCell ref="C30:D30"/>
    <mergeCell ref="C35:D35"/>
    <mergeCell ref="C14:D14"/>
    <mergeCell ref="C33:D33"/>
    <mergeCell ref="C34:D3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1"/>
  <rowBreaks count="1" manualBreakCount="1">
    <brk id="53" min="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6"/>
  <sheetViews>
    <sheetView showGridLines="0" view="pageBreakPreview" zoomScale="80" zoomScaleSheetLayoutView="80" workbookViewId="0" topLeftCell="A67">
      <selection activeCell="E15" sqref="E15:E22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7109375" style="40" customWidth="1"/>
    <col min="7" max="7" width="9.8515625" style="42" customWidth="1"/>
    <col min="8" max="16384" width="9.140625" style="1" customWidth="1"/>
  </cols>
  <sheetData>
    <row r="1" spans="2:7" s="31" customFormat="1" ht="15">
      <c r="B1" s="289"/>
      <c r="C1" s="290" t="s">
        <v>65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E5+E6+E12</f>
        <v>26416</v>
      </c>
      <c r="F4" s="234">
        <f>F5+F6+F12</f>
        <v>30180</v>
      </c>
      <c r="G4" s="235">
        <f aca="true" t="shared" si="0" ref="G4:G12">F4-E4</f>
        <v>3764</v>
      </c>
    </row>
    <row r="5" spans="2:7" ht="12.75" customHeight="1">
      <c r="B5" s="236"/>
      <c r="C5" s="237" t="s">
        <v>0</v>
      </c>
      <c r="D5" s="237" t="s">
        <v>69</v>
      </c>
      <c r="E5" s="238">
        <v>23236</v>
      </c>
      <c r="F5" s="238">
        <v>22782</v>
      </c>
      <c r="G5" s="239">
        <f t="shared" si="0"/>
        <v>-454</v>
      </c>
    </row>
    <row r="6" spans="2:7" ht="12.75" customHeight="1">
      <c r="B6" s="236"/>
      <c r="C6" s="237"/>
      <c r="D6" s="237" t="s">
        <v>30</v>
      </c>
      <c r="E6" s="238">
        <f>SUM(E7:E11)</f>
        <v>3180</v>
      </c>
      <c r="F6" s="238">
        <f>SUM(F7:F11)</f>
        <v>2896</v>
      </c>
      <c r="G6" s="239">
        <f t="shared" si="0"/>
        <v>-284</v>
      </c>
    </row>
    <row r="7" spans="2:7" ht="12.75" customHeight="1">
      <c r="B7" s="236"/>
      <c r="C7" s="237"/>
      <c r="D7" s="240" t="s">
        <v>44</v>
      </c>
      <c r="E7" s="238">
        <v>355</v>
      </c>
      <c r="F7" s="238">
        <v>256</v>
      </c>
      <c r="G7" s="239">
        <f t="shared" si="0"/>
        <v>-99</v>
      </c>
    </row>
    <row r="8" spans="2:8" ht="12.75" customHeight="1">
      <c r="B8" s="236"/>
      <c r="C8" s="237"/>
      <c r="D8" s="240" t="s">
        <v>40</v>
      </c>
      <c r="E8" s="238">
        <v>2822</v>
      </c>
      <c r="F8" s="238">
        <v>2391</v>
      </c>
      <c r="G8" s="239">
        <f t="shared" si="0"/>
        <v>-431</v>
      </c>
      <c r="H8" s="17"/>
    </row>
    <row r="9" spans="2:7" ht="12.75" customHeight="1">
      <c r="B9" s="236"/>
      <c r="C9" s="237"/>
      <c r="D9" s="240" t="s">
        <v>41</v>
      </c>
      <c r="E9" s="238">
        <v>0</v>
      </c>
      <c r="F9" s="238">
        <v>1</v>
      </c>
      <c r="G9" s="239">
        <f t="shared" si="0"/>
        <v>1</v>
      </c>
    </row>
    <row r="10" spans="2:7" ht="12.75" customHeight="1">
      <c r="B10" s="236"/>
      <c r="C10" s="237"/>
      <c r="D10" s="240" t="s">
        <v>42</v>
      </c>
      <c r="E10" s="238">
        <v>3</v>
      </c>
      <c r="F10" s="238">
        <v>2</v>
      </c>
      <c r="G10" s="239">
        <f t="shared" si="0"/>
        <v>-1</v>
      </c>
    </row>
    <row r="11" spans="2:7" ht="12.75" customHeight="1">
      <c r="B11" s="236"/>
      <c r="C11" s="237"/>
      <c r="D11" s="240" t="s">
        <v>43</v>
      </c>
      <c r="E11" s="238">
        <v>0</v>
      </c>
      <c r="F11" s="238">
        <v>246</v>
      </c>
      <c r="G11" s="239">
        <f t="shared" si="0"/>
        <v>246</v>
      </c>
    </row>
    <row r="12" spans="2:7" ht="12.75" customHeight="1">
      <c r="B12" s="236"/>
      <c r="C12" s="237"/>
      <c r="D12" s="237" t="s">
        <v>31</v>
      </c>
      <c r="E12" s="238">
        <v>0</v>
      </c>
      <c r="F12" s="238">
        <v>4502</v>
      </c>
      <c r="G12" s="242">
        <f t="shared" si="0"/>
        <v>4502</v>
      </c>
    </row>
    <row r="13" spans="2:7" ht="12.75" customHeight="1">
      <c r="B13" s="233"/>
      <c r="C13" s="237"/>
      <c r="D13" s="237"/>
      <c r="E13" s="238"/>
      <c r="F13" s="238"/>
      <c r="G13" s="235"/>
    </row>
    <row r="14" spans="2:7" ht="12.75" customHeight="1">
      <c r="B14" s="233">
        <v>2</v>
      </c>
      <c r="C14" s="429" t="s">
        <v>120</v>
      </c>
      <c r="D14" s="429"/>
      <c r="E14" s="243">
        <f>E15+E20</f>
        <v>26416</v>
      </c>
      <c r="F14" s="243">
        <f>F15+F20</f>
        <v>29647</v>
      </c>
      <c r="G14" s="329">
        <f aca="true" t="shared" si="1" ref="G14:G22">F14-E14</f>
        <v>3231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24623</v>
      </c>
      <c r="F15" s="238">
        <f>F16+F17+F18+F19</f>
        <v>27904</v>
      </c>
      <c r="G15" s="239">
        <f t="shared" si="1"/>
        <v>3281</v>
      </c>
    </row>
    <row r="16" spans="2:7" ht="12.75" customHeight="1">
      <c r="B16" s="236"/>
      <c r="C16" s="237"/>
      <c r="D16" s="240" t="s">
        <v>34</v>
      </c>
      <c r="E16" s="238">
        <f>6835+2437</f>
        <v>9272</v>
      </c>
      <c r="F16" s="238">
        <f>7530+2683</f>
        <v>10213</v>
      </c>
      <c r="G16" s="239">
        <f t="shared" si="1"/>
        <v>941</v>
      </c>
    </row>
    <row r="17" spans="2:7" ht="12.75" customHeight="1">
      <c r="B17" s="236"/>
      <c r="C17" s="237"/>
      <c r="D17" s="240" t="s">
        <v>35</v>
      </c>
      <c r="E17" s="238">
        <v>12012</v>
      </c>
      <c r="F17" s="238">
        <v>15704</v>
      </c>
      <c r="G17" s="239">
        <f t="shared" si="1"/>
        <v>3692</v>
      </c>
    </row>
    <row r="18" spans="2:7" ht="12.75" customHeight="1">
      <c r="B18" s="236"/>
      <c r="C18" s="237"/>
      <c r="D18" s="240" t="s">
        <v>36</v>
      </c>
      <c r="E18" s="238">
        <v>3339</v>
      </c>
      <c r="F18" s="238">
        <v>1987</v>
      </c>
      <c r="G18" s="239">
        <f t="shared" si="1"/>
        <v>-1352</v>
      </c>
    </row>
    <row r="19" spans="2:7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</row>
    <row r="20" spans="2:7" ht="12.75" customHeight="1">
      <c r="B20" s="236"/>
      <c r="C20" s="237"/>
      <c r="D20" s="237" t="s">
        <v>33</v>
      </c>
      <c r="E20" s="238">
        <f>E21+E22</f>
        <v>1793</v>
      </c>
      <c r="F20" s="238">
        <f>F21+F22</f>
        <v>1743</v>
      </c>
      <c r="G20" s="239">
        <f t="shared" si="1"/>
        <v>-50</v>
      </c>
    </row>
    <row r="21" spans="2:8" ht="12.75" customHeight="1">
      <c r="B21" s="236"/>
      <c r="C21" s="237"/>
      <c r="D21" s="240" t="s">
        <v>38</v>
      </c>
      <c r="E21" s="238">
        <v>1793</v>
      </c>
      <c r="F21" s="238">
        <v>1743</v>
      </c>
      <c r="G21" s="239">
        <f t="shared" si="1"/>
        <v>-50</v>
      </c>
      <c r="H21" s="18"/>
    </row>
    <row r="22" spans="2:7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</row>
    <row r="23" spans="2:7" ht="12.75" customHeight="1">
      <c r="B23" s="233"/>
      <c r="C23" s="237"/>
      <c r="D23" s="237"/>
      <c r="E23" s="370"/>
      <c r="F23" s="370"/>
      <c r="G23" s="242"/>
    </row>
    <row r="24" spans="2:7" ht="12.75" customHeight="1">
      <c r="B24" s="244">
        <v>3</v>
      </c>
      <c r="C24" s="434" t="s">
        <v>121</v>
      </c>
      <c r="D24" s="435"/>
      <c r="E24" s="245">
        <f>E4-E14</f>
        <v>0</v>
      </c>
      <c r="F24" s="245">
        <f>F4-F14</f>
        <v>533</v>
      </c>
      <c r="G24" s="246">
        <f>F24-E24</f>
        <v>533</v>
      </c>
    </row>
    <row r="25" spans="2:7" ht="12.75" customHeight="1">
      <c r="B25" s="233"/>
      <c r="C25" s="247"/>
      <c r="D25" s="247"/>
      <c r="E25" s="238"/>
      <c r="F25" s="238"/>
      <c r="G25" s="235"/>
    </row>
    <row r="26" spans="2:7" ht="12.75" customHeight="1">
      <c r="B26" s="233">
        <v>4</v>
      </c>
      <c r="C26" s="430" t="s">
        <v>167</v>
      </c>
      <c r="D26" s="430"/>
      <c r="E26" s="243">
        <f>E27+E28</f>
        <v>0</v>
      </c>
      <c r="F26" s="243">
        <f>F27+F28</f>
        <v>559</v>
      </c>
      <c r="G26" s="235">
        <f>F26-E26</f>
        <v>559</v>
      </c>
    </row>
    <row r="27" spans="2:8" ht="12.75" customHeight="1">
      <c r="B27" s="236"/>
      <c r="C27" s="237"/>
      <c r="D27" s="237" t="s">
        <v>3</v>
      </c>
      <c r="E27" s="238">
        <v>0</v>
      </c>
      <c r="F27" s="238">
        <v>125</v>
      </c>
      <c r="G27" s="239">
        <f aca="true" t="shared" si="2" ref="G27:G28">F27-E27</f>
        <v>125</v>
      </c>
      <c r="H27" s="17"/>
    </row>
    <row r="28" spans="2:8" ht="12.75" customHeight="1">
      <c r="B28" s="236"/>
      <c r="C28" s="237"/>
      <c r="D28" s="237" t="s">
        <v>4</v>
      </c>
      <c r="E28" s="238">
        <v>0</v>
      </c>
      <c r="F28" s="238">
        <f>534-100</f>
        <v>434</v>
      </c>
      <c r="G28" s="239">
        <f t="shared" si="2"/>
        <v>434</v>
      </c>
      <c r="H28" s="17"/>
    </row>
    <row r="29" spans="2:8" ht="12.75" customHeight="1">
      <c r="B29" s="233"/>
      <c r="C29" s="237"/>
      <c r="D29" s="237"/>
      <c r="E29" s="238"/>
      <c r="F29" s="243"/>
      <c r="G29" s="235"/>
      <c r="H29" s="17"/>
    </row>
    <row r="30" spans="2:8" ht="12.75" customHeight="1">
      <c r="B30" s="233">
        <v>5</v>
      </c>
      <c r="C30" s="433" t="s">
        <v>280</v>
      </c>
      <c r="D30" s="433"/>
      <c r="E30" s="243">
        <f>E31</f>
        <v>0</v>
      </c>
      <c r="F30" s="243">
        <f>F31</f>
        <v>0</v>
      </c>
      <c r="G30" s="239">
        <f aca="true" t="shared" si="3" ref="G30">F30-E30</f>
        <v>0</v>
      </c>
      <c r="H30" s="17"/>
    </row>
    <row r="31" spans="2:7" ht="12.75" customHeight="1">
      <c r="B31" s="233"/>
      <c r="C31" s="237"/>
      <c r="D31" s="240"/>
      <c r="E31" s="238"/>
      <c r="F31" s="238"/>
      <c r="G31" s="235"/>
    </row>
    <row r="32" spans="2:8" ht="12.75" customHeight="1">
      <c r="B32" s="244">
        <v>6</v>
      </c>
      <c r="C32" s="434" t="s">
        <v>123</v>
      </c>
      <c r="D32" s="435"/>
      <c r="E32" s="245">
        <f>E24+E26</f>
        <v>0</v>
      </c>
      <c r="F32" s="245">
        <f>F24+F26+F30</f>
        <v>1092</v>
      </c>
      <c r="G32" s="246">
        <f>F32-E32</f>
        <v>1092</v>
      </c>
      <c r="H32" s="2"/>
    </row>
    <row r="33" spans="2:8" ht="12.75" customHeight="1">
      <c r="B33" s="236"/>
      <c r="C33" s="433" t="s">
        <v>5</v>
      </c>
      <c r="D33" s="433"/>
      <c r="E33" s="238">
        <f>E4+E27</f>
        <v>26416</v>
      </c>
      <c r="F33" s="238">
        <f>F4+F27</f>
        <v>30305</v>
      </c>
      <c r="G33" s="239">
        <f aca="true" t="shared" si="4" ref="G33:G34">F33-E33</f>
        <v>3889</v>
      </c>
      <c r="H33" s="2"/>
    </row>
    <row r="34" spans="2:7" ht="12.75" customHeight="1">
      <c r="B34" s="251"/>
      <c r="C34" s="436" t="s">
        <v>6</v>
      </c>
      <c r="D34" s="436"/>
      <c r="E34" s="252">
        <f>E14-E28</f>
        <v>26416</v>
      </c>
      <c r="F34" s="252">
        <f>F14-F28</f>
        <v>29213</v>
      </c>
      <c r="G34" s="239">
        <f t="shared" si="4"/>
        <v>2797</v>
      </c>
    </row>
    <row r="35" spans="2:8" ht="12.75" customHeight="1" thickBot="1">
      <c r="B35" s="332"/>
      <c r="C35" s="373"/>
      <c r="D35" s="373"/>
      <c r="E35" s="371"/>
      <c r="F35" s="371"/>
      <c r="G35" s="335"/>
      <c r="H35" s="3"/>
    </row>
    <row r="36" spans="2:7" ht="39" thickTop="1">
      <c r="B36" s="230"/>
      <c r="C36" s="431" t="s">
        <v>155</v>
      </c>
      <c r="D36" s="431"/>
      <c r="E36" s="319"/>
      <c r="F36" s="319"/>
      <c r="G36" s="320" t="s">
        <v>205</v>
      </c>
    </row>
    <row r="37" spans="2:7" ht="12.75" customHeight="1">
      <c r="B37" s="257">
        <v>7</v>
      </c>
      <c r="C37" s="271" t="s">
        <v>133</v>
      </c>
      <c r="D37" s="271"/>
      <c r="E37" s="196"/>
      <c r="F37" s="321"/>
      <c r="G37" s="284">
        <f>G43-G38+G60</f>
        <v>533</v>
      </c>
    </row>
    <row r="38" spans="2:7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</row>
    <row r="39" spans="2:7" ht="27" customHeight="1">
      <c r="B39" s="236"/>
      <c r="C39" s="262"/>
      <c r="D39" s="346" t="s">
        <v>101</v>
      </c>
      <c r="E39" s="347"/>
      <c r="F39" s="348"/>
      <c r="G39" s="261">
        <v>0</v>
      </c>
    </row>
    <row r="40" spans="2:7" ht="12.75" customHeight="1">
      <c r="B40" s="236"/>
      <c r="C40" s="262"/>
      <c r="D40" s="162" t="s">
        <v>102</v>
      </c>
      <c r="E40" s="196"/>
      <c r="F40" s="321"/>
      <c r="G40" s="261">
        <v>0</v>
      </c>
    </row>
    <row r="41" spans="2:7" ht="26.25" customHeight="1">
      <c r="B41" s="236"/>
      <c r="C41" s="262"/>
      <c r="D41" s="346" t="s">
        <v>114</v>
      </c>
      <c r="E41" s="347"/>
      <c r="F41" s="348"/>
      <c r="G41" s="261">
        <v>0</v>
      </c>
    </row>
    <row r="42" spans="2:7" ht="12.75" customHeight="1">
      <c r="B42" s="236"/>
      <c r="C42" s="162"/>
      <c r="D42" s="162"/>
      <c r="E42" s="196"/>
      <c r="F42" s="321"/>
      <c r="G42" s="261"/>
    </row>
    <row r="43" spans="2:7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100</v>
      </c>
    </row>
    <row r="44" spans="2:7" ht="12.75" customHeight="1">
      <c r="B44" s="236"/>
      <c r="C44" s="162"/>
      <c r="D44" s="162" t="s">
        <v>22</v>
      </c>
      <c r="E44" s="196"/>
      <c r="F44" s="321"/>
      <c r="G44" s="261">
        <v>0</v>
      </c>
    </row>
    <row r="45" spans="2:7" ht="12.75" customHeight="1">
      <c r="B45" s="236"/>
      <c r="C45" s="162"/>
      <c r="D45" s="162" t="s">
        <v>106</v>
      </c>
      <c r="E45" s="196"/>
      <c r="F45" s="321"/>
      <c r="G45" s="261">
        <v>0</v>
      </c>
    </row>
    <row r="46" spans="2:7" ht="12.75" customHeight="1">
      <c r="B46" s="236"/>
      <c r="C46" s="162"/>
      <c r="D46" s="162" t="s">
        <v>107</v>
      </c>
      <c r="E46" s="196"/>
      <c r="F46" s="321"/>
      <c r="G46" s="261">
        <v>100</v>
      </c>
    </row>
    <row r="47" spans="2:7" ht="12.75" customHeight="1">
      <c r="B47" s="236"/>
      <c r="C47" s="162"/>
      <c r="D47" s="162"/>
      <c r="E47" s="196"/>
      <c r="F47" s="321"/>
      <c r="G47" s="261"/>
    </row>
    <row r="48" spans="2:7" ht="12.75" customHeight="1">
      <c r="B48" s="257">
        <v>10</v>
      </c>
      <c r="C48" s="271" t="s">
        <v>124</v>
      </c>
      <c r="D48" s="271"/>
      <c r="E48" s="196"/>
      <c r="F48" s="321"/>
      <c r="G48" s="284">
        <f>G49-G52</f>
        <v>0</v>
      </c>
    </row>
    <row r="49" spans="2:7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</row>
    <row r="50" spans="2:7" ht="12.75" customHeight="1">
      <c r="B50" s="259"/>
      <c r="C50" s="162"/>
      <c r="D50" s="162" t="s">
        <v>115</v>
      </c>
      <c r="E50" s="196"/>
      <c r="F50" s="321"/>
      <c r="G50" s="261">
        <v>0</v>
      </c>
    </row>
    <row r="51" spans="2:7" ht="12.75" customHeight="1">
      <c r="B51" s="280"/>
      <c r="C51" s="264"/>
      <c r="D51" s="264" t="s">
        <v>109</v>
      </c>
      <c r="E51" s="265"/>
      <c r="F51" s="322"/>
      <c r="G51" s="266">
        <v>0</v>
      </c>
    </row>
    <row r="52" spans="2:7" ht="12.75" customHeight="1">
      <c r="B52" s="323">
        <v>12</v>
      </c>
      <c r="C52" s="451" t="s">
        <v>140</v>
      </c>
      <c r="D52" s="451"/>
      <c r="E52" s="269"/>
      <c r="F52" s="374"/>
      <c r="G52" s="375">
        <f>G53+G54</f>
        <v>0</v>
      </c>
    </row>
    <row r="53" spans="2:7" ht="12.75" customHeight="1">
      <c r="B53" s="236"/>
      <c r="C53" s="162"/>
      <c r="D53" s="162" t="s">
        <v>110</v>
      </c>
      <c r="E53" s="196"/>
      <c r="F53" s="321"/>
      <c r="G53" s="261">
        <v>0</v>
      </c>
    </row>
    <row r="54" spans="2:7" ht="12.75" customHeight="1">
      <c r="B54" s="236"/>
      <c r="C54" s="162"/>
      <c r="D54" s="162" t="s">
        <v>111</v>
      </c>
      <c r="E54" s="196"/>
      <c r="F54" s="321"/>
      <c r="G54" s="261">
        <v>0</v>
      </c>
    </row>
    <row r="55" spans="2:7" ht="12.75" customHeight="1">
      <c r="B55" s="236"/>
      <c r="C55" s="262"/>
      <c r="D55" s="162"/>
      <c r="E55" s="196"/>
      <c r="F55" s="321"/>
      <c r="G55" s="261"/>
    </row>
    <row r="56" spans="2:7" ht="12.75" customHeight="1">
      <c r="B56" s="257">
        <v>13</v>
      </c>
      <c r="C56" s="430" t="s">
        <v>125</v>
      </c>
      <c r="D56" s="430"/>
      <c r="E56" s="196"/>
      <c r="F56" s="321"/>
      <c r="G56" s="284">
        <f>F26+100</f>
        <v>659</v>
      </c>
    </row>
    <row r="57" spans="2:7" ht="12.75" customHeight="1">
      <c r="B57" s="236"/>
      <c r="C57" s="262"/>
      <c r="D57" s="262"/>
      <c r="E57" s="196"/>
      <c r="F57" s="321"/>
      <c r="G57" s="261"/>
    </row>
    <row r="58" spans="2:7" ht="12.75" customHeight="1">
      <c r="B58" s="257">
        <v>14</v>
      </c>
      <c r="C58" s="433" t="s">
        <v>280</v>
      </c>
      <c r="D58" s="433"/>
      <c r="E58" s="196"/>
      <c r="F58" s="321"/>
      <c r="G58" s="284">
        <f>F30-100</f>
        <v>-100</v>
      </c>
    </row>
    <row r="59" spans="2:7" ht="12.75" customHeight="1">
      <c r="B59" s="236"/>
      <c r="C59" s="262"/>
      <c r="D59" s="162"/>
      <c r="E59" s="196"/>
      <c r="F59" s="321"/>
      <c r="G59" s="261"/>
    </row>
    <row r="60" spans="2:7" ht="12.75" customHeight="1">
      <c r="B60" s="259">
        <v>15</v>
      </c>
      <c r="C60" s="432" t="s">
        <v>126</v>
      </c>
      <c r="D60" s="432"/>
      <c r="E60" s="196"/>
      <c r="F60" s="196"/>
      <c r="G60" s="261">
        <v>433</v>
      </c>
    </row>
    <row r="61" spans="2:7" ht="12.75" customHeight="1">
      <c r="B61" s="236"/>
      <c r="C61" s="264"/>
      <c r="D61" s="264"/>
      <c r="E61" s="265"/>
      <c r="F61" s="322"/>
      <c r="G61" s="266"/>
    </row>
    <row r="62" spans="2:7" ht="12.75" customHeight="1">
      <c r="B62" s="244">
        <v>16</v>
      </c>
      <c r="C62" s="275" t="s">
        <v>127</v>
      </c>
      <c r="D62" s="276"/>
      <c r="E62" s="300"/>
      <c r="F62" s="325"/>
      <c r="G62" s="279">
        <f>G37-G48+G56+G58</f>
        <v>1092</v>
      </c>
    </row>
    <row r="63" spans="2:7" ht="12.75" customHeight="1">
      <c r="B63" s="280">
        <v>17</v>
      </c>
      <c r="C63" s="281" t="s">
        <v>128</v>
      </c>
      <c r="D63" s="281"/>
      <c r="E63" s="265"/>
      <c r="F63" s="322"/>
      <c r="G63" s="338">
        <f>G62-F32</f>
        <v>0</v>
      </c>
    </row>
    <row r="64" spans="2:7" ht="12.75" customHeight="1" thickBot="1">
      <c r="B64" s="332"/>
      <c r="C64" s="332"/>
      <c r="D64" s="333"/>
      <c r="E64" s="334"/>
      <c r="F64" s="334"/>
      <c r="G64" s="335"/>
    </row>
    <row r="65" spans="2:8" ht="26.25" customHeight="1" thickTop="1">
      <c r="B65" s="230"/>
      <c r="C65" s="431" t="s">
        <v>149</v>
      </c>
      <c r="D65" s="431"/>
      <c r="E65" s="319"/>
      <c r="F65" s="319"/>
      <c r="G65" s="320" t="s">
        <v>205</v>
      </c>
      <c r="H65" s="40"/>
    </row>
    <row r="66" spans="2:7" ht="12.75" customHeight="1">
      <c r="B66" s="233">
        <v>18</v>
      </c>
      <c r="C66" s="429" t="s">
        <v>135</v>
      </c>
      <c r="D66" s="429"/>
      <c r="E66" s="196"/>
      <c r="F66" s="196"/>
      <c r="G66" s="258">
        <f>F32*(-1)</f>
        <v>-1092</v>
      </c>
    </row>
    <row r="67" spans="2:7" ht="12.75" customHeight="1">
      <c r="B67" s="236"/>
      <c r="C67" s="262"/>
      <c r="D67" s="262"/>
      <c r="E67" s="196"/>
      <c r="F67" s="196"/>
      <c r="G67" s="283"/>
    </row>
    <row r="68" spans="2:7" ht="12.75" customHeight="1">
      <c r="B68" s="257">
        <v>19</v>
      </c>
      <c r="C68" s="271" t="s">
        <v>129</v>
      </c>
      <c r="D68" s="339"/>
      <c r="E68" s="196"/>
      <c r="F68" s="326"/>
      <c r="G68" s="284">
        <f>G69+G70+G73+G76</f>
        <v>658</v>
      </c>
    </row>
    <row r="69" spans="2:7" ht="12.75" customHeight="1">
      <c r="B69" s="236"/>
      <c r="C69" s="240"/>
      <c r="D69" s="162" t="s">
        <v>68</v>
      </c>
      <c r="E69" s="196"/>
      <c r="F69" s="326"/>
      <c r="G69" s="261">
        <f>G60</f>
        <v>433</v>
      </c>
    </row>
    <row r="70" spans="2:7" ht="12.75" customHeight="1">
      <c r="B70" s="236"/>
      <c r="C70" s="262"/>
      <c r="D70" s="162" t="s">
        <v>23</v>
      </c>
      <c r="E70" s="196"/>
      <c r="F70" s="326"/>
      <c r="G70" s="261">
        <f>G71-G72</f>
        <v>0</v>
      </c>
    </row>
    <row r="71" spans="2:7" ht="12.75" customHeight="1">
      <c r="B71" s="236"/>
      <c r="C71" s="262"/>
      <c r="D71" s="162" t="s">
        <v>78</v>
      </c>
      <c r="E71" s="196"/>
      <c r="F71" s="326"/>
      <c r="G71" s="261">
        <v>0</v>
      </c>
    </row>
    <row r="72" spans="2:7" ht="12.75" customHeight="1">
      <c r="B72" s="233"/>
      <c r="C72" s="262"/>
      <c r="D72" s="162" t="s">
        <v>116</v>
      </c>
      <c r="E72" s="196"/>
      <c r="F72" s="326"/>
      <c r="G72" s="261">
        <v>0</v>
      </c>
    </row>
    <row r="73" spans="2:7" ht="12.75" customHeight="1">
      <c r="B73" s="236"/>
      <c r="C73" s="262"/>
      <c r="D73" s="162" t="s">
        <v>24</v>
      </c>
      <c r="E73" s="196"/>
      <c r="F73" s="326"/>
      <c r="G73" s="261">
        <f>G74-G75</f>
        <v>0</v>
      </c>
    </row>
    <row r="74" spans="2:7" ht="12.75" customHeight="1">
      <c r="B74" s="236"/>
      <c r="C74" s="262"/>
      <c r="D74" s="162" t="s">
        <v>117</v>
      </c>
      <c r="E74" s="196"/>
      <c r="F74" s="326"/>
      <c r="G74" s="261">
        <f>G46-100</f>
        <v>0</v>
      </c>
    </row>
    <row r="75" spans="2:7" ht="12.75" customHeight="1">
      <c r="B75" s="236"/>
      <c r="C75" s="262"/>
      <c r="D75" s="162" t="s">
        <v>118</v>
      </c>
      <c r="E75" s="196"/>
      <c r="F75" s="326"/>
      <c r="G75" s="261">
        <v>0</v>
      </c>
    </row>
    <row r="76" spans="2:7" ht="12.75" customHeight="1">
      <c r="B76" s="236"/>
      <c r="C76" s="162"/>
      <c r="D76" s="162" t="s">
        <v>80</v>
      </c>
      <c r="E76" s="196"/>
      <c r="F76" s="326"/>
      <c r="G76" s="261">
        <f>F27+100</f>
        <v>225</v>
      </c>
    </row>
    <row r="77" spans="2:7" ht="12.75" customHeight="1">
      <c r="B77" s="236"/>
      <c r="C77" s="162"/>
      <c r="D77" s="162"/>
      <c r="E77" s="196"/>
      <c r="F77" s="326"/>
      <c r="G77" s="258"/>
    </row>
    <row r="78" spans="2:7" ht="12.75" customHeight="1">
      <c r="B78" s="257">
        <v>20</v>
      </c>
      <c r="C78" s="430" t="s">
        <v>130</v>
      </c>
      <c r="D78" s="430"/>
      <c r="E78" s="196"/>
      <c r="F78" s="326"/>
      <c r="G78" s="284">
        <f>G79+G80+G83+G84+G85</f>
        <v>434</v>
      </c>
    </row>
    <row r="79" spans="2:7" ht="12.75" customHeight="1">
      <c r="B79" s="236"/>
      <c r="C79" s="162"/>
      <c r="D79" s="162" t="s">
        <v>81</v>
      </c>
      <c r="E79" s="286"/>
      <c r="F79" s="340"/>
      <c r="G79" s="261">
        <f>F28</f>
        <v>434</v>
      </c>
    </row>
    <row r="80" spans="2:7" ht="12.75" customHeight="1">
      <c r="B80" s="236"/>
      <c r="C80" s="162"/>
      <c r="D80" s="162" t="s">
        <v>82</v>
      </c>
      <c r="E80" s="196"/>
      <c r="F80" s="326"/>
      <c r="G80" s="261">
        <f>G81+G82</f>
        <v>0</v>
      </c>
    </row>
    <row r="81" spans="2:7" ht="12.75" customHeight="1">
      <c r="B81" s="236"/>
      <c r="C81" s="162"/>
      <c r="D81" s="162" t="s">
        <v>95</v>
      </c>
      <c r="E81" s="196"/>
      <c r="F81" s="326"/>
      <c r="G81" s="261">
        <v>0</v>
      </c>
    </row>
    <row r="82" spans="2:7" ht="12.75" customHeight="1">
      <c r="B82" s="236"/>
      <c r="C82" s="162"/>
      <c r="D82" s="162" t="s">
        <v>96</v>
      </c>
      <c r="E82" s="196"/>
      <c r="F82" s="326"/>
      <c r="G82" s="261">
        <v>0</v>
      </c>
    </row>
    <row r="83" spans="2:7" ht="12.75" customHeight="1">
      <c r="B83" s="236"/>
      <c r="C83" s="162"/>
      <c r="D83" s="162" t="s">
        <v>83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84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166</v>
      </c>
      <c r="E85" s="196"/>
      <c r="F85" s="326"/>
      <c r="G85" s="261">
        <v>0</v>
      </c>
    </row>
    <row r="86" spans="2:7" ht="12.75" customHeight="1">
      <c r="B86" s="236"/>
      <c r="C86" s="162"/>
      <c r="D86" s="162"/>
      <c r="E86" s="196"/>
      <c r="F86" s="326"/>
      <c r="G86" s="261"/>
    </row>
    <row r="87" spans="2:7" ht="12.75" customHeight="1">
      <c r="B87" s="257">
        <v>21</v>
      </c>
      <c r="C87" s="430" t="s">
        <v>134</v>
      </c>
      <c r="D87" s="430"/>
      <c r="E87" s="196"/>
      <c r="F87" s="326"/>
      <c r="G87" s="284">
        <f>G88+G89</f>
        <v>0</v>
      </c>
    </row>
    <row r="88" spans="2:7" ht="12.75" customHeight="1">
      <c r="B88" s="236"/>
      <c r="C88" s="162"/>
      <c r="D88" s="162" t="s">
        <v>159</v>
      </c>
      <c r="E88" s="196"/>
      <c r="F88" s="326"/>
      <c r="G88" s="261">
        <f>-G63</f>
        <v>0</v>
      </c>
    </row>
    <row r="89" spans="2:7" ht="12.75" customHeight="1">
      <c r="B89" s="236"/>
      <c r="C89" s="162"/>
      <c r="D89" s="162" t="s">
        <v>160</v>
      </c>
      <c r="E89" s="196"/>
      <c r="F89" s="326"/>
      <c r="G89" s="261">
        <f>G91-(G66+G68+G78)-G88</f>
        <v>0</v>
      </c>
    </row>
    <row r="90" spans="2:7" ht="12.75" customHeight="1">
      <c r="B90" s="236"/>
      <c r="C90" s="162"/>
      <c r="D90" s="162"/>
      <c r="E90" s="196"/>
      <c r="F90" s="326"/>
      <c r="G90" s="261"/>
    </row>
    <row r="91" spans="2:7" ht="12.75" customHeight="1">
      <c r="B91" s="244">
        <v>22</v>
      </c>
      <c r="C91" s="275" t="s">
        <v>176</v>
      </c>
      <c r="D91" s="275"/>
      <c r="E91" s="277"/>
      <c r="F91" s="341"/>
      <c r="G91" s="279">
        <v>0</v>
      </c>
    </row>
    <row r="92" spans="5:7" ht="12.75" customHeight="1">
      <c r="E92" s="1"/>
      <c r="F92" s="1"/>
      <c r="G92" s="1"/>
    </row>
    <row r="93" spans="5:7" ht="12.75" customHeight="1">
      <c r="E93" s="1"/>
      <c r="F93" s="1"/>
      <c r="G93" s="18"/>
    </row>
    <row r="94" spans="5:7" ht="12.75" customHeight="1">
      <c r="E94" s="1"/>
      <c r="F94" s="1"/>
      <c r="G94" s="1"/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ht="12.75" customHeight="1">
      <c r="G119" s="40"/>
    </row>
    <row r="120" ht="12.75" customHeight="1">
      <c r="G120" s="40"/>
    </row>
    <row r="121" ht="12.75" customHeight="1">
      <c r="G121" s="40"/>
    </row>
    <row r="122" ht="12.75" customHeight="1">
      <c r="G122" s="40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>
      <c r="G135" s="40"/>
    </row>
    <row r="136" ht="12.75">
      <c r="G136" s="40"/>
    </row>
  </sheetData>
  <mergeCells count="21">
    <mergeCell ref="C87:D87"/>
    <mergeCell ref="C56:D56"/>
    <mergeCell ref="C38:D38"/>
    <mergeCell ref="C36:D36"/>
    <mergeCell ref="C78:D78"/>
    <mergeCell ref="C66:D66"/>
    <mergeCell ref="C65:D65"/>
    <mergeCell ref="C58:D58"/>
    <mergeCell ref="C60:D60"/>
    <mergeCell ref="C3:D3"/>
    <mergeCell ref="C43:D43"/>
    <mergeCell ref="C49:D49"/>
    <mergeCell ref="C52:D52"/>
    <mergeCell ref="C4:D4"/>
    <mergeCell ref="C24:D24"/>
    <mergeCell ref="C26:D26"/>
    <mergeCell ref="C30:D30"/>
    <mergeCell ref="C34:D34"/>
    <mergeCell ref="C14:D14"/>
    <mergeCell ref="C32:D32"/>
    <mergeCell ref="C33:D33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1"/>
  <rowBreaks count="1" manualBreakCount="1">
    <brk id="51" min="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I136"/>
  <sheetViews>
    <sheetView showGridLines="0" view="pageBreakPreview" zoomScale="80" zoomScaleSheetLayoutView="80" workbookViewId="0" topLeftCell="A61">
      <selection activeCell="E7" sqref="E7:E17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7109375" style="40" customWidth="1"/>
    <col min="7" max="7" width="10.7109375" style="42" customWidth="1"/>
    <col min="8" max="16384" width="9.140625" style="1" customWidth="1"/>
  </cols>
  <sheetData>
    <row r="1" spans="2:7" s="31" customFormat="1" ht="15">
      <c r="B1" s="289"/>
      <c r="C1" s="290" t="s">
        <v>157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E5+E6+E12</f>
        <v>723</v>
      </c>
      <c r="F4" s="234">
        <f>F5+F6+F12</f>
        <v>791</v>
      </c>
      <c r="G4" s="235">
        <f aca="true" t="shared" si="0" ref="G4:G12">F4-E4</f>
        <v>68</v>
      </c>
    </row>
    <row r="5" spans="2:7" ht="12.75" customHeight="1">
      <c r="B5" s="236"/>
      <c r="C5" s="237" t="s">
        <v>0</v>
      </c>
      <c r="D5" s="237" t="s">
        <v>69</v>
      </c>
      <c r="E5" s="238">
        <v>0</v>
      </c>
      <c r="F5" s="238">
        <v>0</v>
      </c>
      <c r="G5" s="239">
        <f t="shared" si="0"/>
        <v>0</v>
      </c>
    </row>
    <row r="6" spans="2:7" ht="12.75" customHeight="1">
      <c r="B6" s="236"/>
      <c r="C6" s="237"/>
      <c r="D6" s="237" t="s">
        <v>30</v>
      </c>
      <c r="E6" s="238">
        <f>SUM(E7:E11)</f>
        <v>461</v>
      </c>
      <c r="F6" s="238">
        <f>SUM(F7:F11)</f>
        <v>526</v>
      </c>
      <c r="G6" s="239">
        <f t="shared" si="0"/>
        <v>65</v>
      </c>
    </row>
    <row r="7" spans="2:7" ht="12.75" customHeight="1">
      <c r="B7" s="236"/>
      <c r="C7" s="237"/>
      <c r="D7" s="240" t="s">
        <v>44</v>
      </c>
      <c r="E7" s="238">
        <v>0</v>
      </c>
      <c r="F7" s="238">
        <v>0</v>
      </c>
      <c r="G7" s="239">
        <f t="shared" si="0"/>
        <v>0</v>
      </c>
    </row>
    <row r="8" spans="2:8" ht="12.75" customHeight="1">
      <c r="B8" s="236"/>
      <c r="C8" s="237"/>
      <c r="D8" s="240" t="s">
        <v>40</v>
      </c>
      <c r="E8" s="238">
        <v>33</v>
      </c>
      <c r="F8" s="238">
        <v>47</v>
      </c>
      <c r="G8" s="239">
        <f t="shared" si="0"/>
        <v>14</v>
      </c>
      <c r="H8" s="17"/>
    </row>
    <row r="9" spans="2:7" ht="12.75" customHeight="1">
      <c r="B9" s="236"/>
      <c r="C9" s="237"/>
      <c r="D9" s="240" t="s">
        <v>41</v>
      </c>
      <c r="E9" s="238">
        <v>0</v>
      </c>
      <c r="F9" s="238">
        <v>0</v>
      </c>
      <c r="G9" s="239">
        <f t="shared" si="0"/>
        <v>0</v>
      </c>
    </row>
    <row r="10" spans="2:7" ht="12.75" customHeight="1">
      <c r="B10" s="236"/>
      <c r="C10" s="237"/>
      <c r="D10" s="240" t="s">
        <v>42</v>
      </c>
      <c r="E10" s="238">
        <v>0</v>
      </c>
      <c r="F10" s="238">
        <v>0</v>
      </c>
      <c r="G10" s="239">
        <f t="shared" si="0"/>
        <v>0</v>
      </c>
    </row>
    <row r="11" spans="2:7" ht="12.75" customHeight="1">
      <c r="B11" s="236"/>
      <c r="C11" s="237"/>
      <c r="D11" s="240" t="s">
        <v>43</v>
      </c>
      <c r="E11" s="238">
        <v>428</v>
      </c>
      <c r="F11" s="238">
        <v>479</v>
      </c>
      <c r="G11" s="239">
        <f t="shared" si="0"/>
        <v>51</v>
      </c>
    </row>
    <row r="12" spans="2:7" ht="12.75" customHeight="1">
      <c r="B12" s="236"/>
      <c r="C12" s="237"/>
      <c r="D12" s="237" t="s">
        <v>31</v>
      </c>
      <c r="E12" s="238">
        <v>262</v>
      </c>
      <c r="F12" s="238">
        <v>265</v>
      </c>
      <c r="G12" s="242">
        <f t="shared" si="0"/>
        <v>3</v>
      </c>
    </row>
    <row r="13" spans="2:7" ht="12.75" customHeight="1">
      <c r="B13" s="233"/>
      <c r="C13" s="237"/>
      <c r="D13" s="237"/>
      <c r="E13" s="238"/>
      <c r="F13" s="238"/>
      <c r="G13" s="235"/>
    </row>
    <row r="14" spans="2:7" ht="12.75" customHeight="1">
      <c r="B14" s="233">
        <v>2</v>
      </c>
      <c r="C14" s="429" t="s">
        <v>120</v>
      </c>
      <c r="D14" s="429"/>
      <c r="E14" s="243">
        <f>E15+E20</f>
        <v>794</v>
      </c>
      <c r="F14" s="243">
        <f>F15+F20</f>
        <v>626</v>
      </c>
      <c r="G14" s="329">
        <f aca="true" t="shared" si="1" ref="G14:G22">F14-E14</f>
        <v>-168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793</v>
      </c>
      <c r="F15" s="238">
        <f>F16+F17+F18+F19</f>
        <v>621</v>
      </c>
      <c r="G15" s="239">
        <f t="shared" si="1"/>
        <v>-172</v>
      </c>
    </row>
    <row r="16" spans="2:7" ht="12.75" customHeight="1">
      <c r="B16" s="236"/>
      <c r="C16" s="237"/>
      <c r="D16" s="240" t="s">
        <v>34</v>
      </c>
      <c r="E16" s="238">
        <f>439+91-1</f>
        <v>529</v>
      </c>
      <c r="F16" s="238">
        <f>291+95</f>
        <v>386</v>
      </c>
      <c r="G16" s="239">
        <f t="shared" si="1"/>
        <v>-143</v>
      </c>
    </row>
    <row r="17" spans="2:7" ht="12.75" customHeight="1">
      <c r="B17" s="236"/>
      <c r="C17" s="237"/>
      <c r="D17" s="240" t="s">
        <v>35</v>
      </c>
      <c r="E17" s="238">
        <v>264</v>
      </c>
      <c r="F17" s="238">
        <v>235</v>
      </c>
      <c r="G17" s="239">
        <f t="shared" si="1"/>
        <v>-29</v>
      </c>
    </row>
    <row r="18" spans="2:7" ht="12.75" customHeight="1">
      <c r="B18" s="236"/>
      <c r="C18" s="237"/>
      <c r="D18" s="240" t="s">
        <v>36</v>
      </c>
      <c r="E18" s="238">
        <v>0</v>
      </c>
      <c r="F18" s="238">
        <v>0</v>
      </c>
      <c r="G18" s="239">
        <f t="shared" si="1"/>
        <v>0</v>
      </c>
    </row>
    <row r="19" spans="2:7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</row>
    <row r="20" spans="2:7" ht="12.75" customHeight="1">
      <c r="B20" s="236"/>
      <c r="C20" s="237"/>
      <c r="D20" s="237" t="s">
        <v>33</v>
      </c>
      <c r="E20" s="238">
        <f>E21+E22</f>
        <v>1</v>
      </c>
      <c r="F20" s="238">
        <f>F21+F22</f>
        <v>5</v>
      </c>
      <c r="G20" s="239">
        <f t="shared" si="1"/>
        <v>4</v>
      </c>
    </row>
    <row r="21" spans="2:8" ht="12.75" customHeight="1">
      <c r="B21" s="236"/>
      <c r="C21" s="237"/>
      <c r="D21" s="240" t="s">
        <v>38</v>
      </c>
      <c r="E21" s="238">
        <v>1</v>
      </c>
      <c r="F21" s="238">
        <v>5</v>
      </c>
      <c r="G21" s="239">
        <f t="shared" si="1"/>
        <v>4</v>
      </c>
      <c r="H21" s="18"/>
    </row>
    <row r="22" spans="2:7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</row>
    <row r="23" spans="2:7" ht="12.75" customHeight="1">
      <c r="B23" s="233"/>
      <c r="C23" s="237"/>
      <c r="D23" s="237"/>
      <c r="E23" s="370"/>
      <c r="F23" s="370"/>
      <c r="G23" s="242"/>
    </row>
    <row r="24" spans="2:7" ht="12.75" customHeight="1">
      <c r="B24" s="244">
        <v>3</v>
      </c>
      <c r="C24" s="434" t="s">
        <v>121</v>
      </c>
      <c r="D24" s="435"/>
      <c r="E24" s="245">
        <f>E4-E14</f>
        <v>-71</v>
      </c>
      <c r="F24" s="245">
        <f>F4-F14</f>
        <v>165</v>
      </c>
      <c r="G24" s="246">
        <f>F24-E24</f>
        <v>236</v>
      </c>
    </row>
    <row r="25" spans="2:7" ht="12.75" customHeight="1">
      <c r="B25" s="233"/>
      <c r="C25" s="247"/>
      <c r="D25" s="247"/>
      <c r="E25" s="238"/>
      <c r="F25" s="238"/>
      <c r="G25" s="235"/>
    </row>
    <row r="26" spans="2:7" ht="12.75" customHeight="1">
      <c r="B26" s="233">
        <v>4</v>
      </c>
      <c r="C26" s="430" t="s">
        <v>167</v>
      </c>
      <c r="D26" s="430"/>
      <c r="E26" s="243">
        <f>E27+E28</f>
        <v>0</v>
      </c>
      <c r="F26" s="243">
        <f>F27+F28</f>
        <v>-7</v>
      </c>
      <c r="G26" s="235">
        <f>F26-E26</f>
        <v>-7</v>
      </c>
    </row>
    <row r="27" spans="2:8" ht="12.75" customHeight="1">
      <c r="B27" s="236"/>
      <c r="C27" s="237"/>
      <c r="D27" s="237" t="s">
        <v>3</v>
      </c>
      <c r="E27" s="238">
        <v>0</v>
      </c>
      <c r="F27" s="238">
        <v>-11</v>
      </c>
      <c r="G27" s="239">
        <f aca="true" t="shared" si="2" ref="G27:G28">F27-E27</f>
        <v>-11</v>
      </c>
      <c r="H27" s="17"/>
    </row>
    <row r="28" spans="2:8" ht="12.75" customHeight="1">
      <c r="B28" s="236"/>
      <c r="C28" s="237"/>
      <c r="D28" s="237" t="s">
        <v>4</v>
      </c>
      <c r="E28" s="238">
        <v>0</v>
      </c>
      <c r="F28" s="238">
        <v>4</v>
      </c>
      <c r="G28" s="239">
        <f t="shared" si="2"/>
        <v>4</v>
      </c>
      <c r="H28" s="17"/>
    </row>
    <row r="29" spans="2:8" ht="12.75" customHeight="1">
      <c r="B29" s="233"/>
      <c r="C29" s="237"/>
      <c r="D29" s="237"/>
      <c r="E29" s="238"/>
      <c r="F29" s="243"/>
      <c r="G29" s="235"/>
      <c r="H29" s="17"/>
    </row>
    <row r="30" spans="2:8" ht="12.75" customHeight="1">
      <c r="B30" s="233">
        <v>5</v>
      </c>
      <c r="C30" s="433" t="s">
        <v>280</v>
      </c>
      <c r="D30" s="433"/>
      <c r="E30" s="243">
        <v>0</v>
      </c>
      <c r="F30" s="243">
        <v>0</v>
      </c>
      <c r="G30" s="239">
        <f aca="true" t="shared" si="3" ref="G30">F30-E30</f>
        <v>0</v>
      </c>
      <c r="H30" s="17"/>
    </row>
    <row r="31" spans="2:7" ht="12.75" customHeight="1">
      <c r="B31" s="233"/>
      <c r="C31" s="237"/>
      <c r="D31" s="240"/>
      <c r="E31" s="238"/>
      <c r="F31" s="238"/>
      <c r="G31" s="235"/>
    </row>
    <row r="32" spans="2:7" ht="12.75" customHeight="1">
      <c r="B32" s="244">
        <v>6</v>
      </c>
      <c r="C32" s="434" t="s">
        <v>123</v>
      </c>
      <c r="D32" s="435"/>
      <c r="E32" s="245">
        <f>E24+E26</f>
        <v>-71</v>
      </c>
      <c r="F32" s="245">
        <f>F24+F26</f>
        <v>158</v>
      </c>
      <c r="G32" s="246">
        <f>F32-E32</f>
        <v>229</v>
      </c>
    </row>
    <row r="33" spans="2:9" ht="12.75" customHeight="1">
      <c r="B33" s="236"/>
      <c r="C33" s="433" t="s">
        <v>5</v>
      </c>
      <c r="D33" s="433"/>
      <c r="E33" s="238">
        <f>E4+E27</f>
        <v>723</v>
      </c>
      <c r="F33" s="238">
        <f>F4+F27</f>
        <v>780</v>
      </c>
      <c r="G33" s="239">
        <f aca="true" t="shared" si="4" ref="G33:G34">F33-E33</f>
        <v>57</v>
      </c>
      <c r="I33" s="2"/>
    </row>
    <row r="34" spans="2:7" ht="12.75" customHeight="1">
      <c r="B34" s="251"/>
      <c r="C34" s="436" t="s">
        <v>6</v>
      </c>
      <c r="D34" s="436"/>
      <c r="E34" s="252">
        <f>E14-E28</f>
        <v>794</v>
      </c>
      <c r="F34" s="252">
        <f>F14-F28</f>
        <v>622</v>
      </c>
      <c r="G34" s="239">
        <f t="shared" si="4"/>
        <v>-172</v>
      </c>
    </row>
    <row r="35" spans="2:8" ht="12.75" customHeight="1" thickBot="1">
      <c r="B35" s="332"/>
      <c r="C35" s="373"/>
      <c r="D35" s="373"/>
      <c r="E35" s="371"/>
      <c r="F35" s="371"/>
      <c r="G35" s="335"/>
      <c r="H35" s="3"/>
    </row>
    <row r="36" spans="2:7" ht="26.25" thickTop="1">
      <c r="B36" s="230"/>
      <c r="C36" s="431" t="s">
        <v>155</v>
      </c>
      <c r="D36" s="431"/>
      <c r="E36" s="319"/>
      <c r="F36" s="319"/>
      <c r="G36" s="320" t="s">
        <v>205</v>
      </c>
    </row>
    <row r="37" spans="2:7" ht="12.75" customHeight="1">
      <c r="B37" s="257">
        <v>7</v>
      </c>
      <c r="C37" s="271" t="s">
        <v>133</v>
      </c>
      <c r="D37" s="271"/>
      <c r="E37" s="196"/>
      <c r="F37" s="321"/>
      <c r="G37" s="284">
        <f>G43-G38+G60</f>
        <v>163</v>
      </c>
    </row>
    <row r="38" spans="2:7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</row>
    <row r="39" spans="2:7" ht="24.75" customHeight="1">
      <c r="B39" s="236"/>
      <c r="C39" s="262"/>
      <c r="D39" s="346" t="s">
        <v>101</v>
      </c>
      <c r="E39" s="347"/>
      <c r="F39" s="348"/>
      <c r="G39" s="261">
        <v>0</v>
      </c>
    </row>
    <row r="40" spans="2:7" ht="12.75" customHeight="1">
      <c r="B40" s="236"/>
      <c r="C40" s="262"/>
      <c r="D40" s="162" t="s">
        <v>102</v>
      </c>
      <c r="E40" s="196"/>
      <c r="F40" s="321"/>
      <c r="G40" s="261">
        <v>0</v>
      </c>
    </row>
    <row r="41" spans="2:7" ht="26.25" customHeight="1">
      <c r="B41" s="236"/>
      <c r="C41" s="262"/>
      <c r="D41" s="346" t="s">
        <v>114</v>
      </c>
      <c r="E41" s="347"/>
      <c r="F41" s="348"/>
      <c r="G41" s="261">
        <v>0</v>
      </c>
    </row>
    <row r="42" spans="2:7" ht="12.75" customHeight="1">
      <c r="B42" s="236"/>
      <c r="C42" s="162"/>
      <c r="D42" s="162"/>
      <c r="E42" s="196"/>
      <c r="F42" s="321"/>
      <c r="G42" s="261"/>
    </row>
    <row r="43" spans="2:7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</row>
    <row r="44" spans="2:7" ht="12.75" customHeight="1">
      <c r="B44" s="236"/>
      <c r="C44" s="162"/>
      <c r="D44" s="162" t="s">
        <v>22</v>
      </c>
      <c r="E44" s="196"/>
      <c r="F44" s="321"/>
      <c r="G44" s="261">
        <v>0</v>
      </c>
    </row>
    <row r="45" spans="2:7" ht="12.75" customHeight="1">
      <c r="B45" s="236"/>
      <c r="C45" s="162"/>
      <c r="D45" s="162" t="s">
        <v>106</v>
      </c>
      <c r="E45" s="196"/>
      <c r="F45" s="321"/>
      <c r="G45" s="261">
        <v>0</v>
      </c>
    </row>
    <row r="46" spans="2:7" ht="12.75" customHeight="1">
      <c r="B46" s="236"/>
      <c r="C46" s="162"/>
      <c r="D46" s="162" t="s">
        <v>107</v>
      </c>
      <c r="E46" s="196"/>
      <c r="F46" s="321"/>
      <c r="G46" s="261">
        <v>0</v>
      </c>
    </row>
    <row r="47" spans="2:7" ht="12.75" customHeight="1">
      <c r="B47" s="236"/>
      <c r="C47" s="162"/>
      <c r="D47" s="162"/>
      <c r="E47" s="196"/>
      <c r="F47" s="321"/>
      <c r="G47" s="261"/>
    </row>
    <row r="48" spans="2:7" ht="12.75" customHeight="1">
      <c r="B48" s="257">
        <v>10</v>
      </c>
      <c r="C48" s="271" t="s">
        <v>124</v>
      </c>
      <c r="D48" s="271"/>
      <c r="E48" s="196"/>
      <c r="F48" s="321"/>
      <c r="G48" s="284">
        <f>G49-G52</f>
        <v>0</v>
      </c>
    </row>
    <row r="49" spans="2:7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</row>
    <row r="50" spans="2:7" ht="12.75" customHeight="1">
      <c r="B50" s="259"/>
      <c r="C50" s="162"/>
      <c r="D50" s="162" t="s">
        <v>115</v>
      </c>
      <c r="E50" s="196"/>
      <c r="F50" s="321"/>
      <c r="G50" s="261">
        <v>0</v>
      </c>
    </row>
    <row r="51" spans="2:7" ht="12.75" customHeight="1">
      <c r="B51" s="280"/>
      <c r="C51" s="264"/>
      <c r="D51" s="264" t="s">
        <v>109</v>
      </c>
      <c r="E51" s="265"/>
      <c r="F51" s="322"/>
      <c r="G51" s="266">
        <v>0</v>
      </c>
    </row>
    <row r="52" spans="2:7" ht="12.75" customHeight="1">
      <c r="B52" s="323">
        <v>12</v>
      </c>
      <c r="C52" s="451" t="s">
        <v>140</v>
      </c>
      <c r="D52" s="451"/>
      <c r="E52" s="269"/>
      <c r="F52" s="374"/>
      <c r="G52" s="375">
        <f>G53+G54</f>
        <v>0</v>
      </c>
    </row>
    <row r="53" spans="2:7" ht="26.25" customHeight="1">
      <c r="B53" s="236"/>
      <c r="C53" s="162"/>
      <c r="D53" s="346" t="s">
        <v>110</v>
      </c>
      <c r="E53" s="347"/>
      <c r="F53" s="348"/>
      <c r="G53" s="261">
        <v>0</v>
      </c>
    </row>
    <row r="54" spans="2:7" ht="12.75" customHeight="1">
      <c r="B54" s="236"/>
      <c r="C54" s="162"/>
      <c r="D54" s="162" t="s">
        <v>111</v>
      </c>
      <c r="E54" s="196"/>
      <c r="F54" s="321"/>
      <c r="G54" s="261">
        <v>0</v>
      </c>
    </row>
    <row r="55" spans="2:7" ht="12.75" customHeight="1">
      <c r="B55" s="236"/>
      <c r="C55" s="262"/>
      <c r="D55" s="162"/>
      <c r="E55" s="196"/>
      <c r="F55" s="321"/>
      <c r="G55" s="261"/>
    </row>
    <row r="56" spans="2:7" ht="12.75" customHeight="1">
      <c r="B56" s="257">
        <v>13</v>
      </c>
      <c r="C56" s="430" t="s">
        <v>125</v>
      </c>
      <c r="D56" s="430"/>
      <c r="E56" s="196"/>
      <c r="F56" s="321"/>
      <c r="G56" s="284">
        <f>F26</f>
        <v>-7</v>
      </c>
    </row>
    <row r="57" spans="2:7" ht="12.75" customHeight="1">
      <c r="B57" s="236"/>
      <c r="C57" s="262"/>
      <c r="D57" s="262"/>
      <c r="E57" s="196"/>
      <c r="F57" s="321"/>
      <c r="G57" s="261"/>
    </row>
    <row r="58" spans="2:7" ht="12.75" customHeight="1">
      <c r="B58" s="257">
        <v>14</v>
      </c>
      <c r="C58" s="433" t="s">
        <v>281</v>
      </c>
      <c r="D58" s="433"/>
      <c r="E58" s="196"/>
      <c r="F58" s="321"/>
      <c r="G58" s="284">
        <f>F30</f>
        <v>0</v>
      </c>
    </row>
    <row r="59" spans="2:7" ht="12.75" customHeight="1">
      <c r="B59" s="236"/>
      <c r="C59" s="262"/>
      <c r="D59" s="162"/>
      <c r="E59" s="196"/>
      <c r="F59" s="321"/>
      <c r="G59" s="261"/>
    </row>
    <row r="60" spans="2:7" ht="12.75" customHeight="1">
      <c r="B60" s="259">
        <v>15</v>
      </c>
      <c r="C60" s="432" t="s">
        <v>126</v>
      </c>
      <c r="D60" s="432"/>
      <c r="E60" s="196"/>
      <c r="F60" s="196"/>
      <c r="G60" s="260">
        <v>163</v>
      </c>
    </row>
    <row r="61" spans="2:7" ht="12.75" customHeight="1">
      <c r="B61" s="236"/>
      <c r="C61" s="264"/>
      <c r="D61" s="264"/>
      <c r="E61" s="265"/>
      <c r="F61" s="322"/>
      <c r="G61" s="266"/>
    </row>
    <row r="62" spans="2:7" ht="12.75" customHeight="1">
      <c r="B62" s="244">
        <v>16</v>
      </c>
      <c r="C62" s="275" t="s">
        <v>127</v>
      </c>
      <c r="D62" s="276"/>
      <c r="E62" s="300"/>
      <c r="F62" s="325"/>
      <c r="G62" s="279">
        <f>G37-G48+G56</f>
        <v>156</v>
      </c>
    </row>
    <row r="63" spans="2:7" ht="12.75" customHeight="1">
      <c r="B63" s="280">
        <v>17</v>
      </c>
      <c r="C63" s="281" t="s">
        <v>128</v>
      </c>
      <c r="D63" s="281"/>
      <c r="E63" s="265"/>
      <c r="F63" s="322"/>
      <c r="G63" s="338">
        <f>G62-F32</f>
        <v>-2</v>
      </c>
    </row>
    <row r="64" spans="2:7" ht="12.75" customHeight="1" thickBot="1">
      <c r="B64" s="332"/>
      <c r="C64" s="332"/>
      <c r="D64" s="333"/>
      <c r="E64" s="334"/>
      <c r="F64" s="334"/>
      <c r="G64" s="335"/>
    </row>
    <row r="65" spans="2:8" ht="26.25" customHeight="1" thickTop="1">
      <c r="B65" s="230"/>
      <c r="C65" s="431" t="s">
        <v>149</v>
      </c>
      <c r="D65" s="431"/>
      <c r="E65" s="319"/>
      <c r="F65" s="319"/>
      <c r="G65" s="320" t="s">
        <v>205</v>
      </c>
      <c r="H65" s="40"/>
    </row>
    <row r="66" spans="2:7" ht="12.75" customHeight="1">
      <c r="B66" s="233">
        <v>18</v>
      </c>
      <c r="C66" s="429" t="s">
        <v>135</v>
      </c>
      <c r="D66" s="429"/>
      <c r="E66" s="196"/>
      <c r="F66" s="196"/>
      <c r="G66" s="258">
        <f>F32*(-1)</f>
        <v>-158</v>
      </c>
    </row>
    <row r="67" spans="2:7" ht="12.75" customHeight="1">
      <c r="B67" s="236"/>
      <c r="C67" s="262"/>
      <c r="D67" s="262"/>
      <c r="E67" s="196"/>
      <c r="F67" s="196"/>
      <c r="G67" s="283"/>
    </row>
    <row r="68" spans="2:7" ht="12.75" customHeight="1">
      <c r="B68" s="257">
        <v>19</v>
      </c>
      <c r="C68" s="271" t="s">
        <v>129</v>
      </c>
      <c r="D68" s="339"/>
      <c r="E68" s="196"/>
      <c r="F68" s="326"/>
      <c r="G68" s="284">
        <f>G69+G70+G73+G76</f>
        <v>152</v>
      </c>
    </row>
    <row r="69" spans="2:7" ht="12.75" customHeight="1">
      <c r="B69" s="236"/>
      <c r="C69" s="240"/>
      <c r="D69" s="162" t="s">
        <v>68</v>
      </c>
      <c r="E69" s="196"/>
      <c r="F69" s="326"/>
      <c r="G69" s="261">
        <f>G60</f>
        <v>163</v>
      </c>
    </row>
    <row r="70" spans="2:7" ht="12.75" customHeight="1">
      <c r="B70" s="236"/>
      <c r="C70" s="262"/>
      <c r="D70" s="162" t="s">
        <v>23</v>
      </c>
      <c r="E70" s="196"/>
      <c r="F70" s="326"/>
      <c r="G70" s="261">
        <f>G71-G72</f>
        <v>0</v>
      </c>
    </row>
    <row r="71" spans="2:7" ht="12.75" customHeight="1">
      <c r="B71" s="236"/>
      <c r="C71" s="262"/>
      <c r="D71" s="162" t="s">
        <v>78</v>
      </c>
      <c r="E71" s="196"/>
      <c r="F71" s="326"/>
      <c r="G71" s="261">
        <v>0</v>
      </c>
    </row>
    <row r="72" spans="2:7" ht="12.75" customHeight="1">
      <c r="B72" s="233"/>
      <c r="C72" s="262"/>
      <c r="D72" s="162" t="s">
        <v>116</v>
      </c>
      <c r="E72" s="196"/>
      <c r="F72" s="326"/>
      <c r="G72" s="261">
        <v>0</v>
      </c>
    </row>
    <row r="73" spans="2:7" ht="12.75" customHeight="1">
      <c r="B73" s="236"/>
      <c r="C73" s="262"/>
      <c r="D73" s="162" t="s">
        <v>24</v>
      </c>
      <c r="E73" s="196"/>
      <c r="F73" s="326"/>
      <c r="G73" s="261">
        <f>G74-G75</f>
        <v>0</v>
      </c>
    </row>
    <row r="74" spans="2:7" ht="12.75" customHeight="1">
      <c r="B74" s="236"/>
      <c r="C74" s="262"/>
      <c r="D74" s="162" t="s">
        <v>117</v>
      </c>
      <c r="E74" s="196"/>
      <c r="F74" s="326"/>
      <c r="G74" s="261">
        <v>0</v>
      </c>
    </row>
    <row r="75" spans="2:7" ht="12.75" customHeight="1">
      <c r="B75" s="236"/>
      <c r="C75" s="262"/>
      <c r="D75" s="162" t="s">
        <v>118</v>
      </c>
      <c r="E75" s="196"/>
      <c r="F75" s="326"/>
      <c r="G75" s="261">
        <v>0</v>
      </c>
    </row>
    <row r="76" spans="2:7" ht="12.75" customHeight="1">
      <c r="B76" s="236"/>
      <c r="C76" s="162"/>
      <c r="D76" s="162" t="s">
        <v>80</v>
      </c>
      <c r="E76" s="196"/>
      <c r="F76" s="326"/>
      <c r="G76" s="261">
        <f>F27</f>
        <v>-11</v>
      </c>
    </row>
    <row r="77" spans="2:7" ht="12.75" customHeight="1">
      <c r="B77" s="236"/>
      <c r="C77" s="162"/>
      <c r="D77" s="162"/>
      <c r="E77" s="196"/>
      <c r="F77" s="326"/>
      <c r="G77" s="258"/>
    </row>
    <row r="78" spans="2:7" ht="12.75" customHeight="1">
      <c r="B78" s="257">
        <v>20</v>
      </c>
      <c r="C78" s="430" t="s">
        <v>130</v>
      </c>
      <c r="D78" s="430"/>
      <c r="E78" s="196"/>
      <c r="F78" s="326"/>
      <c r="G78" s="284">
        <f>G79+G80+G83+G84+G85</f>
        <v>4</v>
      </c>
    </row>
    <row r="79" spans="2:7" ht="12.75" customHeight="1">
      <c r="B79" s="236"/>
      <c r="C79" s="162"/>
      <c r="D79" s="162" t="s">
        <v>81</v>
      </c>
      <c r="E79" s="286"/>
      <c r="F79" s="340"/>
      <c r="G79" s="261">
        <f>F28</f>
        <v>4</v>
      </c>
    </row>
    <row r="80" spans="2:7" ht="12.75" customHeight="1">
      <c r="B80" s="236"/>
      <c r="C80" s="162"/>
      <c r="D80" s="162" t="s">
        <v>82</v>
      </c>
      <c r="E80" s="196"/>
      <c r="F80" s="326"/>
      <c r="G80" s="261">
        <f>G81+G82</f>
        <v>0</v>
      </c>
    </row>
    <row r="81" spans="2:7" ht="12.75" customHeight="1">
      <c r="B81" s="236"/>
      <c r="C81" s="162"/>
      <c r="D81" s="162" t="s">
        <v>95</v>
      </c>
      <c r="E81" s="196"/>
      <c r="F81" s="326"/>
      <c r="G81" s="261">
        <v>0</v>
      </c>
    </row>
    <row r="82" spans="2:7" ht="12.75" customHeight="1">
      <c r="B82" s="236"/>
      <c r="C82" s="162"/>
      <c r="D82" s="162" t="s">
        <v>96</v>
      </c>
      <c r="E82" s="196"/>
      <c r="F82" s="326"/>
      <c r="G82" s="261">
        <v>0</v>
      </c>
    </row>
    <row r="83" spans="2:7" ht="12.75" customHeight="1">
      <c r="B83" s="236"/>
      <c r="C83" s="162"/>
      <c r="D83" s="162" t="s">
        <v>83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84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166</v>
      </c>
      <c r="E85" s="196"/>
      <c r="F85" s="326"/>
      <c r="G85" s="261">
        <v>0</v>
      </c>
    </row>
    <row r="86" spans="2:7" ht="12.75" customHeight="1">
      <c r="B86" s="236"/>
      <c r="C86" s="162"/>
      <c r="D86" s="162"/>
      <c r="E86" s="196"/>
      <c r="F86" s="326"/>
      <c r="G86" s="261"/>
    </row>
    <row r="87" spans="2:7" ht="12.75" customHeight="1">
      <c r="B87" s="257">
        <v>21</v>
      </c>
      <c r="C87" s="430" t="s">
        <v>134</v>
      </c>
      <c r="D87" s="430"/>
      <c r="E87" s="196"/>
      <c r="F87" s="326"/>
      <c r="G87" s="284">
        <f>G88+G89</f>
        <v>2</v>
      </c>
    </row>
    <row r="88" spans="2:7" ht="12.75" customHeight="1">
      <c r="B88" s="236"/>
      <c r="C88" s="162"/>
      <c r="D88" s="162" t="s">
        <v>159</v>
      </c>
      <c r="E88" s="196"/>
      <c r="F88" s="326"/>
      <c r="G88" s="261">
        <f>-G63</f>
        <v>2</v>
      </c>
    </row>
    <row r="89" spans="2:7" ht="12.75" customHeight="1">
      <c r="B89" s="236"/>
      <c r="C89" s="162"/>
      <c r="D89" s="162" t="s">
        <v>160</v>
      </c>
      <c r="E89" s="196"/>
      <c r="F89" s="326"/>
      <c r="G89" s="261">
        <f>G91-(G66+G68+G78)-G88</f>
        <v>0</v>
      </c>
    </row>
    <row r="90" spans="2:7" ht="12.75" customHeight="1">
      <c r="B90" s="236"/>
      <c r="C90" s="162"/>
      <c r="D90" s="162"/>
      <c r="E90" s="196"/>
      <c r="F90" s="326"/>
      <c r="G90" s="261"/>
    </row>
    <row r="91" spans="2:7" ht="12.75" customHeight="1">
      <c r="B91" s="244">
        <v>22</v>
      </c>
      <c r="C91" s="275" t="s">
        <v>176</v>
      </c>
      <c r="D91" s="275"/>
      <c r="E91" s="277"/>
      <c r="F91" s="341"/>
      <c r="G91" s="279">
        <v>0</v>
      </c>
    </row>
    <row r="92" spans="2:7" ht="12.75" customHeight="1">
      <c r="B92" s="326"/>
      <c r="C92" s="326"/>
      <c r="D92" s="326"/>
      <c r="E92" s="326"/>
      <c r="F92" s="326"/>
      <c r="G92" s="326"/>
    </row>
    <row r="93" spans="5:7" ht="12.75" customHeight="1">
      <c r="E93" s="1"/>
      <c r="F93" s="1"/>
      <c r="G93" s="1"/>
    </row>
    <row r="94" spans="5:7" ht="12.75" customHeight="1">
      <c r="E94" s="1"/>
      <c r="F94" s="1"/>
      <c r="G94" s="18"/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ht="12.75" customHeight="1">
      <c r="G119" s="40"/>
    </row>
    <row r="120" ht="12.75" customHeight="1">
      <c r="G120" s="40"/>
    </row>
    <row r="121" ht="12.75" customHeight="1">
      <c r="G121" s="40"/>
    </row>
    <row r="122" ht="12.75" customHeight="1">
      <c r="G122" s="40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>
      <c r="G135" s="40"/>
    </row>
    <row r="136" ht="12.75">
      <c r="G136" s="40"/>
    </row>
  </sheetData>
  <mergeCells count="21">
    <mergeCell ref="C3:D3"/>
    <mergeCell ref="C4:D4"/>
    <mergeCell ref="C14:D14"/>
    <mergeCell ref="C24:D24"/>
    <mergeCell ref="C26:D26"/>
    <mergeCell ref="C56:D56"/>
    <mergeCell ref="C58:D58"/>
    <mergeCell ref="C52:D52"/>
    <mergeCell ref="C49:D49"/>
    <mergeCell ref="C30:D30"/>
    <mergeCell ref="C34:D34"/>
    <mergeCell ref="C38:D38"/>
    <mergeCell ref="C32:D32"/>
    <mergeCell ref="C43:D43"/>
    <mergeCell ref="C36:D36"/>
    <mergeCell ref="C33:D33"/>
    <mergeCell ref="C87:D87"/>
    <mergeCell ref="C60:D60"/>
    <mergeCell ref="C65:D65"/>
    <mergeCell ref="C66:D66"/>
    <mergeCell ref="C78:D78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r:id="rId1"/>
  <rowBreaks count="1" manualBreakCount="1">
    <brk id="51" min="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I138"/>
  <sheetViews>
    <sheetView showGridLines="0" view="pageBreakPreview" zoomScale="80" zoomScaleSheetLayoutView="80" workbookViewId="0" topLeftCell="B64">
      <selection activeCell="G15" sqref="G15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57421875" style="40" customWidth="1"/>
    <col min="7" max="8" width="10.57421875" style="42" customWidth="1"/>
    <col min="9" max="16384" width="9.140625" style="1" customWidth="1"/>
  </cols>
  <sheetData>
    <row r="1" spans="5:8" s="31" customFormat="1" ht="15">
      <c r="E1" s="36"/>
      <c r="F1" s="36"/>
      <c r="G1" s="36"/>
      <c r="H1" s="36"/>
    </row>
    <row r="2" spans="2:8" s="31" customFormat="1" ht="15">
      <c r="B2" s="289"/>
      <c r="C2" s="290" t="s">
        <v>161</v>
      </c>
      <c r="D2" s="289"/>
      <c r="E2" s="312"/>
      <c r="F2" s="292"/>
      <c r="G2" s="292"/>
      <c r="H2" s="36"/>
    </row>
    <row r="3" spans="2:8" ht="12.75" customHeight="1" thickBot="1">
      <c r="B3" s="306"/>
      <c r="C3" s="307"/>
      <c r="D3" s="306"/>
      <c r="E3" s="308"/>
      <c r="F3" s="308"/>
      <c r="G3" s="308" t="s">
        <v>199</v>
      </c>
      <c r="H3" s="74"/>
    </row>
    <row r="4" spans="2:8" ht="39" customHeight="1" thickTop="1">
      <c r="B4" s="309"/>
      <c r="C4" s="457" t="s">
        <v>136</v>
      </c>
      <c r="D4" s="459"/>
      <c r="E4" s="231" t="s">
        <v>204</v>
      </c>
      <c r="F4" s="231" t="s">
        <v>205</v>
      </c>
      <c r="G4" s="232" t="s">
        <v>206</v>
      </c>
      <c r="H4" s="107"/>
    </row>
    <row r="5" spans="2:8" ht="12.75" customHeight="1">
      <c r="B5" s="233">
        <v>1</v>
      </c>
      <c r="C5" s="450" t="s">
        <v>119</v>
      </c>
      <c r="D5" s="453"/>
      <c r="E5" s="234">
        <f>E6+E7+E13</f>
        <v>0</v>
      </c>
      <c r="F5" s="234">
        <f>F6+F7+F13</f>
        <v>3613</v>
      </c>
      <c r="G5" s="235">
        <f aca="true" t="shared" si="0" ref="G5:G13">F5-E5</f>
        <v>3613</v>
      </c>
      <c r="H5" s="78"/>
    </row>
    <row r="6" spans="2:8" ht="12.75" customHeight="1">
      <c r="B6" s="236"/>
      <c r="C6" s="237" t="s">
        <v>0</v>
      </c>
      <c r="D6" s="237" t="s">
        <v>69</v>
      </c>
      <c r="E6" s="238">
        <v>0</v>
      </c>
      <c r="F6" s="238">
        <v>0</v>
      </c>
      <c r="G6" s="239">
        <f t="shared" si="0"/>
        <v>0</v>
      </c>
      <c r="H6" s="38"/>
    </row>
    <row r="7" spans="2:8" ht="12.75" customHeight="1">
      <c r="B7" s="236"/>
      <c r="C7" s="237"/>
      <c r="D7" s="237" t="s">
        <v>30</v>
      </c>
      <c r="E7" s="238">
        <f>SUM(E8:E12)</f>
        <v>0</v>
      </c>
      <c r="F7" s="238">
        <f>SUM(F8:F12)</f>
        <v>0</v>
      </c>
      <c r="G7" s="239">
        <f t="shared" si="0"/>
        <v>0</v>
      </c>
      <c r="H7" s="38"/>
    </row>
    <row r="8" spans="2:8" ht="12.75" customHeight="1">
      <c r="B8" s="236"/>
      <c r="C8" s="237"/>
      <c r="D8" s="240" t="s">
        <v>44</v>
      </c>
      <c r="E8" s="238">
        <v>0</v>
      </c>
      <c r="F8" s="238">
        <v>0</v>
      </c>
      <c r="G8" s="239">
        <f t="shared" si="0"/>
        <v>0</v>
      </c>
      <c r="H8" s="38"/>
    </row>
    <row r="9" spans="2:9" ht="12.75" customHeight="1">
      <c r="B9" s="236"/>
      <c r="C9" s="237"/>
      <c r="D9" s="240" t="s">
        <v>40</v>
      </c>
      <c r="E9" s="238">
        <v>0</v>
      </c>
      <c r="F9" s="238">
        <v>0</v>
      </c>
      <c r="G9" s="239">
        <f t="shared" si="0"/>
        <v>0</v>
      </c>
      <c r="H9" s="38"/>
      <c r="I9" s="17"/>
    </row>
    <row r="10" spans="2:8" ht="12.75" customHeight="1">
      <c r="B10" s="236"/>
      <c r="C10" s="237"/>
      <c r="D10" s="240" t="s">
        <v>41</v>
      </c>
      <c r="E10" s="238">
        <v>0</v>
      </c>
      <c r="F10" s="238">
        <v>0</v>
      </c>
      <c r="G10" s="239">
        <f t="shared" si="0"/>
        <v>0</v>
      </c>
      <c r="H10" s="38"/>
    </row>
    <row r="11" spans="2:8" ht="12.75" customHeight="1">
      <c r="B11" s="236"/>
      <c r="C11" s="237"/>
      <c r="D11" s="240" t="s">
        <v>42</v>
      </c>
      <c r="E11" s="238">
        <v>0</v>
      </c>
      <c r="F11" s="238">
        <v>0</v>
      </c>
      <c r="G11" s="239">
        <f t="shared" si="0"/>
        <v>0</v>
      </c>
      <c r="H11" s="38"/>
    </row>
    <row r="12" spans="2:8" ht="12.75" customHeight="1">
      <c r="B12" s="236"/>
      <c r="C12" s="237"/>
      <c r="D12" s="240" t="s">
        <v>43</v>
      </c>
      <c r="E12" s="238">
        <v>0</v>
      </c>
      <c r="F12" s="238">
        <v>0</v>
      </c>
      <c r="G12" s="239">
        <f t="shared" si="0"/>
        <v>0</v>
      </c>
      <c r="H12" s="38"/>
    </row>
    <row r="13" spans="2:8" ht="12.75" customHeight="1">
      <c r="B13" s="236"/>
      <c r="C13" s="237"/>
      <c r="D13" s="237" t="s">
        <v>31</v>
      </c>
      <c r="E13" s="238">
        <v>0</v>
      </c>
      <c r="F13" s="238">
        <v>3613</v>
      </c>
      <c r="G13" s="239">
        <f t="shared" si="0"/>
        <v>3613</v>
      </c>
      <c r="H13" s="47"/>
    </row>
    <row r="14" spans="2:8" ht="12.75" customHeight="1">
      <c r="B14" s="233"/>
      <c r="C14" s="237"/>
      <c r="D14" s="237"/>
      <c r="E14" s="238"/>
      <c r="F14" s="238"/>
      <c r="G14" s="235"/>
      <c r="H14" s="78"/>
    </row>
    <row r="15" spans="2:8" ht="12.75" customHeight="1">
      <c r="B15" s="233">
        <v>2</v>
      </c>
      <c r="C15" s="429" t="s">
        <v>120</v>
      </c>
      <c r="D15" s="444"/>
      <c r="E15" s="243">
        <f>E16+E21</f>
        <v>0</v>
      </c>
      <c r="F15" s="243">
        <f>F16+F21</f>
        <v>3794</v>
      </c>
      <c r="G15" s="235">
        <f aca="true" t="shared" si="1" ref="G15:G23">F15-E15</f>
        <v>3794</v>
      </c>
      <c r="H15" s="108"/>
    </row>
    <row r="16" spans="2:8" ht="12.75" customHeight="1">
      <c r="B16" s="236"/>
      <c r="C16" s="237" t="s">
        <v>0</v>
      </c>
      <c r="D16" s="237" t="s">
        <v>32</v>
      </c>
      <c r="E16" s="238">
        <f>E17+E18+E19+E20</f>
        <v>0</v>
      </c>
      <c r="F16" s="238">
        <f>F17+F18+F19+F20</f>
        <v>3794</v>
      </c>
      <c r="G16" s="239">
        <f t="shared" si="1"/>
        <v>3794</v>
      </c>
      <c r="H16" s="38"/>
    </row>
    <row r="17" spans="2:8" ht="12.75" customHeight="1">
      <c r="B17" s="236"/>
      <c r="C17" s="237"/>
      <c r="D17" s="240" t="s">
        <v>34</v>
      </c>
      <c r="E17" s="238">
        <v>0</v>
      </c>
      <c r="F17" s="238">
        <f>278+93</f>
        <v>371</v>
      </c>
      <c r="G17" s="239">
        <f t="shared" si="1"/>
        <v>371</v>
      </c>
      <c r="H17" s="38"/>
    </row>
    <row r="18" spans="2:8" ht="12.75" customHeight="1">
      <c r="B18" s="236"/>
      <c r="C18" s="237"/>
      <c r="D18" s="240" t="s">
        <v>35</v>
      </c>
      <c r="E18" s="238">
        <v>0</v>
      </c>
      <c r="F18" s="238">
        <v>3423</v>
      </c>
      <c r="G18" s="239">
        <f t="shared" si="1"/>
        <v>3423</v>
      </c>
      <c r="H18" s="38"/>
    </row>
    <row r="19" spans="2:8" ht="12.75" customHeight="1">
      <c r="B19" s="236"/>
      <c r="C19" s="237"/>
      <c r="D19" s="240" t="s">
        <v>36</v>
      </c>
      <c r="E19" s="238">
        <v>0</v>
      </c>
      <c r="F19" s="238">
        <v>0</v>
      </c>
      <c r="G19" s="239">
        <f t="shared" si="1"/>
        <v>0</v>
      </c>
      <c r="H19" s="38"/>
    </row>
    <row r="20" spans="2:8" ht="12.75" customHeight="1">
      <c r="B20" s="236"/>
      <c r="C20" s="237"/>
      <c r="D20" s="240" t="s">
        <v>37</v>
      </c>
      <c r="E20" s="238">
        <v>0</v>
      </c>
      <c r="F20" s="238">
        <v>0</v>
      </c>
      <c r="G20" s="239">
        <f t="shared" si="1"/>
        <v>0</v>
      </c>
      <c r="H20" s="38"/>
    </row>
    <row r="21" spans="2:8" ht="12.75" customHeight="1">
      <c r="B21" s="236"/>
      <c r="C21" s="237"/>
      <c r="D21" s="237" t="s">
        <v>33</v>
      </c>
      <c r="E21" s="238">
        <f>E22+E23</f>
        <v>0</v>
      </c>
      <c r="F21" s="238">
        <f>F22+F23</f>
        <v>0</v>
      </c>
      <c r="G21" s="239">
        <f t="shared" si="1"/>
        <v>0</v>
      </c>
      <c r="H21" s="38"/>
    </row>
    <row r="22" spans="2:9" ht="12.75" customHeight="1">
      <c r="B22" s="236"/>
      <c r="C22" s="237"/>
      <c r="D22" s="240" t="s">
        <v>38</v>
      </c>
      <c r="E22" s="238">
        <v>0</v>
      </c>
      <c r="F22" s="238">
        <v>0</v>
      </c>
      <c r="G22" s="239">
        <f t="shared" si="1"/>
        <v>0</v>
      </c>
      <c r="H22" s="38"/>
      <c r="I22" s="18"/>
    </row>
    <row r="23" spans="2:8" ht="12.75" customHeight="1">
      <c r="B23" s="236"/>
      <c r="C23" s="237"/>
      <c r="D23" s="240" t="s">
        <v>39</v>
      </c>
      <c r="E23" s="238">
        <v>0</v>
      </c>
      <c r="F23" s="238">
        <v>0</v>
      </c>
      <c r="G23" s="239">
        <f t="shared" si="1"/>
        <v>0</v>
      </c>
      <c r="H23" s="38"/>
    </row>
    <row r="24" spans="2:8" ht="12.75" customHeight="1">
      <c r="B24" s="233"/>
      <c r="C24" s="237"/>
      <c r="D24" s="237"/>
      <c r="E24" s="370"/>
      <c r="F24" s="370"/>
      <c r="G24" s="242"/>
      <c r="H24" s="47"/>
    </row>
    <row r="25" spans="2:8" ht="12.75" customHeight="1">
      <c r="B25" s="244">
        <v>3</v>
      </c>
      <c r="C25" s="434" t="s">
        <v>121</v>
      </c>
      <c r="D25" s="435"/>
      <c r="E25" s="245">
        <f>E5-E15</f>
        <v>0</v>
      </c>
      <c r="F25" s="245">
        <f>F5-F15</f>
        <v>-181</v>
      </c>
      <c r="G25" s="246">
        <f>F25-E25</f>
        <v>-181</v>
      </c>
      <c r="H25" s="78"/>
    </row>
    <row r="26" spans="2:8" ht="12.75" customHeight="1">
      <c r="B26" s="233"/>
      <c r="C26" s="247"/>
      <c r="D26" s="247"/>
      <c r="E26" s="238"/>
      <c r="F26" s="238"/>
      <c r="G26" s="235"/>
      <c r="H26" s="78"/>
    </row>
    <row r="27" spans="2:8" ht="12.75" customHeight="1">
      <c r="B27" s="233">
        <v>4</v>
      </c>
      <c r="C27" s="430" t="s">
        <v>167</v>
      </c>
      <c r="D27" s="452"/>
      <c r="E27" s="243">
        <f>E28+E29</f>
        <v>0</v>
      </c>
      <c r="F27" s="243">
        <f>F28+F29</f>
        <v>158</v>
      </c>
      <c r="G27" s="235">
        <f>F27-E27</f>
        <v>158</v>
      </c>
      <c r="H27" s="78"/>
    </row>
    <row r="28" spans="2:9" ht="12.75" customHeight="1">
      <c r="B28" s="236"/>
      <c r="C28" s="237"/>
      <c r="D28" s="237" t="s">
        <v>3</v>
      </c>
      <c r="E28" s="238">
        <v>0</v>
      </c>
      <c r="F28" s="238">
        <v>4</v>
      </c>
      <c r="G28" s="239">
        <f aca="true" t="shared" si="2" ref="G28:G29">F28-E28</f>
        <v>4</v>
      </c>
      <c r="H28" s="78"/>
      <c r="I28" s="17"/>
    </row>
    <row r="29" spans="2:9" ht="12.75" customHeight="1">
      <c r="B29" s="236"/>
      <c r="C29" s="237"/>
      <c r="D29" s="237" t="s">
        <v>4</v>
      </c>
      <c r="E29" s="238">
        <v>0</v>
      </c>
      <c r="F29" s="238">
        <v>154</v>
      </c>
      <c r="G29" s="239">
        <f t="shared" si="2"/>
        <v>154</v>
      </c>
      <c r="H29" s="78"/>
      <c r="I29" s="17"/>
    </row>
    <row r="30" spans="2:9" ht="12.75" customHeight="1">
      <c r="B30" s="233"/>
      <c r="C30" s="237"/>
      <c r="D30" s="237"/>
      <c r="E30" s="238"/>
      <c r="F30" s="243"/>
      <c r="G30" s="235"/>
      <c r="H30" s="78"/>
      <c r="I30" s="17"/>
    </row>
    <row r="31" spans="2:9" ht="12.75" customHeight="1">
      <c r="B31" s="233">
        <v>5</v>
      </c>
      <c r="C31" s="433" t="s">
        <v>280</v>
      </c>
      <c r="D31" s="442"/>
      <c r="E31" s="243">
        <v>0</v>
      </c>
      <c r="F31" s="243">
        <f>F32</f>
        <v>0</v>
      </c>
      <c r="G31" s="239">
        <f aca="true" t="shared" si="3" ref="G31">F31-E31</f>
        <v>0</v>
      </c>
      <c r="H31" s="78"/>
      <c r="I31" s="17"/>
    </row>
    <row r="32" spans="2:8" ht="12.75" customHeight="1">
      <c r="B32" s="233"/>
      <c r="C32" s="237"/>
      <c r="D32" s="240"/>
      <c r="E32" s="238"/>
      <c r="F32" s="238"/>
      <c r="G32" s="235"/>
      <c r="H32" s="78"/>
    </row>
    <row r="33" spans="2:8" ht="12.75" customHeight="1">
      <c r="B33" s="244">
        <v>6</v>
      </c>
      <c r="C33" s="434" t="s">
        <v>123</v>
      </c>
      <c r="D33" s="435"/>
      <c r="E33" s="245">
        <f>E25+E27</f>
        <v>0</v>
      </c>
      <c r="F33" s="245">
        <f>F25+F27+F31</f>
        <v>-23</v>
      </c>
      <c r="G33" s="246">
        <f>F33-E33</f>
        <v>-23</v>
      </c>
      <c r="H33" s="78"/>
    </row>
    <row r="34" spans="2:9" ht="12.75" customHeight="1">
      <c r="B34" s="236"/>
      <c r="C34" s="438" t="s">
        <v>5</v>
      </c>
      <c r="D34" s="458"/>
      <c r="E34" s="238">
        <f>E5+E28</f>
        <v>0</v>
      </c>
      <c r="F34" s="238">
        <f>F5+F28</f>
        <v>3617</v>
      </c>
      <c r="G34" s="239">
        <f aca="true" t="shared" si="4" ref="G34:G35">F34-E34</f>
        <v>3617</v>
      </c>
      <c r="H34" s="47"/>
      <c r="I34" s="2"/>
    </row>
    <row r="35" spans="2:8" ht="12.75" customHeight="1">
      <c r="B35" s="251"/>
      <c r="C35" s="436" t="s">
        <v>6</v>
      </c>
      <c r="D35" s="443"/>
      <c r="E35" s="252">
        <f>E15-E29</f>
        <v>0</v>
      </c>
      <c r="F35" s="252">
        <f>F15-F29</f>
        <v>3640</v>
      </c>
      <c r="G35" s="239">
        <f t="shared" si="4"/>
        <v>3640</v>
      </c>
      <c r="H35" s="112"/>
    </row>
    <row r="36" spans="2:9" ht="12.75" customHeight="1" thickBot="1">
      <c r="B36" s="332"/>
      <c r="C36" s="373"/>
      <c r="D36" s="373"/>
      <c r="E36" s="371"/>
      <c r="F36" s="371"/>
      <c r="G36" s="335"/>
      <c r="H36" s="47"/>
      <c r="I36" s="3"/>
    </row>
    <row r="37" spans="2:8" ht="26.25" customHeight="1" thickTop="1">
      <c r="B37" s="230"/>
      <c r="C37" s="457" t="s">
        <v>155</v>
      </c>
      <c r="D37" s="457"/>
      <c r="E37" s="319"/>
      <c r="F37" s="319"/>
      <c r="G37" s="320" t="s">
        <v>205</v>
      </c>
      <c r="H37" s="109"/>
    </row>
    <row r="38" spans="2:8" ht="12.75" customHeight="1">
      <c r="B38" s="257">
        <v>7</v>
      </c>
      <c r="C38" s="271" t="s">
        <v>133</v>
      </c>
      <c r="D38" s="271"/>
      <c r="E38" s="196"/>
      <c r="F38" s="321"/>
      <c r="G38" s="284">
        <f>G44-G39+G62</f>
        <v>-88</v>
      </c>
      <c r="H38" s="110"/>
    </row>
    <row r="39" spans="2:8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0</v>
      </c>
      <c r="H39" s="111"/>
    </row>
    <row r="40" spans="2:8" ht="27" customHeight="1">
      <c r="B40" s="236"/>
      <c r="C40" s="262"/>
      <c r="D40" s="346" t="s">
        <v>101</v>
      </c>
      <c r="E40" s="347"/>
      <c r="F40" s="348"/>
      <c r="G40" s="261">
        <v>0</v>
      </c>
      <c r="H40" s="38"/>
    </row>
    <row r="41" spans="2:8" ht="12.75" customHeight="1">
      <c r="B41" s="236"/>
      <c r="C41" s="262"/>
      <c r="D41" s="162" t="s">
        <v>102</v>
      </c>
      <c r="E41" s="196"/>
      <c r="F41" s="321"/>
      <c r="G41" s="261">
        <v>0</v>
      </c>
      <c r="H41" s="38"/>
    </row>
    <row r="42" spans="2:8" ht="24.75" customHeight="1">
      <c r="B42" s="236"/>
      <c r="C42" s="262"/>
      <c r="D42" s="346" t="s">
        <v>114</v>
      </c>
      <c r="E42" s="347"/>
      <c r="F42" s="348"/>
      <c r="G42" s="261">
        <v>0</v>
      </c>
      <c r="H42" s="38"/>
    </row>
    <row r="43" spans="2:8" ht="12.75" customHeight="1">
      <c r="B43" s="236"/>
      <c r="C43" s="162"/>
      <c r="D43" s="162"/>
      <c r="E43" s="196"/>
      <c r="F43" s="321"/>
      <c r="G43" s="261"/>
      <c r="H43" s="38"/>
    </row>
    <row r="44" spans="2:8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0</v>
      </c>
      <c r="H44" s="111"/>
    </row>
    <row r="45" spans="2:8" ht="12.75" customHeight="1">
      <c r="B45" s="236"/>
      <c r="C45" s="162"/>
      <c r="D45" s="162" t="s">
        <v>22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106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 t="s">
        <v>107</v>
      </c>
      <c r="E47" s="196"/>
      <c r="F47" s="321"/>
      <c r="G47" s="261">
        <v>0</v>
      </c>
      <c r="H47" s="38"/>
    </row>
    <row r="48" spans="2:8" ht="12.75" customHeight="1">
      <c r="B48" s="236"/>
      <c r="C48" s="162"/>
      <c r="D48" s="162"/>
      <c r="E48" s="196"/>
      <c r="F48" s="321"/>
      <c r="G48" s="261"/>
      <c r="H48" s="38"/>
    </row>
    <row r="49" spans="2:8" ht="12.75" customHeight="1">
      <c r="B49" s="257">
        <v>10</v>
      </c>
      <c r="C49" s="271" t="s">
        <v>124</v>
      </c>
      <c r="D49" s="271"/>
      <c r="E49" s="196"/>
      <c r="F49" s="321"/>
      <c r="G49" s="284">
        <f>G50-G54</f>
        <v>0</v>
      </c>
      <c r="H49" s="110"/>
    </row>
    <row r="50" spans="2:8" ht="12.75" customHeight="1">
      <c r="B50" s="259">
        <v>11</v>
      </c>
      <c r="C50" s="432" t="s">
        <v>141</v>
      </c>
      <c r="D50" s="432"/>
      <c r="E50" s="196"/>
      <c r="F50" s="321"/>
      <c r="G50" s="260">
        <f>G51+G52+G53</f>
        <v>0</v>
      </c>
      <c r="H50" s="111"/>
    </row>
    <row r="51" spans="2:8" ht="12.75" customHeight="1">
      <c r="B51" s="259"/>
      <c r="C51" s="162"/>
      <c r="D51" s="162" t="s">
        <v>115</v>
      </c>
      <c r="E51" s="196"/>
      <c r="F51" s="321"/>
      <c r="G51" s="261">
        <v>0</v>
      </c>
      <c r="H51" s="38"/>
    </row>
    <row r="52" spans="2:8" ht="12.75" customHeight="1">
      <c r="B52" s="259"/>
      <c r="C52" s="162"/>
      <c r="D52" s="162" t="s">
        <v>109</v>
      </c>
      <c r="E52" s="196"/>
      <c r="F52" s="321"/>
      <c r="G52" s="261">
        <v>0</v>
      </c>
      <c r="H52" s="38"/>
    </row>
    <row r="53" spans="2:8" ht="12.75" customHeight="1">
      <c r="B53" s="280"/>
      <c r="C53" s="264"/>
      <c r="D53" s="264" t="s">
        <v>162</v>
      </c>
      <c r="E53" s="265"/>
      <c r="F53" s="322"/>
      <c r="G53" s="266">
        <v>0</v>
      </c>
      <c r="H53" s="38"/>
    </row>
    <row r="54" spans="2:8" ht="12.75" customHeight="1">
      <c r="B54" s="323">
        <v>12</v>
      </c>
      <c r="C54" s="451" t="s">
        <v>140</v>
      </c>
      <c r="D54" s="451"/>
      <c r="E54" s="269"/>
      <c r="F54" s="324"/>
      <c r="G54" s="345">
        <f>G55+G56</f>
        <v>0</v>
      </c>
      <c r="H54" s="111"/>
    </row>
    <row r="55" spans="2:8" ht="26.25" customHeight="1">
      <c r="B55" s="236"/>
      <c r="C55" s="162"/>
      <c r="D55" s="346" t="s">
        <v>110</v>
      </c>
      <c r="E55" s="347"/>
      <c r="F55" s="348"/>
      <c r="G55" s="261">
        <v>0</v>
      </c>
      <c r="H55" s="38"/>
    </row>
    <row r="56" spans="2:8" ht="12.75" customHeight="1">
      <c r="B56" s="236"/>
      <c r="C56" s="162"/>
      <c r="D56" s="162" t="s">
        <v>111</v>
      </c>
      <c r="E56" s="196"/>
      <c r="F56" s="321"/>
      <c r="G56" s="261">
        <v>0</v>
      </c>
      <c r="H56" s="38"/>
    </row>
    <row r="57" spans="2:8" ht="12.75" customHeight="1">
      <c r="B57" s="236"/>
      <c r="C57" s="262"/>
      <c r="D57" s="162"/>
      <c r="E57" s="196"/>
      <c r="F57" s="321"/>
      <c r="G57" s="261"/>
      <c r="H57" s="38"/>
    </row>
    <row r="58" spans="2:8" ht="12.75" customHeight="1">
      <c r="B58" s="257">
        <v>13</v>
      </c>
      <c r="C58" s="430" t="s">
        <v>125</v>
      </c>
      <c r="D58" s="430"/>
      <c r="E58" s="196"/>
      <c r="F58" s="321"/>
      <c r="G58" s="284">
        <f>F27</f>
        <v>158</v>
      </c>
      <c r="H58" s="110"/>
    </row>
    <row r="59" spans="2:8" ht="12.75" customHeight="1">
      <c r="B59" s="236"/>
      <c r="C59" s="262"/>
      <c r="D59" s="262"/>
      <c r="E59" s="196"/>
      <c r="F59" s="321"/>
      <c r="G59" s="261"/>
      <c r="H59" s="38"/>
    </row>
    <row r="60" spans="2:8" ht="12.75" customHeight="1">
      <c r="B60" s="257">
        <v>14</v>
      </c>
      <c r="C60" s="433" t="s">
        <v>280</v>
      </c>
      <c r="D60" s="433"/>
      <c r="E60" s="196"/>
      <c r="F60" s="321"/>
      <c r="G60" s="284">
        <v>0</v>
      </c>
      <c r="H60" s="110"/>
    </row>
    <row r="61" spans="2:8" ht="12.75" customHeight="1">
      <c r="B61" s="236"/>
      <c r="C61" s="262"/>
      <c r="D61" s="162"/>
      <c r="E61" s="196"/>
      <c r="F61" s="321"/>
      <c r="G61" s="261"/>
      <c r="H61" s="65"/>
    </row>
    <row r="62" spans="2:8" ht="12.75" customHeight="1">
      <c r="B62" s="259">
        <v>15</v>
      </c>
      <c r="C62" s="432" t="s">
        <v>126</v>
      </c>
      <c r="D62" s="432"/>
      <c r="E62" s="196"/>
      <c r="F62" s="196"/>
      <c r="G62" s="260">
        <v>-88</v>
      </c>
      <c r="H62" s="111"/>
    </row>
    <row r="63" spans="2:8" ht="12.75" customHeight="1">
      <c r="B63" s="236"/>
      <c r="C63" s="264"/>
      <c r="D63" s="264"/>
      <c r="E63" s="265"/>
      <c r="F63" s="322"/>
      <c r="G63" s="266"/>
      <c r="H63" s="38"/>
    </row>
    <row r="64" spans="2:8" ht="12.75" customHeight="1">
      <c r="B64" s="244">
        <v>16</v>
      </c>
      <c r="C64" s="275" t="s">
        <v>127</v>
      </c>
      <c r="D64" s="276"/>
      <c r="E64" s="300"/>
      <c r="F64" s="325"/>
      <c r="G64" s="279">
        <f>G38-G49+G58+G60</f>
        <v>70</v>
      </c>
      <c r="H64" s="78"/>
    </row>
    <row r="65" spans="2:8" ht="12.75" customHeight="1">
      <c r="B65" s="280">
        <v>17</v>
      </c>
      <c r="C65" s="281" t="s">
        <v>128</v>
      </c>
      <c r="D65" s="281"/>
      <c r="E65" s="265"/>
      <c r="F65" s="322"/>
      <c r="G65" s="338">
        <f>G64-F33</f>
        <v>93</v>
      </c>
      <c r="H65" s="111"/>
    </row>
    <row r="66" spans="2:8" ht="12.75" customHeight="1" thickBot="1">
      <c r="B66" s="332"/>
      <c r="C66" s="332"/>
      <c r="D66" s="333"/>
      <c r="E66" s="334"/>
      <c r="F66" s="334"/>
      <c r="G66" s="335"/>
      <c r="H66" s="47"/>
    </row>
    <row r="67" spans="2:9" ht="26.25" customHeight="1" thickTop="1">
      <c r="B67" s="230"/>
      <c r="C67" s="457" t="s">
        <v>149</v>
      </c>
      <c r="D67" s="457"/>
      <c r="E67" s="319"/>
      <c r="F67" s="319"/>
      <c r="G67" s="320" t="s">
        <v>205</v>
      </c>
      <c r="H67" s="109"/>
      <c r="I67" s="40"/>
    </row>
    <row r="68" spans="2:8" ht="12.75" customHeight="1">
      <c r="B68" s="233">
        <v>18</v>
      </c>
      <c r="C68" s="450" t="s">
        <v>135</v>
      </c>
      <c r="D68" s="450"/>
      <c r="E68" s="196"/>
      <c r="F68" s="196"/>
      <c r="G68" s="258">
        <f>F33*(-1)</f>
        <v>23</v>
      </c>
      <c r="H68" s="78"/>
    </row>
    <row r="69" spans="2:8" ht="12.75" customHeight="1">
      <c r="B69" s="236"/>
      <c r="C69" s="262"/>
      <c r="D69" s="262"/>
      <c r="E69" s="196"/>
      <c r="F69" s="196"/>
      <c r="G69" s="283"/>
      <c r="H69" s="79"/>
    </row>
    <row r="70" spans="2:8" ht="12.75" customHeight="1">
      <c r="B70" s="257">
        <v>19</v>
      </c>
      <c r="C70" s="271" t="s">
        <v>129</v>
      </c>
      <c r="D70" s="339"/>
      <c r="E70" s="196"/>
      <c r="F70" s="326"/>
      <c r="G70" s="284">
        <f>G71+G72+G75+G78</f>
        <v>-84</v>
      </c>
      <c r="H70" s="110"/>
    </row>
    <row r="71" spans="2:8" ht="12.75" customHeight="1">
      <c r="B71" s="236"/>
      <c r="C71" s="240"/>
      <c r="D71" s="162" t="s">
        <v>68</v>
      </c>
      <c r="E71" s="196"/>
      <c r="F71" s="326"/>
      <c r="G71" s="261">
        <f>G62</f>
        <v>-88</v>
      </c>
      <c r="H71" s="65"/>
    </row>
    <row r="72" spans="2:8" ht="12.75" customHeight="1">
      <c r="B72" s="236"/>
      <c r="C72" s="262"/>
      <c r="D72" s="162" t="s">
        <v>23</v>
      </c>
      <c r="E72" s="196"/>
      <c r="F72" s="326"/>
      <c r="G72" s="261">
        <f>G73-G74</f>
        <v>0</v>
      </c>
      <c r="H72" s="65"/>
    </row>
    <row r="73" spans="2:8" ht="12.75" customHeight="1">
      <c r="B73" s="236"/>
      <c r="C73" s="262"/>
      <c r="D73" s="162" t="s">
        <v>78</v>
      </c>
      <c r="E73" s="196"/>
      <c r="F73" s="326"/>
      <c r="G73" s="261">
        <v>0</v>
      </c>
      <c r="H73" s="38"/>
    </row>
    <row r="74" spans="2:8" ht="12.75" customHeight="1">
      <c r="B74" s="233"/>
      <c r="C74" s="262"/>
      <c r="D74" s="162" t="s">
        <v>116</v>
      </c>
      <c r="E74" s="196"/>
      <c r="F74" s="326"/>
      <c r="G74" s="261">
        <v>0</v>
      </c>
      <c r="H74" s="38"/>
    </row>
    <row r="75" spans="2:8" ht="12.75" customHeight="1">
      <c r="B75" s="236"/>
      <c r="C75" s="262"/>
      <c r="D75" s="162" t="s">
        <v>24</v>
      </c>
      <c r="E75" s="196"/>
      <c r="F75" s="326"/>
      <c r="G75" s="261">
        <f>G76-G77</f>
        <v>0</v>
      </c>
      <c r="H75" s="65"/>
    </row>
    <row r="76" spans="2:8" ht="12.75" customHeight="1">
      <c r="B76" s="236"/>
      <c r="C76" s="262"/>
      <c r="D76" s="162" t="s">
        <v>117</v>
      </c>
      <c r="E76" s="196"/>
      <c r="F76" s="326"/>
      <c r="G76" s="261">
        <v>0</v>
      </c>
      <c r="H76" s="38"/>
    </row>
    <row r="77" spans="2:8" ht="12.75" customHeight="1">
      <c r="B77" s="236"/>
      <c r="C77" s="262"/>
      <c r="D77" s="162" t="s">
        <v>118</v>
      </c>
      <c r="E77" s="196"/>
      <c r="F77" s="326"/>
      <c r="G77" s="261">
        <v>0</v>
      </c>
      <c r="H77" s="38"/>
    </row>
    <row r="78" spans="2:8" ht="12.75" customHeight="1">
      <c r="B78" s="236"/>
      <c r="C78" s="162"/>
      <c r="D78" s="162" t="s">
        <v>80</v>
      </c>
      <c r="E78" s="196"/>
      <c r="F78" s="326"/>
      <c r="G78" s="261">
        <f>F28</f>
        <v>4</v>
      </c>
      <c r="H78" s="65"/>
    </row>
    <row r="79" spans="2:8" ht="12.75" customHeight="1">
      <c r="B79" s="236"/>
      <c r="C79" s="162"/>
      <c r="D79" s="162"/>
      <c r="E79" s="196"/>
      <c r="F79" s="326"/>
      <c r="G79" s="258"/>
      <c r="H79" s="78"/>
    </row>
    <row r="80" spans="2:8" ht="12.75" customHeight="1">
      <c r="B80" s="257">
        <v>20</v>
      </c>
      <c r="C80" s="430" t="s">
        <v>130</v>
      </c>
      <c r="D80" s="430"/>
      <c r="E80" s="196"/>
      <c r="F80" s="326"/>
      <c r="G80" s="284">
        <f>G81+G82+G85+G86+G87</f>
        <v>154</v>
      </c>
      <c r="H80" s="110"/>
    </row>
    <row r="81" spans="2:8" ht="12.75" customHeight="1">
      <c r="B81" s="236"/>
      <c r="C81" s="162"/>
      <c r="D81" s="162" t="s">
        <v>81</v>
      </c>
      <c r="E81" s="286"/>
      <c r="F81" s="340"/>
      <c r="G81" s="261">
        <f>F29-G53+G60</f>
        <v>154</v>
      </c>
      <c r="H81" s="38"/>
    </row>
    <row r="82" spans="2:8" ht="12.75" customHeight="1">
      <c r="B82" s="236"/>
      <c r="C82" s="162"/>
      <c r="D82" s="162" t="s">
        <v>82</v>
      </c>
      <c r="E82" s="196"/>
      <c r="F82" s="326"/>
      <c r="G82" s="261">
        <f>G83+G84</f>
        <v>0</v>
      </c>
      <c r="H82" s="65"/>
    </row>
    <row r="83" spans="2:8" ht="12.75" customHeight="1">
      <c r="B83" s="236"/>
      <c r="C83" s="162"/>
      <c r="D83" s="162" t="s">
        <v>95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96</v>
      </c>
      <c r="E84" s="196"/>
      <c r="F84" s="326"/>
      <c r="G84" s="261">
        <v>0</v>
      </c>
      <c r="H84" s="38"/>
    </row>
    <row r="85" spans="2:8" ht="12.75" customHeight="1">
      <c r="B85" s="236"/>
      <c r="C85" s="162"/>
      <c r="D85" s="162" t="s">
        <v>83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84</v>
      </c>
      <c r="E86" s="196"/>
      <c r="F86" s="326"/>
      <c r="G86" s="261">
        <v>0</v>
      </c>
      <c r="H86" s="65"/>
    </row>
    <row r="87" spans="2:8" ht="12.75" customHeight="1">
      <c r="B87" s="236"/>
      <c r="C87" s="162"/>
      <c r="D87" s="162" t="s">
        <v>166</v>
      </c>
      <c r="E87" s="196"/>
      <c r="F87" s="326"/>
      <c r="G87" s="261">
        <v>0</v>
      </c>
      <c r="H87" s="38"/>
    </row>
    <row r="88" spans="2:8" ht="12.75" customHeight="1">
      <c r="B88" s="236"/>
      <c r="C88" s="162"/>
      <c r="D88" s="162"/>
      <c r="E88" s="196"/>
      <c r="F88" s="326"/>
      <c r="G88" s="261"/>
      <c r="H88" s="38"/>
    </row>
    <row r="89" spans="2:8" ht="12.75" customHeight="1">
      <c r="B89" s="257">
        <v>21</v>
      </c>
      <c r="C89" s="430" t="s">
        <v>134</v>
      </c>
      <c r="D89" s="430"/>
      <c r="E89" s="196"/>
      <c r="F89" s="326"/>
      <c r="G89" s="284">
        <f>G90+G91</f>
        <v>-93</v>
      </c>
      <c r="H89" s="110"/>
    </row>
    <row r="90" spans="2:8" ht="12.75" customHeight="1">
      <c r="B90" s="236"/>
      <c r="C90" s="162"/>
      <c r="D90" s="162" t="s">
        <v>159</v>
      </c>
      <c r="E90" s="196"/>
      <c r="F90" s="326"/>
      <c r="G90" s="261">
        <f>-G65</f>
        <v>-93</v>
      </c>
      <c r="H90" s="38"/>
    </row>
    <row r="91" spans="2:8" ht="12.75" customHeight="1">
      <c r="B91" s="236"/>
      <c r="C91" s="162"/>
      <c r="D91" s="162" t="s">
        <v>160</v>
      </c>
      <c r="E91" s="196"/>
      <c r="F91" s="326"/>
      <c r="G91" s="261">
        <f>G93-(G68+G70+G80)-G90</f>
        <v>0</v>
      </c>
      <c r="H91" s="38"/>
    </row>
    <row r="92" spans="2:8" ht="12.75" customHeight="1">
      <c r="B92" s="236"/>
      <c r="C92" s="162"/>
      <c r="D92" s="162"/>
      <c r="E92" s="196"/>
      <c r="F92" s="326"/>
      <c r="G92" s="261"/>
      <c r="H92" s="38"/>
    </row>
    <row r="93" spans="2:8" ht="12.75" customHeight="1">
      <c r="B93" s="244">
        <v>22</v>
      </c>
      <c r="C93" s="275" t="s">
        <v>176</v>
      </c>
      <c r="D93" s="275"/>
      <c r="E93" s="277"/>
      <c r="F93" s="341"/>
      <c r="G93" s="279">
        <v>0</v>
      </c>
      <c r="H93" s="78"/>
    </row>
    <row r="94" spans="5:8" ht="12.75" customHeight="1">
      <c r="E94" s="1"/>
      <c r="F94" s="1"/>
      <c r="G94" s="18"/>
      <c r="H94" s="18"/>
    </row>
    <row r="95" spans="5:8" ht="12.75" customHeight="1">
      <c r="E95" s="1"/>
      <c r="F95" s="1"/>
      <c r="G95" s="1"/>
      <c r="H95" s="1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7:8" ht="12.75" customHeight="1">
      <c r="G121" s="40"/>
      <c r="H121" s="40"/>
    </row>
    <row r="122" spans="7:8" ht="12.75" customHeight="1">
      <c r="G122" s="40"/>
      <c r="H122" s="40"/>
    </row>
    <row r="123" spans="7:8" ht="12.75" customHeight="1">
      <c r="G123" s="40"/>
      <c r="H123" s="40"/>
    </row>
    <row r="124" spans="7:8" ht="12.75" customHeight="1">
      <c r="G124" s="40"/>
      <c r="H124" s="40"/>
    </row>
    <row r="125" spans="7:8" ht="12.75" customHeight="1">
      <c r="G125" s="40"/>
      <c r="H125" s="40"/>
    </row>
    <row r="126" spans="7:8" ht="12.75" customHeight="1">
      <c r="G126" s="40"/>
      <c r="H126" s="40"/>
    </row>
    <row r="127" spans="7:8" ht="12.75" customHeight="1">
      <c r="G127" s="40"/>
      <c r="H127" s="40"/>
    </row>
    <row r="128" spans="7:8" ht="12.75" customHeight="1">
      <c r="G128" s="40"/>
      <c r="H128" s="40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 customHeight="1">
      <c r="G136" s="40"/>
      <c r="H136" s="40"/>
    </row>
    <row r="137" spans="7:8" ht="12.75">
      <c r="G137" s="40"/>
      <c r="H137" s="40"/>
    </row>
    <row r="138" spans="7:8" ht="12.75">
      <c r="G138" s="40"/>
      <c r="H138" s="40"/>
    </row>
  </sheetData>
  <mergeCells count="21">
    <mergeCell ref="C4:D4"/>
    <mergeCell ref="C5:D5"/>
    <mergeCell ref="C15:D15"/>
    <mergeCell ref="C25:D25"/>
    <mergeCell ref="C27:D27"/>
    <mergeCell ref="C58:D58"/>
    <mergeCell ref="C60:D60"/>
    <mergeCell ref="C54:D54"/>
    <mergeCell ref="C50:D50"/>
    <mergeCell ref="C31:D31"/>
    <mergeCell ref="C35:D35"/>
    <mergeCell ref="C39:D39"/>
    <mergeCell ref="C33:D33"/>
    <mergeCell ref="C44:D44"/>
    <mergeCell ref="C37:D37"/>
    <mergeCell ref="C34:D34"/>
    <mergeCell ref="C89:D89"/>
    <mergeCell ref="C62:D62"/>
    <mergeCell ref="C67:D67"/>
    <mergeCell ref="C68:D68"/>
    <mergeCell ref="C80:D80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3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showGridLines="0" view="pageBreakPreview" zoomScale="80" zoomScaleSheetLayoutView="80" zoomScalePageLayoutView="80" workbookViewId="0" topLeftCell="A106">
      <selection activeCell="B91" sqref="B91:G91"/>
    </sheetView>
  </sheetViews>
  <sheetFormatPr defaultColWidth="9.140625" defaultRowHeight="12.75"/>
  <cols>
    <col min="1" max="1" width="9.140625" style="5" customWidth="1"/>
    <col min="2" max="2" width="4.140625" style="5" bestFit="1" customWidth="1"/>
    <col min="3" max="3" width="8.00390625" style="5" customWidth="1"/>
    <col min="4" max="4" width="53.7109375" style="5" customWidth="1"/>
    <col min="5" max="5" width="10.8515625" style="51" customWidth="1"/>
    <col min="6" max="6" width="11.00390625" style="51" customWidth="1"/>
    <col min="7" max="7" width="12.7109375" style="42" customWidth="1"/>
    <col min="8" max="8" width="58.7109375" style="226" customWidth="1"/>
    <col min="9" max="9" width="34.00390625" style="225" customWidth="1"/>
    <col min="10" max="10" width="11.57421875" style="82" customWidth="1"/>
    <col min="11" max="11" width="11.57421875" style="82" bestFit="1" customWidth="1"/>
    <col min="12" max="12" width="9.28125" style="82" bestFit="1" customWidth="1"/>
    <col min="13" max="14" width="9.140625" style="82" customWidth="1"/>
    <col min="15" max="15" width="12.421875" style="5" customWidth="1"/>
    <col min="16" max="16" width="12.57421875" style="5" customWidth="1"/>
    <col min="17" max="17" width="13.28125" style="5" customWidth="1"/>
    <col min="18" max="16384" width="9.140625" style="5" customWidth="1"/>
  </cols>
  <sheetData>
    <row r="1" spans="2:14" s="31" customFormat="1" ht="15">
      <c r="B1" s="289"/>
      <c r="C1" s="290" t="s">
        <v>20</v>
      </c>
      <c r="D1" s="289"/>
      <c r="E1" s="291"/>
      <c r="F1" s="291"/>
      <c r="G1" s="292"/>
      <c r="H1" s="213"/>
      <c r="I1" s="214"/>
      <c r="J1" s="32"/>
      <c r="K1" s="32"/>
      <c r="L1" s="32"/>
      <c r="M1" s="32"/>
      <c r="N1" s="32"/>
    </row>
    <row r="2" spans="2:14" s="1" customFormat="1" ht="12.75" customHeight="1" thickBot="1">
      <c r="B2" s="293"/>
      <c r="C2" s="294"/>
      <c r="D2" s="293"/>
      <c r="E2" s="295"/>
      <c r="F2" s="295"/>
      <c r="G2" s="295" t="s">
        <v>199</v>
      </c>
      <c r="H2" s="116"/>
      <c r="I2" s="87"/>
      <c r="J2" s="3"/>
      <c r="K2" s="3"/>
      <c r="L2" s="3"/>
      <c r="M2" s="3"/>
      <c r="N2" s="3"/>
    </row>
    <row r="3" spans="2:14" s="1" customFormat="1" ht="39" thickTop="1">
      <c r="B3" s="420"/>
      <c r="C3" s="441" t="s">
        <v>136</v>
      </c>
      <c r="D3" s="441"/>
      <c r="E3" s="418" t="s">
        <v>204</v>
      </c>
      <c r="F3" s="418" t="s">
        <v>205</v>
      </c>
      <c r="G3" s="419" t="s">
        <v>206</v>
      </c>
      <c r="H3" s="117"/>
      <c r="I3" s="88"/>
      <c r="J3" s="21"/>
      <c r="K3" s="3"/>
      <c r="L3" s="3"/>
      <c r="M3" s="3"/>
      <c r="N3" s="3"/>
    </row>
    <row r="4" spans="2:14" s="1" customFormat="1" ht="12.75" customHeight="1">
      <c r="B4" s="233">
        <v>1</v>
      </c>
      <c r="C4" s="429" t="s">
        <v>119</v>
      </c>
      <c r="D4" s="429"/>
      <c r="E4" s="234">
        <f>E5+E6+E12</f>
        <v>11866957</v>
      </c>
      <c r="F4" s="234">
        <f>F5+F6+F12</f>
        <v>10900863</v>
      </c>
      <c r="G4" s="235">
        <f>F4-E4</f>
        <v>-966094</v>
      </c>
      <c r="H4" s="78"/>
      <c r="I4" s="89"/>
      <c r="J4" s="215"/>
      <c r="K4" s="3"/>
      <c r="L4" s="3"/>
      <c r="M4" s="3"/>
      <c r="N4" s="3"/>
    </row>
    <row r="5" spans="2:14" s="1" customFormat="1" ht="12.75" customHeight="1">
      <c r="B5" s="236"/>
      <c r="C5" s="406" t="s">
        <v>0</v>
      </c>
      <c r="D5" s="406" t="s">
        <v>29</v>
      </c>
      <c r="E5" s="238">
        <v>7999424</v>
      </c>
      <c r="F5" s="238">
        <v>7962242</v>
      </c>
      <c r="G5" s="239">
        <f aca="true" t="shared" si="0" ref="G5:G26">F5-E5</f>
        <v>-37182</v>
      </c>
      <c r="H5" s="38"/>
      <c r="I5" s="90"/>
      <c r="J5" s="4"/>
      <c r="K5" s="4"/>
      <c r="L5" s="3"/>
      <c r="M5" s="3"/>
      <c r="N5" s="3"/>
    </row>
    <row r="6" spans="2:14" s="1" customFormat="1" ht="12.75" customHeight="1">
      <c r="B6" s="236"/>
      <c r="C6" s="406"/>
      <c r="D6" s="406" t="s">
        <v>30</v>
      </c>
      <c r="E6" s="238">
        <f>E7+E8+E9+E10+E11</f>
        <v>583217</v>
      </c>
      <c r="F6" s="238">
        <f>F7+F8+F9+F10+F11</f>
        <v>692872</v>
      </c>
      <c r="G6" s="239">
        <f t="shared" si="0"/>
        <v>109655</v>
      </c>
      <c r="H6" s="38"/>
      <c r="I6" s="90"/>
      <c r="J6" s="4"/>
      <c r="K6" s="4"/>
      <c r="L6" s="3"/>
      <c r="M6" s="3"/>
      <c r="N6" s="3"/>
    </row>
    <row r="7" spans="2:14" s="1" customFormat="1" ht="12.75" customHeight="1">
      <c r="B7" s="236"/>
      <c r="C7" s="406"/>
      <c r="D7" s="405" t="s">
        <v>44</v>
      </c>
      <c r="E7" s="238">
        <v>62561</v>
      </c>
      <c r="F7" s="238">
        <v>78227</v>
      </c>
      <c r="G7" s="239">
        <f t="shared" si="0"/>
        <v>15666</v>
      </c>
      <c r="H7" s="38"/>
      <c r="I7" s="90"/>
      <c r="J7" s="4"/>
      <c r="K7" s="4"/>
      <c r="L7" s="3"/>
      <c r="M7" s="3"/>
      <c r="N7" s="3"/>
    </row>
    <row r="8" spans="2:14" s="1" customFormat="1" ht="12.75" customHeight="1">
      <c r="B8" s="236"/>
      <c r="C8" s="406"/>
      <c r="D8" s="405" t="s">
        <v>40</v>
      </c>
      <c r="E8" s="238">
        <v>273083</v>
      </c>
      <c r="F8" s="238">
        <v>279706</v>
      </c>
      <c r="G8" s="239">
        <f t="shared" si="0"/>
        <v>6623</v>
      </c>
      <c r="H8" s="38"/>
      <c r="I8" s="90"/>
      <c r="J8" s="4"/>
      <c r="K8" s="3"/>
      <c r="L8" s="3"/>
      <c r="M8" s="3"/>
      <c r="N8" s="3"/>
    </row>
    <row r="9" spans="2:14" s="1" customFormat="1" ht="12.75" customHeight="1">
      <c r="B9" s="236"/>
      <c r="C9" s="406"/>
      <c r="D9" s="405" t="s">
        <v>41</v>
      </c>
      <c r="E9" s="238">
        <v>19611</v>
      </c>
      <c r="F9" s="238">
        <v>16346</v>
      </c>
      <c r="G9" s="239">
        <f t="shared" si="0"/>
        <v>-3265</v>
      </c>
      <c r="H9" s="38"/>
      <c r="I9" s="90"/>
      <c r="J9" s="4"/>
      <c r="K9" s="4"/>
      <c r="L9" s="3"/>
      <c r="M9" s="3"/>
      <c r="N9" s="3"/>
    </row>
    <row r="10" spans="2:14" s="1" customFormat="1" ht="12.75" customHeight="1">
      <c r="B10" s="236"/>
      <c r="C10" s="406"/>
      <c r="D10" s="241" t="s">
        <v>164</v>
      </c>
      <c r="E10" s="238">
        <v>72636</v>
      </c>
      <c r="F10" s="238">
        <f>79011</f>
        <v>79011</v>
      </c>
      <c r="G10" s="239">
        <f t="shared" si="0"/>
        <v>6375</v>
      </c>
      <c r="H10" s="38"/>
      <c r="I10" s="90"/>
      <c r="J10" s="4"/>
      <c r="K10" s="3"/>
      <c r="L10" s="3"/>
      <c r="M10" s="3"/>
      <c r="N10" s="3"/>
    </row>
    <row r="11" spans="2:14" s="1" customFormat="1" ht="12.75" customHeight="1">
      <c r="B11" s="236"/>
      <c r="C11" s="406"/>
      <c r="D11" s="405" t="s">
        <v>43</v>
      </c>
      <c r="E11" s="238">
        <v>155326</v>
      </c>
      <c r="F11" s="238">
        <v>239582</v>
      </c>
      <c r="G11" s="239">
        <f t="shared" si="0"/>
        <v>84256</v>
      </c>
      <c r="H11" s="38"/>
      <c r="I11" s="90"/>
      <c r="J11" s="4"/>
      <c r="K11" s="3"/>
      <c r="L11" s="3"/>
      <c r="M11" s="3"/>
      <c r="N11" s="3"/>
    </row>
    <row r="12" spans="2:14" s="1" customFormat="1" ht="12.75" customHeight="1">
      <c r="B12" s="233"/>
      <c r="C12" s="406"/>
      <c r="D12" s="406" t="s">
        <v>31</v>
      </c>
      <c r="E12" s="238">
        <v>3284316</v>
      </c>
      <c r="F12" s="238">
        <v>2245749</v>
      </c>
      <c r="G12" s="239">
        <f t="shared" si="0"/>
        <v>-1038567</v>
      </c>
      <c r="H12" s="38"/>
      <c r="I12" s="90"/>
      <c r="J12" s="4"/>
      <c r="K12" s="3"/>
      <c r="L12" s="3"/>
      <c r="M12" s="3"/>
      <c r="N12" s="3"/>
    </row>
    <row r="13" spans="2:14" s="1" customFormat="1" ht="12.75" customHeight="1">
      <c r="B13" s="236"/>
      <c r="C13" s="406"/>
      <c r="D13" s="406"/>
      <c r="E13" s="238"/>
      <c r="F13" s="238"/>
      <c r="G13" s="242"/>
      <c r="H13" s="47"/>
      <c r="I13" s="87"/>
      <c r="J13" s="3"/>
      <c r="K13" s="3"/>
      <c r="L13" s="3"/>
      <c r="M13" s="3"/>
      <c r="N13" s="3"/>
    </row>
    <row r="14" spans="2:14" s="1" customFormat="1" ht="12.75" customHeight="1">
      <c r="B14" s="233">
        <v>2</v>
      </c>
      <c r="C14" s="429" t="s">
        <v>120</v>
      </c>
      <c r="D14" s="429"/>
      <c r="E14" s="243">
        <f>E15+E20</f>
        <v>16407000</v>
      </c>
      <c r="F14" s="243">
        <f>F15+F20</f>
        <v>15337011</v>
      </c>
      <c r="G14" s="235">
        <f t="shared" si="0"/>
        <v>-1069989</v>
      </c>
      <c r="H14" s="78"/>
      <c r="I14" s="89"/>
      <c r="J14" s="215"/>
      <c r="K14" s="3"/>
      <c r="L14" s="3"/>
      <c r="M14" s="3"/>
      <c r="N14" s="3"/>
    </row>
    <row r="15" spans="2:14" s="1" customFormat="1" ht="12.75" customHeight="1">
      <c r="B15" s="236"/>
      <c r="C15" s="406" t="s">
        <v>0</v>
      </c>
      <c r="D15" s="406" t="s">
        <v>32</v>
      </c>
      <c r="E15" s="238">
        <f>E16+E17+E18+E19</f>
        <v>13977269</v>
      </c>
      <c r="F15" s="238">
        <f>F16+F17+F18+F19</f>
        <v>12968403</v>
      </c>
      <c r="G15" s="239">
        <f t="shared" si="0"/>
        <v>-1008866</v>
      </c>
      <c r="H15" s="38"/>
      <c r="I15" s="90"/>
      <c r="J15" s="4"/>
      <c r="K15" s="3"/>
      <c r="L15" s="3"/>
      <c r="M15" s="3"/>
      <c r="N15" s="3"/>
    </row>
    <row r="16" spans="2:14" s="1" customFormat="1" ht="12.75" customHeight="1">
      <c r="B16" s="236"/>
      <c r="C16" s="406"/>
      <c r="D16" s="405" t="s">
        <v>34</v>
      </c>
      <c r="E16" s="238">
        <f>1555176+513139-1</f>
        <v>2068314</v>
      </c>
      <c r="F16" s="238">
        <f>1581768+510554</f>
        <v>2092322</v>
      </c>
      <c r="G16" s="239">
        <f t="shared" si="0"/>
        <v>24008</v>
      </c>
      <c r="H16" s="38"/>
      <c r="I16" s="90"/>
      <c r="J16" s="4"/>
      <c r="K16" s="4"/>
      <c r="L16" s="3"/>
      <c r="M16" s="3"/>
      <c r="N16" s="3"/>
    </row>
    <row r="17" spans="2:14" s="1" customFormat="1" ht="12.75" customHeight="1">
      <c r="B17" s="236"/>
      <c r="C17" s="406"/>
      <c r="D17" s="405" t="s">
        <v>35</v>
      </c>
      <c r="E17" s="238">
        <v>1741841</v>
      </c>
      <c r="F17" s="238">
        <v>1321488</v>
      </c>
      <c r="G17" s="239">
        <f t="shared" si="0"/>
        <v>-420353</v>
      </c>
      <c r="H17" s="38"/>
      <c r="I17" s="90"/>
      <c r="J17" s="4"/>
      <c r="K17" s="4"/>
      <c r="L17" s="3"/>
      <c r="M17" s="3"/>
      <c r="N17" s="3"/>
    </row>
    <row r="18" spans="2:14" s="1" customFormat="1" ht="12.75" customHeight="1">
      <c r="B18" s="236"/>
      <c r="C18" s="406"/>
      <c r="D18" s="405" t="s">
        <v>36</v>
      </c>
      <c r="E18" s="238">
        <v>9022864</v>
      </c>
      <c r="F18" s="238">
        <v>8690518</v>
      </c>
      <c r="G18" s="239">
        <f t="shared" si="0"/>
        <v>-332346</v>
      </c>
      <c r="H18" s="38"/>
      <c r="I18" s="90"/>
      <c r="J18" s="4"/>
      <c r="K18" s="3"/>
      <c r="L18" s="3"/>
      <c r="M18" s="3"/>
      <c r="N18" s="3"/>
    </row>
    <row r="19" spans="2:14" s="1" customFormat="1" ht="12.75" customHeight="1">
      <c r="B19" s="236"/>
      <c r="C19" s="406"/>
      <c r="D19" s="405" t="s">
        <v>37</v>
      </c>
      <c r="E19" s="238">
        <v>1144250</v>
      </c>
      <c r="F19" s="238">
        <v>864075</v>
      </c>
      <c r="G19" s="239">
        <f t="shared" si="0"/>
        <v>-280175</v>
      </c>
      <c r="H19" s="38"/>
      <c r="I19" s="90"/>
      <c r="J19" s="4"/>
      <c r="K19" s="3"/>
      <c r="L19" s="3"/>
      <c r="M19" s="3"/>
      <c r="N19" s="3"/>
    </row>
    <row r="20" spans="2:14" s="1" customFormat="1" ht="12.75" customHeight="1">
      <c r="B20" s="236"/>
      <c r="C20" s="406"/>
      <c r="D20" s="406" t="s">
        <v>33</v>
      </c>
      <c r="E20" s="238">
        <f>E21+E22</f>
        <v>2429731</v>
      </c>
      <c r="F20" s="238">
        <f>F21+F22</f>
        <v>2368608</v>
      </c>
      <c r="G20" s="239">
        <f t="shared" si="0"/>
        <v>-61123</v>
      </c>
      <c r="H20" s="38"/>
      <c r="I20" s="90"/>
      <c r="J20" s="4"/>
      <c r="K20" s="3"/>
      <c r="L20" s="3"/>
      <c r="M20" s="3"/>
      <c r="N20" s="3"/>
    </row>
    <row r="21" spans="2:14" s="1" customFormat="1" ht="12.75" customHeight="1">
      <c r="B21" s="236"/>
      <c r="C21" s="406"/>
      <c r="D21" s="405" t="s">
        <v>38</v>
      </c>
      <c r="E21" s="238">
        <v>402137</v>
      </c>
      <c r="F21" s="238">
        <v>440051</v>
      </c>
      <c r="G21" s="239">
        <f t="shared" si="0"/>
        <v>37914</v>
      </c>
      <c r="H21" s="38"/>
      <c r="I21" s="90"/>
      <c r="J21" s="4"/>
      <c r="K21" s="3"/>
      <c r="L21" s="3"/>
      <c r="M21" s="3"/>
      <c r="N21" s="3"/>
    </row>
    <row r="22" spans="2:14" s="1" customFormat="1" ht="12.75" customHeight="1">
      <c r="B22" s="233"/>
      <c r="C22" s="406"/>
      <c r="D22" s="405" t="s">
        <v>39</v>
      </c>
      <c r="E22" s="238">
        <v>2027594</v>
      </c>
      <c r="F22" s="238">
        <v>1928557</v>
      </c>
      <c r="G22" s="239">
        <f t="shared" si="0"/>
        <v>-99037</v>
      </c>
      <c r="H22" s="38"/>
      <c r="I22" s="90"/>
      <c r="J22" s="4"/>
      <c r="K22" s="3"/>
      <c r="L22" s="3"/>
      <c r="M22" s="3"/>
      <c r="N22" s="3"/>
    </row>
    <row r="23" spans="2:14" s="1" customFormat="1" ht="12.75" customHeight="1">
      <c r="B23" s="236"/>
      <c r="C23" s="406"/>
      <c r="D23" s="406"/>
      <c r="E23" s="238"/>
      <c r="F23" s="238"/>
      <c r="G23" s="242"/>
      <c r="H23" s="47"/>
      <c r="I23" s="87"/>
      <c r="J23" s="3"/>
      <c r="K23" s="3"/>
      <c r="L23" s="3"/>
      <c r="M23" s="3"/>
      <c r="N23" s="3"/>
    </row>
    <row r="24" spans="2:14" s="1" customFormat="1" ht="12.75" customHeight="1">
      <c r="B24" s="244">
        <v>3</v>
      </c>
      <c r="C24" s="434" t="s">
        <v>121</v>
      </c>
      <c r="D24" s="435"/>
      <c r="E24" s="245">
        <f>E4-E14</f>
        <v>-4540043</v>
      </c>
      <c r="F24" s="245">
        <f>F4-F14</f>
        <v>-4436148</v>
      </c>
      <c r="G24" s="246">
        <f t="shared" si="0"/>
        <v>103895</v>
      </c>
      <c r="H24" s="78"/>
      <c r="I24" s="89"/>
      <c r="J24" s="215"/>
      <c r="K24" s="4"/>
      <c r="L24" s="4"/>
      <c r="M24" s="3"/>
      <c r="N24" s="3"/>
    </row>
    <row r="25" spans="2:14" s="1" customFormat="1" ht="12.75" customHeight="1">
      <c r="B25" s="236"/>
      <c r="C25" s="403"/>
      <c r="D25" s="403"/>
      <c r="E25" s="243"/>
      <c r="F25" s="243"/>
      <c r="G25" s="242"/>
      <c r="H25" s="47"/>
      <c r="I25" s="87"/>
      <c r="J25" s="3"/>
      <c r="K25" s="3"/>
      <c r="L25" s="3"/>
      <c r="M25" s="3"/>
      <c r="N25" s="3"/>
    </row>
    <row r="26" spans="2:14" s="1" customFormat="1" ht="12.75" customHeight="1">
      <c r="B26" s="233">
        <v>4</v>
      </c>
      <c r="C26" s="430" t="s">
        <v>273</v>
      </c>
      <c r="D26" s="430"/>
      <c r="E26" s="243">
        <f>SUM(E27:E36)</f>
        <v>36622</v>
      </c>
      <c r="F26" s="243">
        <f>SUM(F27:F36)-F29-F30</f>
        <v>190529</v>
      </c>
      <c r="G26" s="235">
        <f t="shared" si="0"/>
        <v>153907</v>
      </c>
      <c r="H26" s="78"/>
      <c r="I26" s="89"/>
      <c r="J26" s="215"/>
      <c r="K26" s="3"/>
      <c r="L26" s="3"/>
      <c r="M26" s="3"/>
      <c r="N26" s="3"/>
    </row>
    <row r="27" spans="2:14" s="1" customFormat="1" ht="12.75" customHeight="1">
      <c r="B27" s="236"/>
      <c r="C27" s="406" t="s">
        <v>0</v>
      </c>
      <c r="D27" s="406" t="s">
        <v>8</v>
      </c>
      <c r="E27" s="238">
        <v>0</v>
      </c>
      <c r="F27" s="238">
        <v>53326</v>
      </c>
      <c r="G27" s="239">
        <f>F27-E27</f>
        <v>53326</v>
      </c>
      <c r="H27" s="47"/>
      <c r="I27" s="87"/>
      <c r="J27" s="19"/>
      <c r="K27" s="3"/>
      <c r="L27" s="3"/>
      <c r="M27" s="3"/>
      <c r="N27" s="3"/>
    </row>
    <row r="28" spans="2:14" s="1" customFormat="1" ht="12.75" customHeight="1">
      <c r="B28" s="233"/>
      <c r="C28" s="406"/>
      <c r="D28" s="406" t="s">
        <v>9</v>
      </c>
      <c r="E28" s="238">
        <v>0</v>
      </c>
      <c r="F28" s="238">
        <f>-93364-1276+F29+F30</f>
        <v>-317940</v>
      </c>
      <c r="G28" s="239">
        <f aca="true" t="shared" si="1" ref="G28:G30">F28-E28</f>
        <v>-317940</v>
      </c>
      <c r="H28" s="47"/>
      <c r="I28" s="87"/>
      <c r="J28" s="3"/>
      <c r="K28" s="3"/>
      <c r="L28" s="3"/>
      <c r="M28" s="3"/>
      <c r="N28" s="3"/>
    </row>
    <row r="29" spans="2:14" s="1" customFormat="1" ht="12.75" customHeight="1">
      <c r="B29" s="233"/>
      <c r="C29" s="406"/>
      <c r="D29" s="406" t="s">
        <v>253</v>
      </c>
      <c r="E29" s="238">
        <v>0</v>
      </c>
      <c r="F29" s="238">
        <f>-68000-76000</f>
        <v>-144000</v>
      </c>
      <c r="G29" s="239">
        <f t="shared" si="1"/>
        <v>-144000</v>
      </c>
      <c r="H29" s="47"/>
      <c r="I29" s="87"/>
      <c r="J29" s="3"/>
      <c r="K29" s="3"/>
      <c r="L29" s="3"/>
      <c r="M29" s="3"/>
      <c r="N29" s="3"/>
    </row>
    <row r="30" spans="2:14" s="1" customFormat="1" ht="12.75" customHeight="1">
      <c r="B30" s="233"/>
      <c r="C30" s="406"/>
      <c r="D30" s="406" t="s">
        <v>254</v>
      </c>
      <c r="E30" s="238">
        <v>0</v>
      </c>
      <c r="F30" s="238">
        <v>-79300</v>
      </c>
      <c r="G30" s="239">
        <f t="shared" si="1"/>
        <v>-79300</v>
      </c>
      <c r="H30" s="47"/>
      <c r="I30" s="87"/>
      <c r="J30" s="3"/>
      <c r="K30" s="3"/>
      <c r="L30" s="3"/>
      <c r="M30" s="3"/>
      <c r="N30" s="3"/>
    </row>
    <row r="31" spans="2:14" s="1" customFormat="1" ht="12.75" customHeight="1">
      <c r="B31" s="236"/>
      <c r="C31" s="406"/>
      <c r="D31" s="406" t="s">
        <v>252</v>
      </c>
      <c r="E31" s="238">
        <v>-142866</v>
      </c>
      <c r="F31" s="238">
        <f>-86703+24115+30357</f>
        <v>-32231</v>
      </c>
      <c r="G31" s="239">
        <f>F31-E31</f>
        <v>110635</v>
      </c>
      <c r="H31" s="38"/>
      <c r="I31" s="90"/>
      <c r="J31" s="3"/>
      <c r="K31" s="3"/>
      <c r="L31" s="3"/>
      <c r="M31" s="3"/>
      <c r="N31" s="3"/>
    </row>
    <row r="32" spans="2:14" s="1" customFormat="1" ht="12.75" customHeight="1">
      <c r="B32" s="233"/>
      <c r="C32" s="406"/>
      <c r="D32" s="406" t="s">
        <v>10</v>
      </c>
      <c r="E32" s="238">
        <v>0</v>
      </c>
      <c r="F32" s="238">
        <f>15405-13904</f>
        <v>1501</v>
      </c>
      <c r="G32" s="239">
        <f aca="true" t="shared" si="2" ref="G32:G34">F32-E32</f>
        <v>1501</v>
      </c>
      <c r="H32" s="47"/>
      <c r="I32" s="87"/>
      <c r="J32" s="3"/>
      <c r="K32" s="3"/>
      <c r="L32" s="3"/>
      <c r="M32" s="3"/>
      <c r="N32" s="3"/>
    </row>
    <row r="33" spans="2:14" s="1" customFormat="1" ht="12.75" customHeight="1">
      <c r="B33" s="236"/>
      <c r="C33" s="406"/>
      <c r="D33" s="297" t="s">
        <v>72</v>
      </c>
      <c r="E33" s="238">
        <v>0</v>
      </c>
      <c r="F33" s="238">
        <v>5063</v>
      </c>
      <c r="G33" s="239">
        <f t="shared" si="2"/>
        <v>5063</v>
      </c>
      <c r="H33" s="47"/>
      <c r="I33" s="87"/>
      <c r="J33" s="3"/>
      <c r="K33" s="3"/>
      <c r="L33" s="3"/>
      <c r="M33" s="3"/>
      <c r="N33" s="3"/>
    </row>
    <row r="34" spans="2:14" s="1" customFormat="1" ht="12.75" customHeight="1">
      <c r="B34" s="236"/>
      <c r="C34" s="406"/>
      <c r="D34" s="297" t="s">
        <v>73</v>
      </c>
      <c r="E34" s="238">
        <v>0</v>
      </c>
      <c r="F34" s="238">
        <v>0</v>
      </c>
      <c r="G34" s="239">
        <f t="shared" si="2"/>
        <v>0</v>
      </c>
      <c r="H34" s="47"/>
      <c r="I34" s="87"/>
      <c r="J34" s="19"/>
      <c r="K34" s="3"/>
      <c r="L34" s="3"/>
      <c r="M34" s="3"/>
      <c r="N34" s="3"/>
    </row>
    <row r="35" spans="2:14" s="1" customFormat="1" ht="12.75" customHeight="1">
      <c r="B35" s="236"/>
      <c r="C35" s="406"/>
      <c r="D35" s="406" t="s">
        <v>11</v>
      </c>
      <c r="E35" s="238">
        <v>135962</v>
      </c>
      <c r="F35" s="238">
        <f>254516+358</f>
        <v>254874</v>
      </c>
      <c r="G35" s="239">
        <f>F35-E35</f>
        <v>118912</v>
      </c>
      <c r="H35" s="38"/>
      <c r="I35" s="90"/>
      <c r="J35" s="3"/>
      <c r="K35" s="3"/>
      <c r="L35" s="3"/>
      <c r="M35" s="3"/>
      <c r="N35" s="3"/>
    </row>
    <row r="36" spans="2:14" s="1" customFormat="1" ht="29.25" customHeight="1">
      <c r="B36" s="236"/>
      <c r="C36" s="406"/>
      <c r="D36" s="406" t="s">
        <v>16</v>
      </c>
      <c r="E36" s="238">
        <v>43526</v>
      </c>
      <c r="F36" s="238">
        <v>225936</v>
      </c>
      <c r="G36" s="239">
        <f>F36-E36</f>
        <v>182410</v>
      </c>
      <c r="H36" s="38"/>
      <c r="I36" s="90"/>
      <c r="J36" s="3"/>
      <c r="K36" s="3"/>
      <c r="L36" s="3"/>
      <c r="M36" s="3"/>
      <c r="N36" s="3"/>
    </row>
    <row r="37" spans="2:14" s="1" customFormat="1" ht="12.75" customHeight="1">
      <c r="B37" s="233">
        <v>5</v>
      </c>
      <c r="C37" s="433" t="s">
        <v>280</v>
      </c>
      <c r="D37" s="433"/>
      <c r="E37" s="243">
        <f>SUM(E38:E44)</f>
        <v>-43349</v>
      </c>
      <c r="F37" s="243">
        <f>SUM(F38:F45)</f>
        <v>-99380</v>
      </c>
      <c r="G37" s="235">
        <f>F37-E37</f>
        <v>-56031</v>
      </c>
      <c r="H37" s="78"/>
      <c r="I37" s="89"/>
      <c r="J37" s="215"/>
      <c r="K37" s="3"/>
      <c r="L37" s="3"/>
      <c r="M37" s="3"/>
      <c r="N37" s="3"/>
    </row>
    <row r="38" spans="2:14" s="1" customFormat="1" ht="25.5">
      <c r="B38" s="236"/>
      <c r="C38" s="406"/>
      <c r="D38" s="406" t="s">
        <v>12</v>
      </c>
      <c r="E38" s="238">
        <v>0</v>
      </c>
      <c r="F38" s="238">
        <v>-3902</v>
      </c>
      <c r="G38" s="239">
        <f>F38-E38</f>
        <v>-3902</v>
      </c>
      <c r="H38" s="47"/>
      <c r="I38" s="91"/>
      <c r="J38" s="216"/>
      <c r="K38" s="3"/>
      <c r="L38" s="3"/>
      <c r="M38" s="3"/>
      <c r="N38" s="3"/>
    </row>
    <row r="39" spans="2:14" s="1" customFormat="1" ht="12.75">
      <c r="B39" s="236"/>
      <c r="C39" s="406"/>
      <c r="D39" s="406" t="s">
        <v>175</v>
      </c>
      <c r="E39" s="238">
        <v>0</v>
      </c>
      <c r="F39" s="238">
        <v>-295</v>
      </c>
      <c r="G39" s="239">
        <f aca="true" t="shared" si="3" ref="G39:G41">F39-E39</f>
        <v>-295</v>
      </c>
      <c r="H39" s="47"/>
      <c r="I39" s="91"/>
      <c r="J39" s="216"/>
      <c r="K39" s="3"/>
      <c r="L39" s="3"/>
      <c r="M39" s="3"/>
      <c r="N39" s="3"/>
    </row>
    <row r="40" spans="2:14" s="1" customFormat="1" ht="12.75" customHeight="1">
      <c r="B40" s="236"/>
      <c r="C40" s="406"/>
      <c r="D40" s="406" t="s">
        <v>13</v>
      </c>
      <c r="E40" s="238">
        <v>0</v>
      </c>
      <c r="F40" s="238">
        <v>-681</v>
      </c>
      <c r="G40" s="239">
        <f t="shared" si="3"/>
        <v>-681</v>
      </c>
      <c r="H40" s="47"/>
      <c r="I40" s="91"/>
      <c r="J40" s="216"/>
      <c r="K40" s="3"/>
      <c r="L40" s="3"/>
      <c r="M40" s="3"/>
      <c r="N40" s="3"/>
    </row>
    <row r="41" spans="2:14" s="1" customFormat="1" ht="12.75" customHeight="1">
      <c r="B41" s="236"/>
      <c r="C41" s="406"/>
      <c r="D41" s="298" t="s">
        <v>75</v>
      </c>
      <c r="E41" s="238">
        <v>0</v>
      </c>
      <c r="F41" s="238">
        <v>-20000</v>
      </c>
      <c r="G41" s="239">
        <f t="shared" si="3"/>
        <v>-20000</v>
      </c>
      <c r="H41" s="47"/>
      <c r="I41" s="91"/>
      <c r="J41" s="216"/>
      <c r="K41" s="3"/>
      <c r="L41" s="3"/>
      <c r="M41" s="3"/>
      <c r="N41" s="3"/>
    </row>
    <row r="42" spans="2:14" s="1" customFormat="1" ht="12.75" customHeight="1">
      <c r="B42" s="236"/>
      <c r="C42" s="406"/>
      <c r="D42" s="406" t="s">
        <v>77</v>
      </c>
      <c r="E42" s="261">
        <v>-43349</v>
      </c>
      <c r="F42" s="261">
        <v>-44145</v>
      </c>
      <c r="G42" s="239">
        <f>F42-E42</f>
        <v>-796</v>
      </c>
      <c r="H42" s="38"/>
      <c r="I42" s="90"/>
      <c r="J42" s="4"/>
      <c r="K42" s="216"/>
      <c r="L42" s="3"/>
      <c r="M42" s="3"/>
      <c r="N42" s="3"/>
    </row>
    <row r="43" spans="2:14" s="1" customFormat="1" ht="12.75" customHeight="1">
      <c r="B43" s="236"/>
      <c r="C43" s="406"/>
      <c r="D43" s="406" t="s">
        <v>50</v>
      </c>
      <c r="E43" s="238">
        <v>0</v>
      </c>
      <c r="F43" s="238">
        <v>-1239247</v>
      </c>
      <c r="G43" s="239">
        <f aca="true" t="shared" si="4" ref="G43:G45">F43-E43</f>
        <v>-1239247</v>
      </c>
      <c r="H43" s="47"/>
      <c r="I43" s="87"/>
      <c r="J43" s="3"/>
      <c r="K43" s="3"/>
      <c r="L43" s="3"/>
      <c r="M43" s="3"/>
      <c r="N43" s="3"/>
    </row>
    <row r="44" spans="2:14" s="1" customFormat="1" ht="12.75" customHeight="1">
      <c r="B44" s="236"/>
      <c r="C44" s="406"/>
      <c r="D44" s="406" t="s">
        <v>51</v>
      </c>
      <c r="E44" s="238">
        <v>0</v>
      </c>
      <c r="F44" s="238">
        <v>1239247</v>
      </c>
      <c r="G44" s="239">
        <f t="shared" si="4"/>
        <v>1239247</v>
      </c>
      <c r="H44" s="47"/>
      <c r="I44" s="87"/>
      <c r="J44" s="3"/>
      <c r="K44" s="3"/>
      <c r="L44" s="3"/>
      <c r="M44" s="3"/>
      <c r="N44" s="3"/>
    </row>
    <row r="45" spans="2:14" s="1" customFormat="1" ht="12.75" customHeight="1">
      <c r="B45" s="236"/>
      <c r="C45" s="406"/>
      <c r="D45" s="406" t="s">
        <v>251</v>
      </c>
      <c r="E45" s="238">
        <v>0</v>
      </c>
      <c r="F45" s="238">
        <f>-30357</f>
        <v>-30357</v>
      </c>
      <c r="G45" s="239">
        <f t="shared" si="4"/>
        <v>-30357</v>
      </c>
      <c r="H45" s="47"/>
      <c r="I45" s="87"/>
      <c r="J45" s="3"/>
      <c r="K45" s="3"/>
      <c r="L45" s="3"/>
      <c r="M45" s="3"/>
      <c r="N45" s="3"/>
    </row>
    <row r="46" spans="2:14" s="1" customFormat="1" ht="12.75" customHeight="1">
      <c r="B46" s="236"/>
      <c r="C46" s="406"/>
      <c r="D46" s="406"/>
      <c r="E46" s="238"/>
      <c r="F46" s="238"/>
      <c r="G46" s="242"/>
      <c r="H46" s="47"/>
      <c r="I46" s="87"/>
      <c r="J46" s="3"/>
      <c r="K46" s="3"/>
      <c r="L46" s="3"/>
      <c r="M46" s="3"/>
      <c r="N46" s="3"/>
    </row>
    <row r="47" spans="2:17" s="1" customFormat="1" ht="12.75" customHeight="1">
      <c r="B47" s="233">
        <v>6</v>
      </c>
      <c r="C47" s="430" t="s">
        <v>138</v>
      </c>
      <c r="D47" s="430"/>
      <c r="E47" s="243">
        <f>E48-E49</f>
        <v>0</v>
      </c>
      <c r="F47" s="243">
        <f>MRÚ!F33</f>
        <v>-6045</v>
      </c>
      <c r="G47" s="235">
        <f>F47-E47</f>
        <v>-6045</v>
      </c>
      <c r="H47" s="78"/>
      <c r="I47" s="89"/>
      <c r="J47" s="215"/>
      <c r="K47" s="72"/>
      <c r="L47" s="3"/>
      <c r="M47" s="3"/>
      <c r="N47" s="3"/>
      <c r="O47" s="15"/>
      <c r="P47" s="15"/>
      <c r="Q47" s="24"/>
    </row>
    <row r="48" spans="2:17" s="1" customFormat="1" ht="12.75" customHeight="1">
      <c r="B48" s="236"/>
      <c r="C48" s="404"/>
      <c r="D48" s="405" t="s">
        <v>46</v>
      </c>
      <c r="E48" s="238">
        <v>0</v>
      </c>
      <c r="F48" s="238">
        <f>MRÚ!F34</f>
        <v>842918</v>
      </c>
      <c r="G48" s="239">
        <f aca="true" t="shared" si="5" ref="G48:G49">F48-E48</f>
        <v>842918</v>
      </c>
      <c r="H48" s="38"/>
      <c r="I48" s="90"/>
      <c r="J48" s="4"/>
      <c r="K48" s="4"/>
      <c r="L48" s="3"/>
      <c r="M48" s="3"/>
      <c r="N48" s="3"/>
      <c r="O48" s="24"/>
      <c r="P48" s="24"/>
      <c r="Q48" s="24"/>
    </row>
    <row r="49" spans="2:17" s="1" customFormat="1" ht="12.75" customHeight="1">
      <c r="B49" s="236"/>
      <c r="C49" s="404"/>
      <c r="D49" s="405" t="s">
        <v>47</v>
      </c>
      <c r="E49" s="238">
        <v>0</v>
      </c>
      <c r="F49" s="238">
        <f>MRÚ!F35</f>
        <v>848963</v>
      </c>
      <c r="G49" s="239">
        <f t="shared" si="5"/>
        <v>848963</v>
      </c>
      <c r="H49" s="38"/>
      <c r="I49" s="90"/>
      <c r="J49" s="4"/>
      <c r="K49" s="3"/>
      <c r="L49" s="3"/>
      <c r="M49" s="3"/>
      <c r="N49" s="3"/>
      <c r="O49" s="25"/>
      <c r="P49" s="25"/>
      <c r="Q49" s="24"/>
    </row>
    <row r="50" spans="2:17" s="1" customFormat="1" ht="12.75" customHeight="1">
      <c r="B50" s="236"/>
      <c r="C50" s="404"/>
      <c r="D50" s="405"/>
      <c r="E50" s="238"/>
      <c r="F50" s="238"/>
      <c r="G50" s="242"/>
      <c r="H50" s="47"/>
      <c r="I50" s="87"/>
      <c r="J50" s="3"/>
      <c r="K50" s="3"/>
      <c r="L50" s="3"/>
      <c r="M50" s="3"/>
      <c r="N50" s="3"/>
      <c r="O50" s="25"/>
      <c r="P50" s="25"/>
      <c r="Q50" s="24"/>
    </row>
    <row r="51" spans="2:17" s="1" customFormat="1" ht="12.75" customHeight="1">
      <c r="B51" s="233">
        <v>7</v>
      </c>
      <c r="C51" s="430" t="s">
        <v>137</v>
      </c>
      <c r="D51" s="430"/>
      <c r="E51" s="243">
        <f>E52-E53</f>
        <v>-48056</v>
      </c>
      <c r="F51" s="243">
        <f>F52-F53</f>
        <v>-74582</v>
      </c>
      <c r="G51" s="235">
        <f>F51-E51</f>
        <v>-26526</v>
      </c>
      <c r="H51" s="78"/>
      <c r="I51" s="89"/>
      <c r="J51" s="215"/>
      <c r="K51" s="72"/>
      <c r="L51" s="3"/>
      <c r="M51" s="4"/>
      <c r="N51" s="3"/>
      <c r="Q51" s="4"/>
    </row>
    <row r="52" spans="2:14" s="1" customFormat="1" ht="12.75" customHeight="1">
      <c r="B52" s="236"/>
      <c r="C52" s="404"/>
      <c r="D52" s="405" t="s">
        <v>46</v>
      </c>
      <c r="E52" s="238">
        <f>ŠFA!E4</f>
        <v>402370</v>
      </c>
      <c r="F52" s="238">
        <f>ŠFA!F32</f>
        <v>89737</v>
      </c>
      <c r="G52" s="239">
        <f>F52-E52</f>
        <v>-312633</v>
      </c>
      <c r="H52" s="38"/>
      <c r="I52" s="90"/>
      <c r="J52" s="4"/>
      <c r="K52" s="4"/>
      <c r="L52" s="3"/>
      <c r="M52" s="3"/>
      <c r="N52" s="3"/>
    </row>
    <row r="53" spans="2:14" s="1" customFormat="1" ht="12.75" customHeight="1">
      <c r="B53" s="236"/>
      <c r="C53" s="404"/>
      <c r="D53" s="405" t="s">
        <v>47</v>
      </c>
      <c r="E53" s="238">
        <f>ŠFA!E14</f>
        <v>450426</v>
      </c>
      <c r="F53" s="238">
        <f>ŠFA!F33</f>
        <v>164319</v>
      </c>
      <c r="G53" s="239">
        <f>F53-E53</f>
        <v>-286107</v>
      </c>
      <c r="H53" s="38"/>
      <c r="I53" s="90"/>
      <c r="J53" s="4"/>
      <c r="K53" s="3"/>
      <c r="L53" s="3"/>
      <c r="M53" s="3"/>
      <c r="N53" s="3"/>
    </row>
    <row r="54" spans="2:14" s="1" customFormat="1" ht="12.75" customHeight="1">
      <c r="B54" s="236"/>
      <c r="C54" s="404"/>
      <c r="D54" s="404"/>
      <c r="E54" s="243"/>
      <c r="F54" s="243"/>
      <c r="G54" s="242"/>
      <c r="H54" s="47"/>
      <c r="I54" s="87"/>
      <c r="J54" s="3"/>
      <c r="K54" s="3"/>
      <c r="L54" s="3"/>
      <c r="M54" s="3"/>
      <c r="N54" s="3"/>
    </row>
    <row r="55" spans="2:14" s="1" customFormat="1" ht="12.75" customHeight="1">
      <c r="B55" s="244">
        <v>8</v>
      </c>
      <c r="C55" s="434" t="s">
        <v>132</v>
      </c>
      <c r="D55" s="435"/>
      <c r="E55" s="234">
        <f>E24+E26+E37+E47+E51</f>
        <v>-4594826</v>
      </c>
      <c r="F55" s="234">
        <f>F24+F26+F37+F47+F51</f>
        <v>-4425626</v>
      </c>
      <c r="G55" s="245">
        <f>F55-E55</f>
        <v>169200</v>
      </c>
      <c r="H55" s="78"/>
      <c r="I55" s="89"/>
      <c r="J55" s="215"/>
      <c r="K55" s="217"/>
      <c r="L55" s="3"/>
      <c r="M55" s="4"/>
      <c r="N55" s="3"/>
    </row>
    <row r="56" spans="2:14" s="1" customFormat="1" ht="12.75" customHeight="1">
      <c r="B56" s="267"/>
      <c r="C56" s="438" t="s">
        <v>5</v>
      </c>
      <c r="D56" s="438"/>
      <c r="E56" s="250">
        <f>E4+E27+E32+E33+E34+E35+E36+E40+E41+E43+E48+E52</f>
        <v>12448815</v>
      </c>
      <c r="F56" s="250">
        <f>F4+F27+F32+F33+F34+F35+F36++F41+F43+F48+F52+F45</f>
        <v>11084614</v>
      </c>
      <c r="G56" s="239">
        <f>F56-E56</f>
        <v>-1364201</v>
      </c>
      <c r="H56" s="38"/>
      <c r="I56" s="90"/>
      <c r="J56" s="4"/>
      <c r="K56" s="4"/>
      <c r="L56" s="3"/>
      <c r="M56" s="3"/>
      <c r="N56" s="3"/>
    </row>
    <row r="57" spans="2:14" s="1" customFormat="1" ht="12.75" customHeight="1">
      <c r="B57" s="251"/>
      <c r="C57" s="436" t="s">
        <v>6</v>
      </c>
      <c r="D57" s="436"/>
      <c r="E57" s="252">
        <f>E14-E28-E31-E38-E42-E44+E49+E53-E39-E40</f>
        <v>17043641</v>
      </c>
      <c r="F57" s="252">
        <f>F14-F28-F31-F38-F42-F44+F49+F53-F39-F40</f>
        <v>15510240</v>
      </c>
      <c r="G57" s="239">
        <f>F57-E57</f>
        <v>-1533401</v>
      </c>
      <c r="H57" s="38"/>
      <c r="I57" s="90"/>
      <c r="J57" s="4"/>
      <c r="K57" s="4"/>
      <c r="L57" s="4"/>
      <c r="M57" s="3"/>
      <c r="N57" s="3"/>
    </row>
    <row r="58" spans="2:14" s="1" customFormat="1" ht="25.5">
      <c r="B58" s="421"/>
      <c r="C58" s="440" t="s">
        <v>150</v>
      </c>
      <c r="D58" s="440"/>
      <c r="E58" s="422"/>
      <c r="F58" s="423"/>
      <c r="G58" s="424" t="s">
        <v>205</v>
      </c>
      <c r="H58" s="117"/>
      <c r="I58" s="88"/>
      <c r="J58" s="3"/>
      <c r="K58" s="82"/>
      <c r="L58" s="3"/>
      <c r="M58" s="3"/>
      <c r="N58" s="3"/>
    </row>
    <row r="59" spans="2:14" s="1" customFormat="1" ht="12.75" customHeight="1">
      <c r="B59" s="257">
        <v>9</v>
      </c>
      <c r="C59" s="430" t="s">
        <v>145</v>
      </c>
      <c r="D59" s="430"/>
      <c r="E59" s="196"/>
      <c r="F59" s="162"/>
      <c r="G59" s="258">
        <f>G66-G60+G85</f>
        <v>-103970</v>
      </c>
      <c r="H59" s="78"/>
      <c r="I59" s="89"/>
      <c r="J59" s="3"/>
      <c r="K59" s="73"/>
      <c r="L59" s="3"/>
      <c r="M59" s="3"/>
      <c r="N59" s="3"/>
    </row>
    <row r="60" spans="2:14" s="1" customFormat="1" ht="12.75" customHeight="1">
      <c r="B60" s="259">
        <v>10</v>
      </c>
      <c r="C60" s="432" t="s">
        <v>21</v>
      </c>
      <c r="D60" s="432"/>
      <c r="E60" s="196"/>
      <c r="F60" s="162"/>
      <c r="G60" s="260">
        <f>G61+G62+G63+G64</f>
        <v>88309</v>
      </c>
      <c r="H60" s="111"/>
      <c r="I60" s="92"/>
      <c r="J60" s="3"/>
      <c r="K60" s="217"/>
      <c r="L60" s="3"/>
      <c r="M60" s="3"/>
      <c r="N60" s="3"/>
    </row>
    <row r="61" spans="2:14" s="1" customFormat="1" ht="12.75" customHeight="1">
      <c r="B61" s="236"/>
      <c r="C61" s="405"/>
      <c r="D61" s="162" t="s">
        <v>195</v>
      </c>
      <c r="E61" s="196"/>
      <c r="F61" s="162"/>
      <c r="G61" s="261">
        <f>1598242-1598242</f>
        <v>0</v>
      </c>
      <c r="H61" s="65"/>
      <c r="I61" s="102"/>
      <c r="J61" s="3"/>
      <c r="K61" s="218"/>
      <c r="L61" s="3"/>
      <c r="M61" s="3"/>
      <c r="N61" s="3"/>
    </row>
    <row r="62" spans="2:14" s="1" customFormat="1" ht="12.75" customHeight="1">
      <c r="B62" s="236"/>
      <c r="C62" s="404"/>
      <c r="D62" s="162" t="s">
        <v>101</v>
      </c>
      <c r="E62" s="196"/>
      <c r="F62" s="162"/>
      <c r="G62" s="261">
        <f>53300+72-53300-72</f>
        <v>0</v>
      </c>
      <c r="H62" s="65"/>
      <c r="I62" s="93"/>
      <c r="J62" s="3"/>
      <c r="K62" s="3"/>
      <c r="L62" s="3"/>
      <c r="M62" s="3"/>
      <c r="N62" s="3"/>
    </row>
    <row r="63" spans="2:14" s="1" customFormat="1" ht="12.75" customHeight="1">
      <c r="B63" s="236"/>
      <c r="C63" s="404"/>
      <c r="D63" s="162" t="s">
        <v>102</v>
      </c>
      <c r="E63" s="196"/>
      <c r="F63" s="162"/>
      <c r="G63" s="261">
        <f>10509+77800</f>
        <v>88309</v>
      </c>
      <c r="H63" s="65"/>
      <c r="I63" s="94"/>
      <c r="J63" s="3"/>
      <c r="K63" s="3"/>
      <c r="L63" s="3"/>
      <c r="M63" s="3"/>
      <c r="N63" s="3"/>
    </row>
    <row r="64" spans="2:14" s="1" customFormat="1" ht="12.75" customHeight="1">
      <c r="B64" s="236"/>
      <c r="C64" s="404"/>
      <c r="D64" s="162" t="s">
        <v>103</v>
      </c>
      <c r="E64" s="196"/>
      <c r="F64" s="162"/>
      <c r="G64" s="261">
        <f>54635+72-54707</f>
        <v>0</v>
      </c>
      <c r="H64" s="65"/>
      <c r="I64" s="94"/>
      <c r="J64" s="3"/>
      <c r="K64" s="3"/>
      <c r="L64" s="3"/>
      <c r="M64" s="3"/>
      <c r="N64" s="3"/>
    </row>
    <row r="65" spans="2:14" s="1" customFormat="1" ht="12.75" customHeight="1">
      <c r="B65" s="236"/>
      <c r="C65" s="162"/>
      <c r="D65" s="162"/>
      <c r="E65" s="196"/>
      <c r="F65" s="162"/>
      <c r="G65" s="261"/>
      <c r="H65" s="65"/>
      <c r="I65" s="93"/>
      <c r="J65" s="3"/>
      <c r="K65" s="3"/>
      <c r="L65" s="3"/>
      <c r="M65" s="3"/>
      <c r="N65" s="3"/>
    </row>
    <row r="66" spans="2:14" s="1" customFormat="1" ht="12.75" customHeight="1">
      <c r="B66" s="259">
        <v>11</v>
      </c>
      <c r="C66" s="432" t="s">
        <v>25</v>
      </c>
      <c r="D66" s="432"/>
      <c r="E66" s="196"/>
      <c r="F66" s="162"/>
      <c r="G66" s="260">
        <f>G67+G68+G69+G70</f>
        <v>12017</v>
      </c>
      <c r="H66" s="111"/>
      <c r="I66" s="92"/>
      <c r="J66" s="3"/>
      <c r="K66" s="72"/>
      <c r="L66" s="3"/>
      <c r="M66" s="3"/>
      <c r="N66" s="3"/>
    </row>
    <row r="67" spans="2:14" s="1" customFormat="1" ht="12.75" customHeight="1">
      <c r="B67" s="236"/>
      <c r="C67" s="405"/>
      <c r="D67" s="162" t="s">
        <v>195</v>
      </c>
      <c r="E67" s="196"/>
      <c r="F67" s="162"/>
      <c r="G67" s="261">
        <f>1570564-1570564</f>
        <v>0</v>
      </c>
      <c r="H67" s="65"/>
      <c r="I67" s="103"/>
      <c r="J67" s="3"/>
      <c r="K67" s="66"/>
      <c r="L67" s="3"/>
      <c r="M67" s="3"/>
      <c r="N67" s="3"/>
    </row>
    <row r="68" spans="2:14" s="1" customFormat="1" ht="12.75" customHeight="1">
      <c r="B68" s="236"/>
      <c r="C68" s="162"/>
      <c r="D68" s="162" t="s">
        <v>105</v>
      </c>
      <c r="E68" s="196"/>
      <c r="F68" s="162"/>
      <c r="G68" s="261"/>
      <c r="H68" s="65"/>
      <c r="I68" s="93"/>
      <c r="J68" s="3"/>
      <c r="K68" s="3"/>
      <c r="L68" s="3"/>
      <c r="M68" s="3"/>
      <c r="N68" s="3"/>
    </row>
    <row r="69" spans="2:14" s="1" customFormat="1" ht="12.75" customHeight="1">
      <c r="B69" s="236"/>
      <c r="C69" s="162"/>
      <c r="D69" s="162" t="s">
        <v>106</v>
      </c>
      <c r="E69" s="196"/>
      <c r="F69" s="162"/>
      <c r="G69" s="261">
        <v>0</v>
      </c>
      <c r="H69" s="65"/>
      <c r="I69" s="94"/>
      <c r="J69" s="3"/>
      <c r="K69" s="3"/>
      <c r="L69" s="3"/>
      <c r="M69" s="3"/>
      <c r="N69" s="3"/>
    </row>
    <row r="70" spans="2:14" s="1" customFormat="1" ht="12.75" customHeight="1">
      <c r="B70" s="236"/>
      <c r="C70" s="162"/>
      <c r="D70" s="162" t="s">
        <v>107</v>
      </c>
      <c r="E70" s="196"/>
      <c r="F70" s="162"/>
      <c r="G70" s="261">
        <v>12017</v>
      </c>
      <c r="H70" s="65"/>
      <c r="I70" s="93"/>
      <c r="J70" s="3"/>
      <c r="K70" s="3"/>
      <c r="L70" s="3"/>
      <c r="M70" s="3"/>
      <c r="N70" s="3"/>
    </row>
    <row r="71" spans="2:14" s="1" customFormat="1" ht="12.75" customHeight="1">
      <c r="B71" s="236"/>
      <c r="C71" s="162"/>
      <c r="D71" s="162"/>
      <c r="E71" s="196"/>
      <c r="F71" s="162"/>
      <c r="G71" s="261"/>
      <c r="H71" s="65"/>
      <c r="I71" s="93"/>
      <c r="J71" s="3"/>
      <c r="K71" s="3"/>
      <c r="L71" s="3"/>
      <c r="M71" s="3"/>
      <c r="N71" s="3"/>
    </row>
    <row r="72" spans="2:14" s="1" customFormat="1" ht="12.75" customHeight="1">
      <c r="B72" s="257">
        <v>12</v>
      </c>
      <c r="C72" s="430" t="s">
        <v>146</v>
      </c>
      <c r="D72" s="430"/>
      <c r="E72" s="263"/>
      <c r="F72" s="162"/>
      <c r="G72" s="243">
        <f>G73-G77</f>
        <v>4395415</v>
      </c>
      <c r="H72" s="118"/>
      <c r="I72" s="95"/>
      <c r="J72" s="3"/>
      <c r="K72" s="73"/>
      <c r="L72" s="3"/>
      <c r="M72" s="3"/>
      <c r="N72" s="3"/>
    </row>
    <row r="73" spans="2:14" s="1" customFormat="1" ht="12.75" customHeight="1">
      <c r="B73" s="259">
        <v>13</v>
      </c>
      <c r="C73" s="432" t="s">
        <v>26</v>
      </c>
      <c r="D73" s="432"/>
      <c r="E73" s="196"/>
      <c r="F73" s="162"/>
      <c r="G73" s="260">
        <f>G74+G75+G76</f>
        <v>19066084</v>
      </c>
      <c r="H73" s="111"/>
      <c r="I73" s="92"/>
      <c r="J73" s="3"/>
      <c r="K73" s="219"/>
      <c r="L73" s="3"/>
      <c r="M73" s="3"/>
      <c r="N73" s="3"/>
    </row>
    <row r="74" spans="2:14" s="1" customFormat="1" ht="12.75" customHeight="1">
      <c r="B74" s="236"/>
      <c r="C74" s="162"/>
      <c r="D74" s="162" t="s">
        <v>196</v>
      </c>
      <c r="E74" s="196"/>
      <c r="F74" s="162"/>
      <c r="G74" s="261">
        <v>9413244</v>
      </c>
      <c r="H74" s="220"/>
      <c r="I74" s="94"/>
      <c r="J74" s="3"/>
      <c r="K74" s="3"/>
      <c r="L74" s="3"/>
      <c r="M74" s="3"/>
      <c r="N74" s="3"/>
    </row>
    <row r="75" spans="2:14" s="1" customFormat="1" ht="12.75" customHeight="1">
      <c r="B75" s="236"/>
      <c r="C75" s="162"/>
      <c r="D75" s="162" t="s">
        <v>109</v>
      </c>
      <c r="E75" s="196"/>
      <c r="F75" s="162"/>
      <c r="G75" s="261">
        <v>9581790</v>
      </c>
      <c r="H75" s="220"/>
      <c r="I75" s="94"/>
      <c r="J75" s="3"/>
      <c r="K75" s="3"/>
      <c r="L75" s="3"/>
      <c r="M75" s="3"/>
      <c r="N75" s="3"/>
    </row>
    <row r="76" spans="2:14" s="1" customFormat="1" ht="12.75" customHeight="1">
      <c r="B76" s="236"/>
      <c r="C76" s="162"/>
      <c r="D76" s="162" t="s">
        <v>68</v>
      </c>
      <c r="E76" s="196"/>
      <c r="F76" s="162"/>
      <c r="G76" s="261">
        <f>48759+22291+2110530-2110530</f>
        <v>71050</v>
      </c>
      <c r="H76" s="119"/>
      <c r="I76" s="104"/>
      <c r="J76" s="3"/>
      <c r="K76" s="72"/>
      <c r="L76" s="3"/>
      <c r="M76" s="3"/>
      <c r="N76" s="3"/>
    </row>
    <row r="77" spans="2:14" s="1" customFormat="1" ht="12.75" customHeight="1">
      <c r="B77" s="259">
        <v>14</v>
      </c>
      <c r="C77" s="432" t="s">
        <v>27</v>
      </c>
      <c r="D77" s="432"/>
      <c r="E77" s="196"/>
      <c r="F77" s="162"/>
      <c r="G77" s="260">
        <f>G78+G79+G80</f>
        <v>14670669</v>
      </c>
      <c r="H77" s="111"/>
      <c r="I77" s="92"/>
      <c r="J77" s="3"/>
      <c r="K77" s="4"/>
      <c r="L77" s="3"/>
      <c r="M77" s="3"/>
      <c r="N77" s="3"/>
    </row>
    <row r="78" spans="2:14" s="1" customFormat="1" ht="12.75" customHeight="1">
      <c r="B78" s="236"/>
      <c r="C78" s="162"/>
      <c r="D78" s="162" t="s">
        <v>110</v>
      </c>
      <c r="E78" s="196"/>
      <c r="F78" s="162"/>
      <c r="G78" s="261">
        <v>4916136</v>
      </c>
      <c r="H78" s="220"/>
      <c r="I78" s="94"/>
      <c r="J78" s="3"/>
      <c r="K78" s="3"/>
      <c r="L78" s="3"/>
      <c r="M78" s="3"/>
      <c r="N78" s="3"/>
    </row>
    <row r="79" spans="2:14" s="1" customFormat="1" ht="12.75" customHeight="1">
      <c r="B79" s="236"/>
      <c r="C79" s="162"/>
      <c r="D79" s="162" t="s">
        <v>111</v>
      </c>
      <c r="E79" s="196"/>
      <c r="F79" s="162"/>
      <c r="G79" s="261">
        <v>9671048</v>
      </c>
      <c r="H79" s="220"/>
      <c r="I79" s="93"/>
      <c r="J79" s="221"/>
      <c r="K79" s="3"/>
      <c r="L79" s="3"/>
      <c r="M79" s="3"/>
      <c r="N79" s="3"/>
    </row>
    <row r="80" spans="2:14" s="1" customFormat="1" ht="12.75" customHeight="1">
      <c r="B80" s="236"/>
      <c r="C80" s="162"/>
      <c r="D80" s="162" t="s">
        <v>68</v>
      </c>
      <c r="E80" s="196"/>
      <c r="F80" s="162"/>
      <c r="G80" s="261">
        <f>61777+21708+2266056-2266056</f>
        <v>83485</v>
      </c>
      <c r="H80" s="119"/>
      <c r="I80" s="104"/>
      <c r="J80" s="3"/>
      <c r="K80" s="3"/>
      <c r="L80" s="3"/>
      <c r="M80" s="3"/>
      <c r="N80" s="3"/>
    </row>
    <row r="81" spans="2:14" s="1" customFormat="1" ht="12.75" customHeight="1">
      <c r="B81" s="257">
        <v>15</v>
      </c>
      <c r="C81" s="430" t="s">
        <v>147</v>
      </c>
      <c r="D81" s="430"/>
      <c r="E81" s="196"/>
      <c r="F81" s="162"/>
      <c r="G81" s="261">
        <f>F26+1276-44054</f>
        <v>147751</v>
      </c>
      <c r="H81" s="65"/>
      <c r="I81" s="93"/>
      <c r="J81" s="3"/>
      <c r="K81" s="72"/>
      <c r="L81" s="3"/>
      <c r="M81" s="3"/>
      <c r="N81" s="3"/>
    </row>
    <row r="82" spans="2:14" s="1" customFormat="1" ht="12.75" customHeight="1">
      <c r="B82" s="236"/>
      <c r="C82" s="404"/>
      <c r="D82" s="404"/>
      <c r="E82" s="196"/>
      <c r="F82" s="162"/>
      <c r="G82" s="261"/>
      <c r="H82" s="65"/>
      <c r="I82" s="93"/>
      <c r="J82" s="3"/>
      <c r="K82" s="72"/>
      <c r="L82" s="3"/>
      <c r="M82" s="3"/>
      <c r="N82" s="3"/>
    </row>
    <row r="83" spans="2:14" s="1" customFormat="1" ht="12.75" customHeight="1">
      <c r="B83" s="257">
        <v>16</v>
      </c>
      <c r="C83" s="271" t="s">
        <v>151</v>
      </c>
      <c r="D83" s="404"/>
      <c r="E83" s="196"/>
      <c r="F83" s="162"/>
      <c r="G83" s="243">
        <f>F37</f>
        <v>-99380</v>
      </c>
      <c r="H83" s="118"/>
      <c r="I83" s="101"/>
      <c r="J83" s="3"/>
      <c r="K83" s="66"/>
      <c r="L83" s="3"/>
      <c r="M83" s="3"/>
      <c r="N83" s="3"/>
    </row>
    <row r="84" spans="2:14" s="1" customFormat="1" ht="12.75" customHeight="1">
      <c r="B84" s="236"/>
      <c r="C84" s="405"/>
      <c r="D84" s="298"/>
      <c r="E84" s="196"/>
      <c r="F84" s="162"/>
      <c r="G84" s="261"/>
      <c r="H84" s="65"/>
      <c r="I84" s="93"/>
      <c r="J84" s="3"/>
      <c r="K84" s="66"/>
      <c r="L84" s="3"/>
      <c r="M84" s="3"/>
      <c r="N84" s="3"/>
    </row>
    <row r="85" spans="2:14" s="1" customFormat="1" ht="12.75" customHeight="1">
      <c r="B85" s="259">
        <v>17</v>
      </c>
      <c r="C85" s="273" t="s">
        <v>28</v>
      </c>
      <c r="D85" s="106"/>
      <c r="E85" s="196"/>
      <c r="F85" s="162"/>
      <c r="G85" s="261">
        <v>-27678</v>
      </c>
      <c r="H85" s="65"/>
      <c r="I85" s="93"/>
      <c r="J85" s="3"/>
      <c r="K85" s="66"/>
      <c r="L85" s="3"/>
      <c r="M85" s="3"/>
      <c r="N85" s="3"/>
    </row>
    <row r="86" spans="2:14" s="1" customFormat="1" ht="12.75" customHeight="1">
      <c r="B86" s="236"/>
      <c r="C86" s="404"/>
      <c r="D86" s="162"/>
      <c r="E86" s="263"/>
      <c r="F86" s="162"/>
      <c r="G86" s="238"/>
      <c r="H86" s="67"/>
      <c r="I86" s="96"/>
      <c r="J86" s="3"/>
      <c r="K86" s="66"/>
      <c r="L86" s="3"/>
      <c r="M86" s="3"/>
      <c r="N86" s="3"/>
    </row>
    <row r="87" spans="2:14" s="1" customFormat="1" ht="12.75" customHeight="1">
      <c r="B87" s="244">
        <v>18</v>
      </c>
      <c r="C87" s="275" t="s">
        <v>144</v>
      </c>
      <c r="D87" s="276"/>
      <c r="E87" s="300"/>
      <c r="F87" s="278"/>
      <c r="G87" s="279">
        <f>G59-G72+G81+G83</f>
        <v>-4451014</v>
      </c>
      <c r="H87" s="222"/>
      <c r="I87" s="89"/>
      <c r="J87" s="65"/>
      <c r="K87" s="66"/>
      <c r="L87" s="3"/>
      <c r="M87" s="3"/>
      <c r="N87" s="3"/>
    </row>
    <row r="88" spans="2:14" s="1" customFormat="1" ht="12.75" customHeight="1">
      <c r="B88" s="280">
        <v>19</v>
      </c>
      <c r="C88" s="301" t="s">
        <v>156</v>
      </c>
      <c r="D88" s="302"/>
      <c r="E88" s="265"/>
      <c r="F88" s="264"/>
      <c r="G88" s="303">
        <f>MRÚ!G58</f>
        <v>1869</v>
      </c>
      <c r="H88" s="78"/>
      <c r="I88" s="89"/>
      <c r="J88" s="65"/>
      <c r="K88" s="66"/>
      <c r="L88" s="3"/>
      <c r="M88" s="3"/>
      <c r="N88" s="3"/>
    </row>
    <row r="89" spans="2:14" s="1" customFormat="1" ht="12.75" customHeight="1">
      <c r="B89" s="280">
        <v>20</v>
      </c>
      <c r="C89" s="281" t="s">
        <v>152</v>
      </c>
      <c r="D89" s="281"/>
      <c r="E89" s="265"/>
      <c r="F89" s="265"/>
      <c r="G89" s="266">
        <f>G87+G88-F55</f>
        <v>-23519</v>
      </c>
      <c r="H89" s="220"/>
      <c r="I89" s="93"/>
      <c r="J89" s="65"/>
      <c r="K89" s="66"/>
      <c r="L89" s="3"/>
      <c r="M89" s="3"/>
      <c r="N89" s="3"/>
    </row>
    <row r="90" spans="1:14" s="1" customFormat="1" ht="12.75" customHeight="1">
      <c r="A90" s="3"/>
      <c r="B90" s="162"/>
      <c r="C90" s="162"/>
      <c r="D90" s="162"/>
      <c r="E90" s="196"/>
      <c r="F90" s="196"/>
      <c r="G90" s="198"/>
      <c r="H90" s="81"/>
      <c r="I90" s="97"/>
      <c r="J90" s="72"/>
      <c r="K90" s="3"/>
      <c r="L90" s="3"/>
      <c r="M90" s="3"/>
      <c r="N90" s="3"/>
    </row>
    <row r="91" spans="2:14" s="1" customFormat="1" ht="26.25" customHeight="1">
      <c r="B91" s="421"/>
      <c r="C91" s="440" t="s">
        <v>149</v>
      </c>
      <c r="D91" s="440"/>
      <c r="E91" s="422"/>
      <c r="F91" s="423"/>
      <c r="G91" s="424" t="s">
        <v>205</v>
      </c>
      <c r="H91" s="120"/>
      <c r="I91" s="98"/>
      <c r="J91" s="3"/>
      <c r="K91" s="4"/>
      <c r="L91" s="3"/>
      <c r="M91" s="3"/>
      <c r="N91" s="3"/>
    </row>
    <row r="92" spans="2:14" s="1" customFormat="1" ht="12.75" customHeight="1">
      <c r="B92" s="236"/>
      <c r="C92" s="282"/>
      <c r="D92" s="282"/>
      <c r="E92" s="196"/>
      <c r="F92" s="196"/>
      <c r="G92" s="283"/>
      <c r="H92" s="121"/>
      <c r="I92" s="96"/>
      <c r="J92" s="3"/>
      <c r="K92" s="3"/>
      <c r="L92" s="3"/>
      <c r="M92" s="3"/>
      <c r="N92" s="3"/>
    </row>
    <row r="93" spans="2:14" s="1" customFormat="1" ht="12.75" customHeight="1">
      <c r="B93" s="257">
        <v>21</v>
      </c>
      <c r="C93" s="429" t="s">
        <v>148</v>
      </c>
      <c r="D93" s="429"/>
      <c r="E93" s="196"/>
      <c r="F93" s="196"/>
      <c r="G93" s="284">
        <f>-1*F55</f>
        <v>4425626</v>
      </c>
      <c r="H93" s="110"/>
      <c r="I93" s="99"/>
      <c r="J93" s="3"/>
      <c r="K93" s="3"/>
      <c r="L93" s="3"/>
      <c r="M93" s="3"/>
      <c r="N93" s="3"/>
    </row>
    <row r="94" spans="2:14" s="1" customFormat="1" ht="12.75" customHeight="1">
      <c r="B94" s="236"/>
      <c r="C94" s="404"/>
      <c r="D94" s="404"/>
      <c r="E94" s="196"/>
      <c r="F94" s="196"/>
      <c r="G94" s="283"/>
      <c r="H94" s="121"/>
      <c r="I94" s="96"/>
      <c r="J94" s="3"/>
      <c r="K94" s="3"/>
      <c r="L94" s="3"/>
      <c r="M94" s="3"/>
      <c r="N94" s="3"/>
    </row>
    <row r="95" spans="2:14" s="1" customFormat="1" ht="12.75" customHeight="1">
      <c r="B95" s="257">
        <v>22</v>
      </c>
      <c r="C95" s="430" t="s">
        <v>129</v>
      </c>
      <c r="D95" s="430"/>
      <c r="E95" s="196"/>
      <c r="F95" s="162"/>
      <c r="G95" s="284">
        <f>G96+G97+G108+G115</f>
        <v>355200</v>
      </c>
      <c r="H95" s="110"/>
      <c r="I95" s="99"/>
      <c r="J95" s="3"/>
      <c r="K95" s="3"/>
      <c r="L95" s="3"/>
      <c r="M95" s="3"/>
      <c r="N95" s="3"/>
    </row>
    <row r="96" spans="2:14" s="1" customFormat="1" ht="12.75" customHeight="1">
      <c r="B96" s="236"/>
      <c r="C96" s="405"/>
      <c r="D96" s="162" t="s">
        <v>68</v>
      </c>
      <c r="E96" s="196"/>
      <c r="F96" s="162"/>
      <c r="G96" s="258">
        <f>G85</f>
        <v>-27678</v>
      </c>
      <c r="H96" s="78"/>
      <c r="I96" s="89"/>
      <c r="J96" s="3"/>
      <c r="K96" s="3"/>
      <c r="L96" s="3"/>
      <c r="M96" s="3"/>
      <c r="N96" s="3"/>
    </row>
    <row r="97" spans="2:9" ht="12.75" customHeight="1">
      <c r="B97" s="285"/>
      <c r="C97" s="404"/>
      <c r="D97" s="162" t="s">
        <v>23</v>
      </c>
      <c r="E97" s="196"/>
      <c r="F97" s="162"/>
      <c r="G97" s="258">
        <f>G98-G102</f>
        <v>-88124</v>
      </c>
      <c r="H97" s="78"/>
      <c r="I97" s="89"/>
    </row>
    <row r="98" spans="2:9" ht="12.75" customHeight="1">
      <c r="B98" s="285"/>
      <c r="C98" s="404"/>
      <c r="D98" s="162" t="s">
        <v>171</v>
      </c>
      <c r="E98" s="196"/>
      <c r="F98" s="162"/>
      <c r="G98" s="261">
        <f>G99+G100+G101</f>
        <v>5063</v>
      </c>
      <c r="H98" s="65"/>
      <c r="I98" s="93"/>
    </row>
    <row r="99" spans="2:9" ht="12.75" customHeight="1">
      <c r="B99" s="285"/>
      <c r="C99" s="404"/>
      <c r="D99" s="162" t="s">
        <v>172</v>
      </c>
      <c r="E99" s="196"/>
      <c r="F99" s="162"/>
      <c r="G99" s="261">
        <f>G69</f>
        <v>0</v>
      </c>
      <c r="H99" s="119"/>
      <c r="I99" s="100"/>
    </row>
    <row r="100" spans="2:9" ht="12.75" customHeight="1">
      <c r="B100" s="285"/>
      <c r="C100" s="404"/>
      <c r="D100" s="162" t="s">
        <v>173</v>
      </c>
      <c r="E100" s="196"/>
      <c r="F100" s="162"/>
      <c r="G100" s="261">
        <f>F33</f>
        <v>5063</v>
      </c>
      <c r="H100" s="65"/>
      <c r="I100" s="93"/>
    </row>
    <row r="101" spans="2:9" ht="12.75" customHeight="1">
      <c r="B101" s="285"/>
      <c r="C101" s="404"/>
      <c r="D101" s="162" t="s">
        <v>203</v>
      </c>
      <c r="E101" s="196"/>
      <c r="F101" s="162"/>
      <c r="G101" s="261">
        <v>0</v>
      </c>
      <c r="H101" s="119"/>
      <c r="I101" s="93"/>
    </row>
    <row r="102" spans="2:9" ht="12.75" customHeight="1">
      <c r="B102" s="285"/>
      <c r="C102" s="404"/>
      <c r="D102" s="162" t="s">
        <v>112</v>
      </c>
      <c r="E102" s="196"/>
      <c r="F102" s="162"/>
      <c r="G102" s="261">
        <f>G103+G104+G105+G106+G107</f>
        <v>93187</v>
      </c>
      <c r="H102" s="65"/>
      <c r="I102" s="93"/>
    </row>
    <row r="103" spans="2:9" ht="12.75" customHeight="1">
      <c r="B103" s="285"/>
      <c r="C103" s="404"/>
      <c r="D103" s="162" t="s">
        <v>87</v>
      </c>
      <c r="E103" s="196"/>
      <c r="F103" s="162"/>
      <c r="G103" s="261">
        <f>G63</f>
        <v>88309</v>
      </c>
      <c r="H103" s="65"/>
      <c r="I103" s="100"/>
    </row>
    <row r="104" spans="2:9" ht="12.75" customHeight="1">
      <c r="B104" s="285"/>
      <c r="C104" s="404"/>
      <c r="D104" s="162" t="s">
        <v>173</v>
      </c>
      <c r="E104" s="196"/>
      <c r="F104" s="162"/>
      <c r="G104" s="261">
        <v>0</v>
      </c>
      <c r="H104" s="65"/>
      <c r="I104" s="93"/>
    </row>
    <row r="105" spans="2:9" ht="12.75" customHeight="1">
      <c r="B105" s="285"/>
      <c r="C105" s="404"/>
      <c r="D105" s="162" t="s">
        <v>88</v>
      </c>
      <c r="E105" s="196"/>
      <c r="F105" s="162"/>
      <c r="G105" s="261">
        <f>-F40</f>
        <v>681</v>
      </c>
      <c r="H105" s="65"/>
      <c r="I105" s="93"/>
    </row>
    <row r="106" spans="2:9" ht="12.75" customHeight="1">
      <c r="B106" s="285"/>
      <c r="C106" s="404"/>
      <c r="D106" s="406" t="s">
        <v>174</v>
      </c>
      <c r="E106" s="196"/>
      <c r="F106" s="162"/>
      <c r="G106" s="261">
        <f>-F38</f>
        <v>3902</v>
      </c>
      <c r="H106" s="65"/>
      <c r="I106" s="93"/>
    </row>
    <row r="107" spans="2:9" ht="12.75" customHeight="1">
      <c r="B107" s="285"/>
      <c r="C107" s="404"/>
      <c r="D107" s="162" t="s">
        <v>198</v>
      </c>
      <c r="E107" s="196"/>
      <c r="F107" s="162"/>
      <c r="G107" s="261">
        <f>-F39</f>
        <v>295</v>
      </c>
      <c r="H107" s="65"/>
      <c r="I107" s="89"/>
    </row>
    <row r="108" spans="2:9" ht="12.75" customHeight="1">
      <c r="B108" s="285"/>
      <c r="C108" s="404"/>
      <c r="D108" s="162" t="s">
        <v>24</v>
      </c>
      <c r="E108" s="196"/>
      <c r="F108" s="162"/>
      <c r="G108" s="258">
        <f>G109-G112</f>
        <v>-18989</v>
      </c>
      <c r="H108" s="78"/>
      <c r="I108" s="93"/>
    </row>
    <row r="109" spans="2:9" ht="12.75" customHeight="1">
      <c r="B109" s="285"/>
      <c r="C109" s="404"/>
      <c r="D109" s="162" t="s">
        <v>78</v>
      </c>
      <c r="E109" s="196"/>
      <c r="F109" s="162"/>
      <c r="G109" s="261">
        <f>G110+G111</f>
        <v>1011</v>
      </c>
      <c r="H109" s="65"/>
      <c r="I109" s="93"/>
    </row>
    <row r="110" spans="2:9" ht="12.75" customHeight="1">
      <c r="B110" s="285"/>
      <c r="C110" s="404"/>
      <c r="D110" s="162" t="s">
        <v>89</v>
      </c>
      <c r="E110" s="196"/>
      <c r="F110" s="162"/>
      <c r="G110" s="261">
        <f>G70</f>
        <v>12017</v>
      </c>
      <c r="H110" s="119"/>
      <c r="I110" s="93"/>
    </row>
    <row r="111" spans="2:9" ht="12.75" customHeight="1">
      <c r="B111" s="285"/>
      <c r="C111" s="404"/>
      <c r="D111" s="162" t="s">
        <v>90</v>
      </c>
      <c r="E111" s="196"/>
      <c r="F111" s="162"/>
      <c r="G111" s="261">
        <f>ŠFA!F27+ŠFA!F28</f>
        <v>-11006</v>
      </c>
      <c r="H111" s="119"/>
      <c r="I111" s="93"/>
    </row>
    <row r="112" spans="2:10" ht="12.75" customHeight="1">
      <c r="B112" s="285"/>
      <c r="C112" s="404"/>
      <c r="D112" s="162" t="s">
        <v>79</v>
      </c>
      <c r="E112" s="196"/>
      <c r="F112" s="162"/>
      <c r="G112" s="261">
        <f>G113+G114</f>
        <v>20000</v>
      </c>
      <c r="H112" s="65"/>
      <c r="I112" s="93"/>
      <c r="J112" s="223"/>
    </row>
    <row r="113" spans="2:9" ht="12.75" customHeight="1">
      <c r="B113" s="285"/>
      <c r="C113" s="404"/>
      <c r="D113" s="162" t="s">
        <v>91</v>
      </c>
      <c r="E113" s="196"/>
      <c r="F113" s="162"/>
      <c r="G113" s="261">
        <f>G64</f>
        <v>0</v>
      </c>
      <c r="H113" s="65"/>
      <c r="I113" s="93"/>
    </row>
    <row r="114" spans="2:9" ht="12.75" customHeight="1">
      <c r="B114" s="285"/>
      <c r="C114" s="162"/>
      <c r="D114" s="162" t="s">
        <v>257</v>
      </c>
      <c r="E114" s="196"/>
      <c r="F114" s="162"/>
      <c r="G114" s="261">
        <f>-F41</f>
        <v>20000</v>
      </c>
      <c r="H114" s="65"/>
      <c r="I114" s="89"/>
    </row>
    <row r="115" spans="2:9" ht="12.75" customHeight="1">
      <c r="B115" s="285"/>
      <c r="C115" s="162"/>
      <c r="D115" s="162" t="s">
        <v>113</v>
      </c>
      <c r="E115" s="196"/>
      <c r="F115" s="162"/>
      <c r="G115" s="258">
        <f>G116+G117+G118+G119</f>
        <v>489991</v>
      </c>
      <c r="H115" s="78"/>
      <c r="I115" s="93"/>
    </row>
    <row r="116" spans="2:9" ht="12.75" customHeight="1">
      <c r="B116" s="285"/>
      <c r="C116" s="162"/>
      <c r="D116" s="162" t="s">
        <v>92</v>
      </c>
      <c r="E116" s="196"/>
      <c r="F116" s="162"/>
      <c r="G116" s="261">
        <f>F35+F42</f>
        <v>210729</v>
      </c>
      <c r="H116" s="65"/>
      <c r="I116" s="93"/>
    </row>
    <row r="117" spans="2:9" ht="12.75" customHeight="1">
      <c r="B117" s="285"/>
      <c r="C117" s="162"/>
      <c r="D117" s="162" t="s">
        <v>93</v>
      </c>
      <c r="E117" s="196"/>
      <c r="F117" s="162"/>
      <c r="G117" s="261">
        <f>F36</f>
        <v>225936</v>
      </c>
      <c r="H117" s="65"/>
      <c r="I117" s="93"/>
    </row>
    <row r="118" spans="2:9" ht="12.75" customHeight="1">
      <c r="B118" s="285"/>
      <c r="C118" s="162"/>
      <c r="D118" s="162" t="s">
        <v>94</v>
      </c>
      <c r="E118" s="196"/>
      <c r="F118" s="162"/>
      <c r="G118" s="261">
        <f>F34</f>
        <v>0</v>
      </c>
      <c r="H118" s="65"/>
      <c r="I118" s="93"/>
    </row>
    <row r="119" spans="2:9" ht="12.75" customHeight="1">
      <c r="B119" s="305"/>
      <c r="C119" s="264"/>
      <c r="D119" s="264" t="s">
        <v>258</v>
      </c>
      <c r="E119" s="265"/>
      <c r="F119" s="264"/>
      <c r="G119" s="266">
        <f>F27</f>
        <v>53326</v>
      </c>
      <c r="H119" s="65"/>
      <c r="I119" s="93"/>
    </row>
    <row r="120" spans="2:9" ht="12.75" customHeight="1">
      <c r="B120" s="299">
        <v>23</v>
      </c>
      <c r="C120" s="439" t="s">
        <v>130</v>
      </c>
      <c r="D120" s="439"/>
      <c r="E120" s="269"/>
      <c r="F120" s="268"/>
      <c r="G120" s="342">
        <f>G121+G122+G126+G130+G131</f>
        <v>-323402</v>
      </c>
      <c r="H120" s="110"/>
      <c r="I120" s="93"/>
    </row>
    <row r="121" spans="2:9" ht="12.75" customHeight="1">
      <c r="B121" s="285"/>
      <c r="C121" s="162"/>
      <c r="D121" s="162" t="s">
        <v>81</v>
      </c>
      <c r="E121" s="196"/>
      <c r="F121" s="162"/>
      <c r="G121" s="261">
        <f>F28+1276-44054</f>
        <v>-360718</v>
      </c>
      <c r="H121" s="65"/>
      <c r="I121" s="93"/>
    </row>
    <row r="122" spans="2:9" ht="12.75" customHeight="1">
      <c r="B122" s="285"/>
      <c r="C122" s="162"/>
      <c r="D122" s="162" t="s">
        <v>82</v>
      </c>
      <c r="E122" s="196"/>
      <c r="F122" s="162"/>
      <c r="G122" s="261">
        <f>G123+G124+G125</f>
        <v>51973</v>
      </c>
      <c r="H122" s="65"/>
      <c r="I122" s="93"/>
    </row>
    <row r="123" spans="2:9" ht="12.75" customHeight="1">
      <c r="B123" s="285"/>
      <c r="C123" s="162"/>
      <c r="D123" s="162" t="s">
        <v>95</v>
      </c>
      <c r="E123" s="196"/>
      <c r="F123" s="162"/>
      <c r="G123" s="261">
        <v>-13904</v>
      </c>
      <c r="H123" s="65"/>
      <c r="I123" s="93"/>
    </row>
    <row r="124" spans="2:9" ht="12.75" customHeight="1">
      <c r="B124" s="285"/>
      <c r="C124" s="162"/>
      <c r="D124" s="162" t="s">
        <v>96</v>
      </c>
      <c r="E124" s="196"/>
      <c r="F124" s="162"/>
      <c r="G124" s="261">
        <v>96234</v>
      </c>
      <c r="H124" s="65"/>
      <c r="I124" s="93"/>
    </row>
    <row r="125" spans="2:9" ht="12.75" customHeight="1">
      <c r="B125" s="285"/>
      <c r="C125" s="162"/>
      <c r="D125" s="162" t="s">
        <v>197</v>
      </c>
      <c r="E125" s="196"/>
      <c r="F125" s="162"/>
      <c r="G125" s="261">
        <v>-30357</v>
      </c>
      <c r="H125" s="65"/>
      <c r="I125" s="93"/>
    </row>
    <row r="126" spans="2:9" ht="12.75" customHeight="1">
      <c r="B126" s="285"/>
      <c r="C126" s="162"/>
      <c r="D126" s="162" t="s">
        <v>83</v>
      </c>
      <c r="E126" s="196"/>
      <c r="F126" s="162"/>
      <c r="G126" s="261">
        <f>G127+G128+G129</f>
        <v>-30730</v>
      </c>
      <c r="H126" s="65"/>
      <c r="I126" s="93"/>
    </row>
    <row r="127" spans="2:9" ht="12.75" customHeight="1">
      <c r="B127" s="285"/>
      <c r="C127" s="162"/>
      <c r="D127" s="162" t="s">
        <v>97</v>
      </c>
      <c r="E127" s="196"/>
      <c r="F127" s="162"/>
      <c r="G127" s="261">
        <f>24115</f>
        <v>24115</v>
      </c>
      <c r="H127" s="65"/>
      <c r="I127" s="93"/>
    </row>
    <row r="128" spans="2:9" ht="12.75" customHeight="1">
      <c r="B128" s="285"/>
      <c r="C128" s="162"/>
      <c r="D128" s="162" t="s">
        <v>98</v>
      </c>
      <c r="E128" s="196"/>
      <c r="F128" s="162"/>
      <c r="G128" s="261">
        <f>-86703+30357</f>
        <v>-56346</v>
      </c>
      <c r="H128" s="65"/>
      <c r="I128" s="93"/>
    </row>
    <row r="129" spans="2:9" ht="12.75" customHeight="1">
      <c r="B129" s="285"/>
      <c r="C129" s="162"/>
      <c r="D129" s="162" t="s">
        <v>99</v>
      </c>
      <c r="E129" s="196"/>
      <c r="F129" s="162"/>
      <c r="G129" s="261">
        <f>F32</f>
        <v>1501</v>
      </c>
      <c r="H129" s="65"/>
      <c r="I129" s="93"/>
    </row>
    <row r="130" spans="2:9" ht="12.75" customHeight="1">
      <c r="B130" s="285"/>
      <c r="C130" s="162"/>
      <c r="D130" s="162" t="s">
        <v>84</v>
      </c>
      <c r="E130" s="196"/>
      <c r="F130" s="162"/>
      <c r="G130" s="261">
        <v>16073</v>
      </c>
      <c r="H130" s="65"/>
      <c r="I130" s="93"/>
    </row>
    <row r="131" spans="2:9" ht="12.75" customHeight="1">
      <c r="B131" s="285"/>
      <c r="C131" s="162"/>
      <c r="D131" s="162" t="s">
        <v>166</v>
      </c>
      <c r="E131" s="196"/>
      <c r="F131" s="162"/>
      <c r="G131" s="261">
        <v>0</v>
      </c>
      <c r="H131" s="65"/>
      <c r="I131" s="93"/>
    </row>
    <row r="132" spans="2:9" ht="12.75" customHeight="1">
      <c r="B132" s="285"/>
      <c r="C132" s="162"/>
      <c r="D132" s="162"/>
      <c r="E132" s="196"/>
      <c r="F132" s="162"/>
      <c r="G132" s="261"/>
      <c r="H132" s="65"/>
      <c r="I132" s="99"/>
    </row>
    <row r="133" spans="2:9" ht="12.75" customHeight="1">
      <c r="B133" s="233">
        <v>24</v>
      </c>
      <c r="C133" s="430" t="s">
        <v>153</v>
      </c>
      <c r="D133" s="430"/>
      <c r="E133" s="196"/>
      <c r="F133" s="162"/>
      <c r="G133" s="284">
        <f>G134+G135</f>
        <v>5313</v>
      </c>
      <c r="H133" s="110"/>
      <c r="I133" s="93"/>
    </row>
    <row r="134" spans="2:9" ht="12.75">
      <c r="B134" s="285"/>
      <c r="C134" s="162"/>
      <c r="D134" s="162" t="s">
        <v>180</v>
      </c>
      <c r="E134" s="196"/>
      <c r="F134" s="162"/>
      <c r="G134" s="261">
        <f>-G89</f>
        <v>23519</v>
      </c>
      <c r="H134" s="65"/>
      <c r="I134" s="105"/>
    </row>
    <row r="135" spans="2:9" ht="12.75">
      <c r="B135" s="285"/>
      <c r="C135" s="162"/>
      <c r="D135" s="162" t="s">
        <v>86</v>
      </c>
      <c r="E135" s="196"/>
      <c r="F135" s="162"/>
      <c r="G135" s="261">
        <f>G137-(G93+G95+G120)-G134</f>
        <v>-18206</v>
      </c>
      <c r="H135" s="65"/>
      <c r="I135" s="105"/>
    </row>
    <row r="136" spans="2:9" ht="12.75">
      <c r="B136" s="285"/>
      <c r="C136" s="162"/>
      <c r="D136" s="162"/>
      <c r="E136" s="196"/>
      <c r="F136" s="162"/>
      <c r="G136" s="261"/>
      <c r="H136" s="65"/>
      <c r="I136" s="89"/>
    </row>
    <row r="137" spans="2:9" ht="12.75">
      <c r="B137" s="288">
        <v>25</v>
      </c>
      <c r="C137" s="434" t="s">
        <v>176</v>
      </c>
      <c r="D137" s="434"/>
      <c r="E137" s="300"/>
      <c r="F137" s="278"/>
      <c r="G137" s="279">
        <f>4462737</f>
        <v>4462737</v>
      </c>
      <c r="H137" s="122"/>
      <c r="I137" s="224"/>
    </row>
    <row r="138" spans="7:9" ht="12.75">
      <c r="G138" s="5"/>
      <c r="H138" s="82"/>
      <c r="I138" s="224"/>
    </row>
    <row r="139" spans="3:9" ht="12.75">
      <c r="C139" s="69"/>
      <c r="G139" s="5"/>
      <c r="H139" s="82"/>
      <c r="I139" s="224"/>
    </row>
    <row r="140" spans="7:8" ht="12.75">
      <c r="G140" s="5"/>
      <c r="H140" s="82"/>
    </row>
  </sheetData>
  <mergeCells count="25">
    <mergeCell ref="C3:D3"/>
    <mergeCell ref="C91:D91"/>
    <mergeCell ref="C95:D95"/>
    <mergeCell ref="C81:D81"/>
    <mergeCell ref="C66:D66"/>
    <mergeCell ref="C72:D72"/>
    <mergeCell ref="C73:D73"/>
    <mergeCell ref="C77:D77"/>
    <mergeCell ref="C4:D4"/>
    <mergeCell ref="C14:D14"/>
    <mergeCell ref="C24:D24"/>
    <mergeCell ref="C26:D26"/>
    <mergeCell ref="C59:D59"/>
    <mergeCell ref="C37:D37"/>
    <mergeCell ref="C47:D47"/>
    <mergeCell ref="C51:D51"/>
    <mergeCell ref="C55:D55"/>
    <mergeCell ref="C57:D57"/>
    <mergeCell ref="C137:D137"/>
    <mergeCell ref="C56:D56"/>
    <mergeCell ref="C133:D133"/>
    <mergeCell ref="C93:D93"/>
    <mergeCell ref="C60:D60"/>
    <mergeCell ref="C120:D120"/>
    <mergeCell ref="C58:D58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84" r:id="rId3"/>
  <rowBreaks count="2" manualBreakCount="2">
    <brk id="57" min="1" max="16383" man="1"/>
    <brk id="119" min="1" max="1638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137"/>
  <sheetViews>
    <sheetView showGridLines="0" view="pageBreakPreview" zoomScale="80" zoomScaleSheetLayoutView="80" workbookViewId="0" topLeftCell="A73">
      <selection activeCell="E7" sqref="E7:E22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6" width="9.8515625" style="40" customWidth="1"/>
    <col min="7" max="8" width="10.57421875" style="42" customWidth="1"/>
    <col min="9" max="16384" width="9.140625" style="1" customWidth="1"/>
  </cols>
  <sheetData>
    <row r="1" spans="2:8" s="31" customFormat="1" ht="15">
      <c r="B1" s="289"/>
      <c r="C1" s="290" t="s">
        <v>181</v>
      </c>
      <c r="D1" s="289"/>
      <c r="E1" s="312"/>
      <c r="F1" s="29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customHeight="1" thickTop="1">
      <c r="B3" s="309"/>
      <c r="C3" s="457" t="s">
        <v>136</v>
      </c>
      <c r="D3" s="459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50" t="s">
        <v>119</v>
      </c>
      <c r="D4" s="453"/>
      <c r="E4" s="234">
        <f>E5+E6+E12</f>
        <v>4208</v>
      </c>
      <c r="F4" s="234">
        <f>F5+F6+F12</f>
        <v>4665</v>
      </c>
      <c r="G4" s="235">
        <f aca="true" t="shared" si="0" ref="G4:G12">F4-E4</f>
        <v>457</v>
      </c>
      <c r="H4" s="78"/>
    </row>
    <row r="5" spans="2:8" ht="12.75" customHeight="1">
      <c r="B5" s="236"/>
      <c r="C5" s="237" t="s">
        <v>0</v>
      </c>
      <c r="D5" s="237" t="s">
        <v>69</v>
      </c>
      <c r="E5" s="238">
        <v>0</v>
      </c>
      <c r="F5" s="238">
        <v>0</v>
      </c>
      <c r="G5" s="239">
        <f t="shared" si="0"/>
        <v>0</v>
      </c>
      <c r="H5" s="38"/>
    </row>
    <row r="6" spans="2:8" ht="12.75" customHeight="1">
      <c r="B6" s="236"/>
      <c r="C6" s="237"/>
      <c r="D6" s="237" t="s">
        <v>30</v>
      </c>
      <c r="E6" s="238">
        <f>SUM(E7:E11)</f>
        <v>2171</v>
      </c>
      <c r="F6" s="238">
        <f>SUM(F7:F11)</f>
        <v>2322</v>
      </c>
      <c r="G6" s="239">
        <f t="shared" si="0"/>
        <v>151</v>
      </c>
      <c r="H6" s="38"/>
    </row>
    <row r="7" spans="2:8" ht="12.75" customHeight="1">
      <c r="B7" s="236"/>
      <c r="C7" s="237"/>
      <c r="D7" s="240" t="s">
        <v>44</v>
      </c>
      <c r="E7" s="238">
        <v>6</v>
      </c>
      <c r="F7" s="238">
        <v>5</v>
      </c>
      <c r="G7" s="239">
        <f t="shared" si="0"/>
        <v>-1</v>
      </c>
      <c r="H7" s="38"/>
    </row>
    <row r="8" spans="2:9" ht="12.75" customHeight="1">
      <c r="B8" s="236"/>
      <c r="C8" s="237"/>
      <c r="D8" s="240" t="s">
        <v>40</v>
      </c>
      <c r="E8" s="238">
        <v>2163</v>
      </c>
      <c r="F8" s="238">
        <v>2312</v>
      </c>
      <c r="G8" s="239">
        <f t="shared" si="0"/>
        <v>149</v>
      </c>
      <c r="H8" s="38"/>
      <c r="I8" s="17"/>
    </row>
    <row r="9" spans="2:8" ht="12.75" customHeight="1">
      <c r="B9" s="236"/>
      <c r="C9" s="237"/>
      <c r="D9" s="240" t="s">
        <v>41</v>
      </c>
      <c r="E9" s="238">
        <v>0</v>
      </c>
      <c r="F9" s="238">
        <v>2</v>
      </c>
      <c r="G9" s="239">
        <f t="shared" si="0"/>
        <v>2</v>
      </c>
      <c r="H9" s="38"/>
    </row>
    <row r="10" spans="2:8" ht="12.75" customHeight="1">
      <c r="B10" s="236"/>
      <c r="C10" s="237"/>
      <c r="D10" s="240" t="s">
        <v>42</v>
      </c>
      <c r="E10" s="238">
        <v>0</v>
      </c>
      <c r="F10" s="238">
        <v>0</v>
      </c>
      <c r="G10" s="239">
        <f t="shared" si="0"/>
        <v>0</v>
      </c>
      <c r="H10" s="38"/>
    </row>
    <row r="11" spans="2:8" ht="12.75" customHeight="1">
      <c r="B11" s="236"/>
      <c r="C11" s="237"/>
      <c r="D11" s="240" t="s">
        <v>43</v>
      </c>
      <c r="E11" s="238">
        <v>2</v>
      </c>
      <c r="F11" s="238">
        <v>3</v>
      </c>
      <c r="G11" s="239">
        <f t="shared" si="0"/>
        <v>1</v>
      </c>
      <c r="H11" s="38"/>
    </row>
    <row r="12" spans="2:8" ht="12.75" customHeight="1">
      <c r="B12" s="236"/>
      <c r="C12" s="237"/>
      <c r="D12" s="237" t="s">
        <v>31</v>
      </c>
      <c r="E12" s="238">
        <v>2037</v>
      </c>
      <c r="F12" s="238">
        <v>2343</v>
      </c>
      <c r="G12" s="242">
        <f t="shared" si="0"/>
        <v>306</v>
      </c>
      <c r="H12" s="47"/>
    </row>
    <row r="13" spans="2:8" ht="12.75" customHeight="1">
      <c r="B13" s="233"/>
      <c r="C13" s="237"/>
      <c r="D13" s="237"/>
      <c r="E13" s="238"/>
      <c r="F13" s="238"/>
      <c r="G13" s="235"/>
      <c r="H13" s="78"/>
    </row>
    <row r="14" spans="2:8" ht="12.75" customHeight="1">
      <c r="B14" s="233">
        <v>2</v>
      </c>
      <c r="C14" s="429" t="s">
        <v>120</v>
      </c>
      <c r="D14" s="444"/>
      <c r="E14" s="243">
        <f>E15+E20</f>
        <v>4208</v>
      </c>
      <c r="F14" s="243">
        <f>F15+F20</f>
        <v>4577</v>
      </c>
      <c r="G14" s="329">
        <f aca="true" t="shared" si="1" ref="G14:G22">F14-E14</f>
        <v>369</v>
      </c>
      <c r="H14" s="10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4140</v>
      </c>
      <c r="F15" s="238">
        <f>F16+F17+F18+F19</f>
        <v>4429</v>
      </c>
      <c r="G15" s="239">
        <f t="shared" si="1"/>
        <v>289</v>
      </c>
      <c r="H15" s="38"/>
    </row>
    <row r="16" spans="2:8" ht="12.75" customHeight="1">
      <c r="B16" s="236"/>
      <c r="C16" s="237"/>
      <c r="D16" s="240" t="s">
        <v>34</v>
      </c>
      <c r="E16" s="238">
        <f>1824+624</f>
        <v>2448</v>
      </c>
      <c r="F16" s="238">
        <f>1811+623</f>
        <v>2434</v>
      </c>
      <c r="G16" s="239">
        <f t="shared" si="1"/>
        <v>-14</v>
      </c>
      <c r="H16" s="38"/>
    </row>
    <row r="17" spans="2:8" ht="12.75" customHeight="1">
      <c r="B17" s="236"/>
      <c r="C17" s="237"/>
      <c r="D17" s="240" t="s">
        <v>35</v>
      </c>
      <c r="E17" s="238">
        <v>1682</v>
      </c>
      <c r="F17" s="238">
        <v>1916</v>
      </c>
      <c r="G17" s="239">
        <f t="shared" si="1"/>
        <v>234</v>
      </c>
      <c r="H17" s="38"/>
    </row>
    <row r="18" spans="2:8" ht="12.75" customHeight="1">
      <c r="B18" s="236"/>
      <c r="C18" s="237"/>
      <c r="D18" s="240" t="s">
        <v>36</v>
      </c>
      <c r="E18" s="238">
        <v>10</v>
      </c>
      <c r="F18" s="238">
        <v>79</v>
      </c>
      <c r="G18" s="239">
        <f t="shared" si="1"/>
        <v>69</v>
      </c>
      <c r="H18" s="38"/>
    </row>
    <row r="19" spans="2:8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  <c r="H19" s="38"/>
    </row>
    <row r="20" spans="2:8" ht="12.75" customHeight="1">
      <c r="B20" s="236"/>
      <c r="C20" s="237"/>
      <c r="D20" s="237" t="s">
        <v>33</v>
      </c>
      <c r="E20" s="238">
        <f>E21+E22</f>
        <v>68</v>
      </c>
      <c r="F20" s="238">
        <f>F21+F22</f>
        <v>148</v>
      </c>
      <c r="G20" s="239">
        <f t="shared" si="1"/>
        <v>80</v>
      </c>
      <c r="H20" s="38"/>
    </row>
    <row r="21" spans="2:9" ht="12.75" customHeight="1">
      <c r="B21" s="236"/>
      <c r="C21" s="237"/>
      <c r="D21" s="240" t="s">
        <v>38</v>
      </c>
      <c r="E21" s="238">
        <v>68</v>
      </c>
      <c r="F21" s="238">
        <v>148</v>
      </c>
      <c r="G21" s="239">
        <f t="shared" si="1"/>
        <v>80</v>
      </c>
      <c r="H21" s="38"/>
      <c r="I21" s="18"/>
    </row>
    <row r="22" spans="2:8" ht="12.75" customHeight="1">
      <c r="B22" s="236"/>
      <c r="C22" s="237"/>
      <c r="D22" s="240" t="s">
        <v>39</v>
      </c>
      <c r="E22" s="238"/>
      <c r="F22" s="238">
        <v>0</v>
      </c>
      <c r="G22" s="239">
        <f t="shared" si="1"/>
        <v>0</v>
      </c>
      <c r="H22" s="38"/>
    </row>
    <row r="23" spans="2:8" ht="12.75" customHeight="1">
      <c r="B23" s="233"/>
      <c r="C23" s="237"/>
      <c r="D23" s="237"/>
      <c r="E23" s="370"/>
      <c r="F23" s="370"/>
      <c r="G23" s="242"/>
      <c r="H23" s="47"/>
    </row>
    <row r="24" spans="2:8" ht="12.75" customHeight="1">
      <c r="B24" s="244">
        <v>3</v>
      </c>
      <c r="C24" s="434" t="s">
        <v>121</v>
      </c>
      <c r="D24" s="435"/>
      <c r="E24" s="245">
        <f>E4-E14</f>
        <v>0</v>
      </c>
      <c r="F24" s="245">
        <f>F4-F14</f>
        <v>88</v>
      </c>
      <c r="G24" s="246">
        <f>F24-E24</f>
        <v>88</v>
      </c>
      <c r="H24" s="78"/>
    </row>
    <row r="25" spans="2:8" ht="12.75" customHeight="1">
      <c r="B25" s="233"/>
      <c r="C25" s="247"/>
      <c r="D25" s="247"/>
      <c r="E25" s="238"/>
      <c r="F25" s="238"/>
      <c r="G25" s="235"/>
      <c r="H25" s="78"/>
    </row>
    <row r="26" spans="2:8" ht="12.75" customHeight="1">
      <c r="B26" s="233">
        <v>4</v>
      </c>
      <c r="C26" s="430" t="s">
        <v>167</v>
      </c>
      <c r="D26" s="452"/>
      <c r="E26" s="243">
        <f>E27+E28</f>
        <v>0</v>
      </c>
      <c r="F26" s="243">
        <f>F27+F28</f>
        <v>42</v>
      </c>
      <c r="G26" s="235">
        <f>F26-E26</f>
        <v>42</v>
      </c>
      <c r="H26" s="78"/>
    </row>
    <row r="27" spans="2:9" ht="12.75" customHeight="1">
      <c r="B27" s="236"/>
      <c r="C27" s="237"/>
      <c r="D27" s="237" t="s">
        <v>3</v>
      </c>
      <c r="E27" s="238">
        <v>0</v>
      </c>
      <c r="F27" s="238">
        <v>-76</v>
      </c>
      <c r="G27" s="239">
        <f aca="true" t="shared" si="2" ref="G27:G28">F27-E27</f>
        <v>-76</v>
      </c>
      <c r="H27" s="78"/>
      <c r="I27" s="17"/>
    </row>
    <row r="28" spans="2:9" ht="12.75" customHeight="1">
      <c r="B28" s="236"/>
      <c r="C28" s="237"/>
      <c r="D28" s="237" t="s">
        <v>4</v>
      </c>
      <c r="E28" s="238">
        <v>0</v>
      </c>
      <c r="F28" s="238">
        <v>118</v>
      </c>
      <c r="G28" s="239">
        <f t="shared" si="2"/>
        <v>118</v>
      </c>
      <c r="H28" s="78"/>
      <c r="I28" s="17"/>
    </row>
    <row r="29" spans="2:9" ht="12.75" customHeight="1">
      <c r="B29" s="233"/>
      <c r="C29" s="237"/>
      <c r="D29" s="237"/>
      <c r="E29" s="238"/>
      <c r="F29" s="243"/>
      <c r="G29" s="235"/>
      <c r="H29" s="78"/>
      <c r="I29" s="17"/>
    </row>
    <row r="30" spans="2:9" ht="12.75" customHeight="1">
      <c r="B30" s="233">
        <v>5</v>
      </c>
      <c r="C30" s="433" t="s">
        <v>280</v>
      </c>
      <c r="D30" s="442"/>
      <c r="E30" s="243">
        <f>E31</f>
        <v>0</v>
      </c>
      <c r="F30" s="243">
        <f>F31</f>
        <v>0</v>
      </c>
      <c r="G30" s="239">
        <f aca="true" t="shared" si="3" ref="G30">F30-E30</f>
        <v>0</v>
      </c>
      <c r="H30" s="78"/>
      <c r="I30" s="17"/>
    </row>
    <row r="31" spans="2:8" ht="12.75" customHeight="1">
      <c r="B31" s="233"/>
      <c r="C31" s="237"/>
      <c r="D31" s="240"/>
      <c r="E31" s="238"/>
      <c r="F31" s="238"/>
      <c r="G31" s="235"/>
      <c r="H31" s="78"/>
    </row>
    <row r="32" spans="2:8" ht="12.75" customHeight="1">
      <c r="B32" s="244">
        <v>6</v>
      </c>
      <c r="C32" s="434" t="s">
        <v>123</v>
      </c>
      <c r="D32" s="435"/>
      <c r="E32" s="245">
        <f>E24+E26</f>
        <v>0</v>
      </c>
      <c r="F32" s="245">
        <f>F24+F26+F30</f>
        <v>130</v>
      </c>
      <c r="G32" s="246">
        <f>F32-E32</f>
        <v>130</v>
      </c>
      <c r="H32" s="78"/>
    </row>
    <row r="33" spans="2:9" ht="12.75" customHeight="1">
      <c r="B33" s="236"/>
      <c r="C33" s="438" t="s">
        <v>5</v>
      </c>
      <c r="D33" s="458"/>
      <c r="E33" s="238">
        <f>E4+E27</f>
        <v>4208</v>
      </c>
      <c r="F33" s="238">
        <f>F4+F27</f>
        <v>4589</v>
      </c>
      <c r="G33" s="239">
        <f aca="true" t="shared" si="4" ref="G33:G34">F33-E33</f>
        <v>381</v>
      </c>
      <c r="H33" s="47"/>
      <c r="I33" s="2"/>
    </row>
    <row r="34" spans="2:11" ht="12.75" customHeight="1">
      <c r="B34" s="251"/>
      <c r="C34" s="436" t="s">
        <v>6</v>
      </c>
      <c r="D34" s="443"/>
      <c r="E34" s="252">
        <f>E14-E28</f>
        <v>4208</v>
      </c>
      <c r="F34" s="252">
        <f>F14-F28</f>
        <v>4459</v>
      </c>
      <c r="G34" s="239">
        <f t="shared" si="4"/>
        <v>251</v>
      </c>
      <c r="H34" s="112"/>
      <c r="K34" s="2"/>
    </row>
    <row r="35" spans="2:9" ht="12.75" customHeight="1" thickBot="1">
      <c r="B35" s="332"/>
      <c r="C35" s="373"/>
      <c r="D35" s="373"/>
      <c r="E35" s="371"/>
      <c r="F35" s="371"/>
      <c r="G35" s="335"/>
      <c r="H35" s="47"/>
      <c r="I35" s="3"/>
    </row>
    <row r="36" spans="2:8" ht="26.25" customHeight="1" thickTop="1">
      <c r="B36" s="230"/>
      <c r="C36" s="457" t="s">
        <v>155</v>
      </c>
      <c r="D36" s="457"/>
      <c r="E36" s="319"/>
      <c r="F36" s="319"/>
      <c r="G36" s="320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88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  <c r="H38" s="111"/>
    </row>
    <row r="39" spans="2:8" ht="27" customHeight="1">
      <c r="B39" s="236"/>
      <c r="C39" s="262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262"/>
      <c r="D40" s="162" t="s">
        <v>102</v>
      </c>
      <c r="E40" s="196"/>
      <c r="F40" s="321"/>
      <c r="G40" s="261">
        <v>0</v>
      </c>
      <c r="H40" s="38"/>
    </row>
    <row r="41" spans="2:8" ht="26.25" customHeight="1">
      <c r="B41" s="236"/>
      <c r="C41" s="262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G50+G51+G52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59"/>
      <c r="C51" s="162"/>
      <c r="D51" s="162" t="s">
        <v>109</v>
      </c>
      <c r="E51" s="196"/>
      <c r="F51" s="321"/>
      <c r="G51" s="261">
        <v>0</v>
      </c>
      <c r="H51" s="38"/>
    </row>
    <row r="52" spans="2:8" ht="12.75" customHeight="1">
      <c r="B52" s="280"/>
      <c r="C52" s="264"/>
      <c r="D52" s="264" t="s">
        <v>162</v>
      </c>
      <c r="E52" s="265"/>
      <c r="F52" s="322"/>
      <c r="G52" s="266">
        <v>0</v>
      </c>
      <c r="H52" s="38"/>
    </row>
    <row r="53" spans="2:8" ht="12.75" customHeight="1">
      <c r="B53" s="323">
        <v>12</v>
      </c>
      <c r="C53" s="451" t="s">
        <v>140</v>
      </c>
      <c r="D53" s="451"/>
      <c r="E53" s="269"/>
      <c r="F53" s="324"/>
      <c r="G53" s="345">
        <f>G54+G55</f>
        <v>0</v>
      </c>
      <c r="H53" s="111"/>
    </row>
    <row r="54" spans="2:8" ht="27" customHeight="1">
      <c r="B54" s="236"/>
      <c r="C54" s="162"/>
      <c r="D54" s="346" t="s">
        <v>110</v>
      </c>
      <c r="E54" s="347"/>
      <c r="F54" s="348"/>
      <c r="G54" s="261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0</v>
      </c>
      <c r="H55" s="38"/>
    </row>
    <row r="56" spans="2:8" ht="12.75" customHeight="1">
      <c r="B56" s="236"/>
      <c r="C56" s="262"/>
      <c r="D56" s="162"/>
      <c r="E56" s="196"/>
      <c r="F56" s="321"/>
      <c r="G56" s="261"/>
      <c r="H56" s="38"/>
    </row>
    <row r="57" spans="2:8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42</v>
      </c>
      <c r="H57" s="110"/>
    </row>
    <row r="58" spans="2:8" ht="12.75" customHeight="1">
      <c r="B58" s="236"/>
      <c r="C58" s="262"/>
      <c r="D58" s="262"/>
      <c r="E58" s="196"/>
      <c r="F58" s="321"/>
      <c r="G58" s="261"/>
      <c r="H58" s="38"/>
    </row>
    <row r="59" spans="2:8" ht="12.75" customHeight="1">
      <c r="B59" s="257">
        <v>14</v>
      </c>
      <c r="C59" s="433" t="s">
        <v>281</v>
      </c>
      <c r="D59" s="433"/>
      <c r="E59" s="196"/>
      <c r="F59" s="321"/>
      <c r="G59" s="284">
        <v>0</v>
      </c>
      <c r="H59" s="110"/>
    </row>
    <row r="60" spans="2:8" ht="12.75" customHeight="1">
      <c r="B60" s="236"/>
      <c r="C60" s="262"/>
      <c r="D60" s="162"/>
      <c r="E60" s="196"/>
      <c r="F60" s="321"/>
      <c r="G60" s="261"/>
      <c r="H60" s="65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88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38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279">
        <f>G37-G48+G57+G59</f>
        <v>130</v>
      </c>
      <c r="H63" s="78"/>
    </row>
    <row r="64" spans="2:8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0</v>
      </c>
      <c r="H64" s="111"/>
    </row>
    <row r="65" spans="2:8" ht="12.75" customHeight="1" thickBot="1">
      <c r="B65" s="332"/>
      <c r="C65" s="332"/>
      <c r="D65" s="333"/>
      <c r="E65" s="334"/>
      <c r="F65" s="334"/>
      <c r="G65" s="335"/>
      <c r="H65" s="47"/>
    </row>
    <row r="66" spans="2:9" ht="26.25" customHeight="1" thickTop="1">
      <c r="B66" s="230"/>
      <c r="C66" s="457" t="s">
        <v>149</v>
      </c>
      <c r="D66" s="457"/>
      <c r="E66" s="319"/>
      <c r="F66" s="319"/>
      <c r="G66" s="320" t="s">
        <v>205</v>
      </c>
      <c r="H66" s="109"/>
      <c r="I66" s="40"/>
    </row>
    <row r="67" spans="2:8" ht="12.75" customHeight="1">
      <c r="B67" s="233">
        <v>18</v>
      </c>
      <c r="C67" s="450" t="s">
        <v>135</v>
      </c>
      <c r="D67" s="450"/>
      <c r="E67" s="196"/>
      <c r="F67" s="196"/>
      <c r="G67" s="258">
        <f>F32*(-1)</f>
        <v>-130</v>
      </c>
      <c r="H67" s="78"/>
    </row>
    <row r="68" spans="2:8" ht="12.75" customHeight="1">
      <c r="B68" s="236"/>
      <c r="C68" s="262"/>
      <c r="D68" s="262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12</v>
      </c>
      <c r="H69" s="110"/>
    </row>
    <row r="70" spans="2:8" ht="12.75" customHeight="1">
      <c r="B70" s="236"/>
      <c r="C70" s="240"/>
      <c r="D70" s="162" t="s">
        <v>68</v>
      </c>
      <c r="E70" s="196"/>
      <c r="F70" s="326"/>
      <c r="G70" s="261">
        <f>G61</f>
        <v>88</v>
      </c>
      <c r="H70" s="65"/>
    </row>
    <row r="71" spans="2:8" ht="12.75" customHeight="1">
      <c r="B71" s="236"/>
      <c r="C71" s="262"/>
      <c r="D71" s="162" t="s">
        <v>23</v>
      </c>
      <c r="E71" s="196"/>
      <c r="F71" s="326"/>
      <c r="G71" s="261">
        <f>G72-G73</f>
        <v>0</v>
      </c>
      <c r="H71" s="65"/>
    </row>
    <row r="72" spans="2:8" ht="12.75" customHeight="1">
      <c r="B72" s="236"/>
      <c r="C72" s="262"/>
      <c r="D72" s="162" t="s">
        <v>78</v>
      </c>
      <c r="E72" s="196"/>
      <c r="F72" s="326"/>
      <c r="G72" s="261">
        <v>0</v>
      </c>
      <c r="H72" s="38"/>
    </row>
    <row r="73" spans="2:8" ht="12.75" customHeight="1">
      <c r="B73" s="233"/>
      <c r="C73" s="262"/>
      <c r="D73" s="162" t="s">
        <v>116</v>
      </c>
      <c r="E73" s="196"/>
      <c r="F73" s="326"/>
      <c r="G73" s="261">
        <v>0</v>
      </c>
      <c r="H73" s="38"/>
    </row>
    <row r="74" spans="2:8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  <c r="H74" s="65"/>
    </row>
    <row r="75" spans="2:8" ht="12.75" customHeight="1">
      <c r="B75" s="236"/>
      <c r="C75" s="262"/>
      <c r="D75" s="162" t="s">
        <v>117</v>
      </c>
      <c r="E75" s="196"/>
      <c r="F75" s="326"/>
      <c r="G75" s="261">
        <v>0</v>
      </c>
      <c r="H75" s="38"/>
    </row>
    <row r="76" spans="2:8" ht="12.75" customHeight="1">
      <c r="B76" s="236"/>
      <c r="C76" s="262"/>
      <c r="D76" s="162" t="s">
        <v>118</v>
      </c>
      <c r="E76" s="196"/>
      <c r="F76" s="326"/>
      <c r="G76" s="261">
        <v>0</v>
      </c>
      <c r="H76" s="38"/>
    </row>
    <row r="77" spans="2:8" ht="12.75" customHeight="1">
      <c r="B77" s="236"/>
      <c r="C77" s="162"/>
      <c r="D77" s="162" t="s">
        <v>80</v>
      </c>
      <c r="E77" s="196"/>
      <c r="F77" s="326"/>
      <c r="G77" s="261">
        <v>-76</v>
      </c>
      <c r="H77" s="65"/>
    </row>
    <row r="78" spans="2:8" ht="12.75" customHeight="1">
      <c r="B78" s="236"/>
      <c r="C78" s="162"/>
      <c r="D78" s="162"/>
      <c r="E78" s="196"/>
      <c r="F78" s="326"/>
      <c r="G78" s="258"/>
      <c r="H78" s="78"/>
    </row>
    <row r="79" spans="2:8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118</v>
      </c>
      <c r="H79" s="110"/>
    </row>
    <row r="80" spans="2:8" ht="12.75" customHeight="1">
      <c r="B80" s="236"/>
      <c r="C80" s="162"/>
      <c r="D80" s="162" t="s">
        <v>81</v>
      </c>
      <c r="E80" s="286"/>
      <c r="F80" s="340"/>
      <c r="G80" s="261">
        <f>F28-G52</f>
        <v>118</v>
      </c>
      <c r="H80" s="38"/>
    </row>
    <row r="81" spans="2:8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  <c r="H81" s="65"/>
    </row>
    <row r="82" spans="2:8" ht="12.75" customHeight="1">
      <c r="B82" s="236"/>
      <c r="C82" s="162"/>
      <c r="D82" s="162" t="s">
        <v>95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83</v>
      </c>
      <c r="E84" s="196"/>
      <c r="F84" s="326"/>
      <c r="G84" s="261">
        <v>0</v>
      </c>
      <c r="H84" s="65"/>
    </row>
    <row r="85" spans="2:8" ht="12.75" customHeight="1">
      <c r="B85" s="236"/>
      <c r="C85" s="162"/>
      <c r="D85" s="162" t="s">
        <v>84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166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26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0</v>
      </c>
      <c r="H88" s="110"/>
    </row>
    <row r="89" spans="2:8" ht="12.75" customHeight="1">
      <c r="B89" s="236"/>
      <c r="C89" s="162"/>
      <c r="D89" s="162" t="s">
        <v>159</v>
      </c>
      <c r="E89" s="196"/>
      <c r="F89" s="326"/>
      <c r="G89" s="261">
        <f>-G64</f>
        <v>0</v>
      </c>
      <c r="H89" s="38"/>
    </row>
    <row r="90" spans="2:8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  <c r="H90" s="38"/>
    </row>
    <row r="91" spans="2:8" ht="12.75" customHeight="1">
      <c r="B91" s="236"/>
      <c r="C91" s="162"/>
      <c r="D91" s="162"/>
      <c r="E91" s="196"/>
      <c r="F91" s="326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  <c r="H92" s="78"/>
    </row>
    <row r="93" spans="2:8" ht="12.75" customHeight="1">
      <c r="B93" s="326"/>
      <c r="C93" s="326"/>
      <c r="D93" s="326"/>
      <c r="E93" s="326"/>
      <c r="F93" s="326"/>
      <c r="G93" s="326"/>
      <c r="H93" s="18"/>
    </row>
    <row r="94" spans="5:8" ht="12.75" customHeight="1">
      <c r="E94" s="1"/>
      <c r="F94" s="1"/>
      <c r="G94" s="1"/>
      <c r="H94" s="1"/>
    </row>
    <row r="95" spans="5:8" ht="12.75" customHeight="1">
      <c r="E95" s="1"/>
      <c r="F95" s="1"/>
      <c r="G95" s="1"/>
      <c r="H95" s="1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7:8" ht="12.75" customHeight="1">
      <c r="G120" s="40"/>
      <c r="H120" s="40"/>
    </row>
    <row r="121" spans="7:8" ht="12.75" customHeight="1">
      <c r="G121" s="40"/>
      <c r="H121" s="40"/>
    </row>
    <row r="122" spans="7:8" ht="12.75" customHeight="1">
      <c r="G122" s="40"/>
      <c r="H122" s="40"/>
    </row>
    <row r="123" spans="7:8" ht="12.75" customHeight="1">
      <c r="G123" s="40"/>
      <c r="H123" s="40"/>
    </row>
    <row r="124" spans="7:8" ht="12.75" customHeight="1">
      <c r="G124" s="40"/>
      <c r="H124" s="40"/>
    </row>
    <row r="125" spans="7:8" ht="12.75" customHeight="1">
      <c r="G125" s="40"/>
      <c r="H125" s="40"/>
    </row>
    <row r="126" spans="7:8" ht="12.75" customHeight="1">
      <c r="G126" s="40"/>
      <c r="H126" s="40"/>
    </row>
    <row r="127" spans="7:8" ht="12.75" customHeight="1">
      <c r="G127" s="40"/>
      <c r="H127" s="40"/>
    </row>
    <row r="128" spans="7:8" ht="12.75" customHeight="1">
      <c r="G128" s="40"/>
      <c r="H128" s="40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>
      <c r="G136" s="40"/>
      <c r="H136" s="40"/>
    </row>
    <row r="137" spans="7:8" ht="12.75">
      <c r="G137" s="40"/>
      <c r="H137" s="40"/>
    </row>
  </sheetData>
  <mergeCells count="21">
    <mergeCell ref="C43:D43"/>
    <mergeCell ref="C66:D66"/>
    <mergeCell ref="C38:D38"/>
    <mergeCell ref="C3:D3"/>
    <mergeCell ref="C4:D4"/>
    <mergeCell ref="C14:D14"/>
    <mergeCell ref="C24:D24"/>
    <mergeCell ref="C26:D26"/>
    <mergeCell ref="C32:D32"/>
    <mergeCell ref="C30:D30"/>
    <mergeCell ref="C33:D33"/>
    <mergeCell ref="C34:D34"/>
    <mergeCell ref="C36:D36"/>
    <mergeCell ref="C88:D88"/>
    <mergeCell ref="C49:D49"/>
    <mergeCell ref="C53:D53"/>
    <mergeCell ref="C57:D57"/>
    <mergeCell ref="C59:D59"/>
    <mergeCell ref="C67:D67"/>
    <mergeCell ref="C79:D79"/>
    <mergeCell ref="C61:D61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2" min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I137"/>
  <sheetViews>
    <sheetView showGridLines="0" view="pageBreakPreview" zoomScale="80" zoomScaleSheetLayoutView="80" workbookViewId="0" topLeftCell="A34">
      <selection activeCell="E18" sqref="E18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6" width="9.8515625" style="40" customWidth="1"/>
    <col min="7" max="7" width="10.57421875" style="42" customWidth="1"/>
    <col min="8" max="8" width="18.28125" style="42" customWidth="1"/>
    <col min="9" max="16384" width="9.140625" style="1" customWidth="1"/>
  </cols>
  <sheetData>
    <row r="1" spans="2:8" s="31" customFormat="1" ht="15">
      <c r="B1" s="289"/>
      <c r="C1" s="290" t="s">
        <v>182</v>
      </c>
      <c r="D1" s="289"/>
      <c r="E1" s="312"/>
      <c r="F1" s="29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customHeight="1" thickTop="1">
      <c r="B3" s="309"/>
      <c r="C3" s="457" t="s">
        <v>136</v>
      </c>
      <c r="D3" s="459"/>
      <c r="E3" s="231" t="s">
        <v>208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50" t="s">
        <v>119</v>
      </c>
      <c r="D4" s="453"/>
      <c r="E4" s="234">
        <f>E5+E6+E12</f>
        <v>7520</v>
      </c>
      <c r="F4" s="234">
        <f>F5+F6+F12</f>
        <v>7397</v>
      </c>
      <c r="G4" s="235">
        <f aca="true" t="shared" si="0" ref="G4:G12">F4-E4</f>
        <v>-123</v>
      </c>
      <c r="H4" s="78"/>
    </row>
    <row r="5" spans="2:8" ht="12.75" customHeight="1">
      <c r="B5" s="236"/>
      <c r="C5" s="237" t="s">
        <v>0</v>
      </c>
      <c r="D5" s="237" t="s">
        <v>69</v>
      </c>
      <c r="E5" s="238">
        <v>0</v>
      </c>
      <c r="F5" s="238">
        <v>0</v>
      </c>
      <c r="G5" s="239">
        <f t="shared" si="0"/>
        <v>0</v>
      </c>
      <c r="H5" s="38"/>
    </row>
    <row r="6" spans="2:8" ht="12.75" customHeight="1">
      <c r="B6" s="236"/>
      <c r="C6" s="237"/>
      <c r="D6" s="237" t="s">
        <v>30</v>
      </c>
      <c r="E6" s="238">
        <f>SUM(E7:E11)</f>
        <v>3020</v>
      </c>
      <c r="F6" s="238">
        <f>SUM(F7:F11)</f>
        <v>2646</v>
      </c>
      <c r="G6" s="239">
        <f t="shared" si="0"/>
        <v>-374</v>
      </c>
      <c r="H6" s="38"/>
    </row>
    <row r="7" spans="2:8" ht="12.75" customHeight="1">
      <c r="B7" s="236"/>
      <c r="C7" s="237"/>
      <c r="D7" s="240" t="s">
        <v>44</v>
      </c>
      <c r="E7" s="238">
        <v>0</v>
      </c>
      <c r="F7" s="238">
        <v>0</v>
      </c>
      <c r="G7" s="239">
        <f t="shared" si="0"/>
        <v>0</v>
      </c>
      <c r="H7" s="38"/>
    </row>
    <row r="8" spans="2:9" ht="12.75" customHeight="1">
      <c r="B8" s="236"/>
      <c r="C8" s="237"/>
      <c r="D8" s="240" t="s">
        <v>40</v>
      </c>
      <c r="E8" s="238">
        <v>25</v>
      </c>
      <c r="F8" s="238">
        <v>29</v>
      </c>
      <c r="G8" s="239">
        <f t="shared" si="0"/>
        <v>4</v>
      </c>
      <c r="H8" s="38"/>
      <c r="I8" s="17"/>
    </row>
    <row r="9" spans="2:8" ht="12.75" customHeight="1">
      <c r="B9" s="236"/>
      <c r="C9" s="237"/>
      <c r="D9" s="240" t="s">
        <v>41</v>
      </c>
      <c r="E9" s="238">
        <v>0</v>
      </c>
      <c r="F9" s="238">
        <v>0</v>
      </c>
      <c r="G9" s="239">
        <f t="shared" si="0"/>
        <v>0</v>
      </c>
      <c r="H9" s="38"/>
    </row>
    <row r="10" spans="2:8" ht="12.75" customHeight="1">
      <c r="B10" s="236"/>
      <c r="C10" s="237"/>
      <c r="D10" s="240" t="s">
        <v>42</v>
      </c>
      <c r="E10" s="238">
        <v>0</v>
      </c>
      <c r="F10" s="238">
        <v>1</v>
      </c>
      <c r="G10" s="239">
        <f t="shared" si="0"/>
        <v>1</v>
      </c>
      <c r="H10" s="38"/>
    </row>
    <row r="11" spans="2:8" ht="12.75" customHeight="1">
      <c r="B11" s="236"/>
      <c r="C11" s="237"/>
      <c r="D11" s="240" t="s">
        <v>43</v>
      </c>
      <c r="E11" s="238">
        <v>2995</v>
      </c>
      <c r="F11" s="238">
        <v>2616</v>
      </c>
      <c r="G11" s="239">
        <f t="shared" si="0"/>
        <v>-379</v>
      </c>
      <c r="H11" s="38"/>
    </row>
    <row r="12" spans="2:8" ht="12.75" customHeight="1">
      <c r="B12" s="236"/>
      <c r="C12" s="237"/>
      <c r="D12" s="237" t="s">
        <v>31</v>
      </c>
      <c r="E12" s="238">
        <v>4500</v>
      </c>
      <c r="F12" s="238">
        <v>4751</v>
      </c>
      <c r="G12" s="242">
        <f t="shared" si="0"/>
        <v>251</v>
      </c>
      <c r="H12" s="47"/>
    </row>
    <row r="13" spans="2:8" ht="12.75" customHeight="1">
      <c r="B13" s="233"/>
      <c r="C13" s="237"/>
      <c r="D13" s="237"/>
      <c r="E13" s="238"/>
      <c r="F13" s="238"/>
      <c r="G13" s="235"/>
      <c r="H13" s="78"/>
    </row>
    <row r="14" spans="2:8" ht="12.75" customHeight="1">
      <c r="B14" s="233">
        <v>2</v>
      </c>
      <c r="C14" s="429" t="s">
        <v>120</v>
      </c>
      <c r="D14" s="444"/>
      <c r="E14" s="243">
        <f>E15+E20</f>
        <v>7528</v>
      </c>
      <c r="F14" s="243">
        <f>F15+F20</f>
        <v>4993</v>
      </c>
      <c r="G14" s="329">
        <f aca="true" t="shared" si="1" ref="G14:G22">F14-E14</f>
        <v>-2535</v>
      </c>
      <c r="H14" s="10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7513</v>
      </c>
      <c r="F15" s="238">
        <f>F16+F17+F18+F19</f>
        <v>4978</v>
      </c>
      <c r="G15" s="239">
        <f t="shared" si="1"/>
        <v>-2535</v>
      </c>
      <c r="H15" s="38"/>
    </row>
    <row r="16" spans="2:8" ht="12.75" customHeight="1">
      <c r="B16" s="236"/>
      <c r="C16" s="237"/>
      <c r="D16" s="240" t="s">
        <v>34</v>
      </c>
      <c r="E16" s="238">
        <f>187+49</f>
        <v>236</v>
      </c>
      <c r="F16" s="238">
        <f>96+36</f>
        <v>132</v>
      </c>
      <c r="G16" s="239">
        <f t="shared" si="1"/>
        <v>-104</v>
      </c>
      <c r="H16" s="38"/>
    </row>
    <row r="17" spans="2:8" ht="12.75" customHeight="1">
      <c r="B17" s="236"/>
      <c r="C17" s="237"/>
      <c r="D17" s="240" t="s">
        <v>35</v>
      </c>
      <c r="E17" s="238">
        <v>133</v>
      </c>
      <c r="F17" s="238">
        <v>208</v>
      </c>
      <c r="G17" s="239">
        <f t="shared" si="1"/>
        <v>75</v>
      </c>
      <c r="H17" s="38"/>
    </row>
    <row r="18" spans="2:8" ht="12.75" customHeight="1">
      <c r="B18" s="236"/>
      <c r="C18" s="237"/>
      <c r="D18" s="240" t="s">
        <v>36</v>
      </c>
      <c r="E18" s="238">
        <v>7144</v>
      </c>
      <c r="F18" s="238">
        <v>4638</v>
      </c>
      <c r="G18" s="239">
        <f t="shared" si="1"/>
        <v>-2506</v>
      </c>
      <c r="H18" s="38"/>
    </row>
    <row r="19" spans="2:8" ht="12.75" customHeight="1">
      <c r="B19" s="236"/>
      <c r="C19" s="237"/>
      <c r="D19" s="240" t="s">
        <v>37</v>
      </c>
      <c r="E19" s="238">
        <v>0</v>
      </c>
      <c r="F19" s="238">
        <v>0</v>
      </c>
      <c r="G19" s="239">
        <f t="shared" si="1"/>
        <v>0</v>
      </c>
      <c r="H19" s="38"/>
    </row>
    <row r="20" spans="2:8" ht="12.75" customHeight="1">
      <c r="B20" s="236"/>
      <c r="C20" s="237"/>
      <c r="D20" s="237" t="s">
        <v>33</v>
      </c>
      <c r="E20" s="238">
        <f>E21+E22</f>
        <v>15</v>
      </c>
      <c r="F20" s="238">
        <f>F21+F22</f>
        <v>15</v>
      </c>
      <c r="G20" s="239">
        <f t="shared" si="1"/>
        <v>0</v>
      </c>
      <c r="H20" s="38"/>
    </row>
    <row r="21" spans="2:9" ht="12.75" customHeight="1">
      <c r="B21" s="236"/>
      <c r="C21" s="237"/>
      <c r="D21" s="240" t="s">
        <v>38</v>
      </c>
      <c r="E21" s="238">
        <v>15</v>
      </c>
      <c r="F21" s="238">
        <v>15</v>
      </c>
      <c r="G21" s="239">
        <f t="shared" si="1"/>
        <v>0</v>
      </c>
      <c r="H21" s="38"/>
      <c r="I21" s="18"/>
    </row>
    <row r="22" spans="2:8" ht="12.75" customHeight="1">
      <c r="B22" s="236"/>
      <c r="C22" s="237"/>
      <c r="D22" s="240" t="s">
        <v>39</v>
      </c>
      <c r="E22" s="238">
        <v>0</v>
      </c>
      <c r="F22" s="238">
        <v>0</v>
      </c>
      <c r="G22" s="239">
        <f t="shared" si="1"/>
        <v>0</v>
      </c>
      <c r="H22" s="38"/>
    </row>
    <row r="23" spans="2:8" ht="12.75" customHeight="1">
      <c r="B23" s="233"/>
      <c r="C23" s="237"/>
      <c r="D23" s="237"/>
      <c r="E23" s="370"/>
      <c r="F23" s="370"/>
      <c r="G23" s="242"/>
      <c r="H23" s="47"/>
    </row>
    <row r="24" spans="2:8" ht="12.75" customHeight="1">
      <c r="B24" s="244">
        <v>3</v>
      </c>
      <c r="C24" s="434" t="s">
        <v>121</v>
      </c>
      <c r="D24" s="435"/>
      <c r="E24" s="245">
        <f>E4-E14</f>
        <v>-8</v>
      </c>
      <c r="F24" s="245">
        <f>F4-F14</f>
        <v>2404</v>
      </c>
      <c r="G24" s="246">
        <f>F24-E24</f>
        <v>2412</v>
      </c>
      <c r="H24" s="78"/>
    </row>
    <row r="25" spans="2:8" ht="12.75" customHeight="1">
      <c r="B25" s="233"/>
      <c r="C25" s="247"/>
      <c r="D25" s="247"/>
      <c r="E25" s="238"/>
      <c r="F25" s="238"/>
      <c r="G25" s="235"/>
      <c r="H25" s="78"/>
    </row>
    <row r="26" spans="2:8" ht="12.75" customHeight="1">
      <c r="B26" s="233">
        <v>4</v>
      </c>
      <c r="C26" s="430" t="s">
        <v>167</v>
      </c>
      <c r="D26" s="452"/>
      <c r="E26" s="243">
        <f>E27+E28</f>
        <v>0</v>
      </c>
      <c r="F26" s="243">
        <f>F27+F28</f>
        <v>-1023</v>
      </c>
      <c r="G26" s="235">
        <f>F26-E26</f>
        <v>-1023</v>
      </c>
      <c r="H26" s="78"/>
    </row>
    <row r="27" spans="2:9" ht="12.75" customHeight="1">
      <c r="B27" s="236"/>
      <c r="C27" s="237"/>
      <c r="D27" s="237" t="s">
        <v>3</v>
      </c>
      <c r="E27" s="238">
        <v>0</v>
      </c>
      <c r="F27" s="238">
        <v>13</v>
      </c>
      <c r="G27" s="239">
        <f aca="true" t="shared" si="2" ref="G27:G28">F27-E27</f>
        <v>13</v>
      </c>
      <c r="H27" s="78"/>
      <c r="I27" s="17"/>
    </row>
    <row r="28" spans="2:9" ht="12.75" customHeight="1">
      <c r="B28" s="236"/>
      <c r="C28" s="237"/>
      <c r="D28" s="237" t="s">
        <v>4</v>
      </c>
      <c r="E28" s="238">
        <v>0</v>
      </c>
      <c r="F28" s="238">
        <v>-1036</v>
      </c>
      <c r="G28" s="239">
        <f t="shared" si="2"/>
        <v>-1036</v>
      </c>
      <c r="H28" s="78"/>
      <c r="I28" s="17"/>
    </row>
    <row r="29" spans="2:9" ht="12.75" customHeight="1">
      <c r="B29" s="233"/>
      <c r="C29" s="237"/>
      <c r="D29" s="237"/>
      <c r="E29" s="238"/>
      <c r="F29" s="243"/>
      <c r="G29" s="235"/>
      <c r="H29" s="78"/>
      <c r="I29" s="17"/>
    </row>
    <row r="30" spans="2:9" ht="12.75" customHeight="1">
      <c r="B30" s="233">
        <v>5</v>
      </c>
      <c r="C30" s="433" t="s">
        <v>280</v>
      </c>
      <c r="D30" s="442"/>
      <c r="E30" s="243">
        <f>E31</f>
        <v>0</v>
      </c>
      <c r="F30" s="243">
        <f>F31</f>
        <v>0</v>
      </c>
      <c r="G30" s="239">
        <f aca="true" t="shared" si="3" ref="G30">F30-E30</f>
        <v>0</v>
      </c>
      <c r="H30" s="78"/>
      <c r="I30" s="17"/>
    </row>
    <row r="31" spans="2:8" ht="12.75" customHeight="1">
      <c r="B31" s="233"/>
      <c r="C31" s="237"/>
      <c r="D31" s="240"/>
      <c r="E31" s="238"/>
      <c r="F31" s="238"/>
      <c r="G31" s="235"/>
      <c r="H31" s="78"/>
    </row>
    <row r="32" spans="2:8" ht="12.75" customHeight="1">
      <c r="B32" s="244">
        <v>6</v>
      </c>
      <c r="C32" s="434" t="s">
        <v>123</v>
      </c>
      <c r="D32" s="435"/>
      <c r="E32" s="245">
        <f>E24+E26</f>
        <v>-8</v>
      </c>
      <c r="F32" s="245">
        <f>F24+F26+F30</f>
        <v>1381</v>
      </c>
      <c r="G32" s="246">
        <f>F32-E32</f>
        <v>1389</v>
      </c>
      <c r="H32" s="78"/>
    </row>
    <row r="33" spans="2:9" ht="12.75" customHeight="1">
      <c r="B33" s="236"/>
      <c r="C33" s="438" t="s">
        <v>5</v>
      </c>
      <c r="D33" s="458"/>
      <c r="E33" s="238">
        <f>E4+E27</f>
        <v>7520</v>
      </c>
      <c r="F33" s="238">
        <f>F4+F27</f>
        <v>7410</v>
      </c>
      <c r="G33" s="239">
        <f aca="true" t="shared" si="4" ref="G33:G34">F33-E33</f>
        <v>-110</v>
      </c>
      <c r="H33" s="47"/>
      <c r="I33" s="2"/>
    </row>
    <row r="34" spans="2:8" ht="12.75" customHeight="1">
      <c r="B34" s="251"/>
      <c r="C34" s="436" t="s">
        <v>6</v>
      </c>
      <c r="D34" s="443"/>
      <c r="E34" s="252">
        <f>E14-E28</f>
        <v>7528</v>
      </c>
      <c r="F34" s="252">
        <f>F14-F28</f>
        <v>6029</v>
      </c>
      <c r="G34" s="239">
        <f t="shared" si="4"/>
        <v>-1499</v>
      </c>
      <c r="H34" s="112"/>
    </row>
    <row r="35" spans="2:9" ht="12.75" customHeight="1" thickBot="1">
      <c r="B35" s="332"/>
      <c r="C35" s="373"/>
      <c r="D35" s="373"/>
      <c r="E35" s="371"/>
      <c r="F35" s="371"/>
      <c r="G35" s="335"/>
      <c r="H35" s="47"/>
      <c r="I35" s="3"/>
    </row>
    <row r="36" spans="2:8" ht="26.25" customHeight="1" thickTop="1">
      <c r="B36" s="230"/>
      <c r="C36" s="457" t="s">
        <v>155</v>
      </c>
      <c r="D36" s="457"/>
      <c r="E36" s="319"/>
      <c r="F36" s="319"/>
      <c r="G36" s="320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2404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  <c r="H38" s="111"/>
    </row>
    <row r="39" spans="2:8" ht="24.75" customHeight="1">
      <c r="B39" s="236"/>
      <c r="C39" s="262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262"/>
      <c r="D40" s="162" t="s">
        <v>102</v>
      </c>
      <c r="E40" s="196"/>
      <c r="F40" s="321"/>
      <c r="G40" s="261">
        <v>0</v>
      </c>
      <c r="H40" s="38"/>
    </row>
    <row r="41" spans="2:8" ht="27" customHeight="1">
      <c r="B41" s="236"/>
      <c r="C41" s="262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G50+G51+G52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59"/>
      <c r="C51" s="162"/>
      <c r="D51" s="162" t="s">
        <v>109</v>
      </c>
      <c r="E51" s="196"/>
      <c r="F51" s="321"/>
      <c r="G51" s="261">
        <v>0</v>
      </c>
      <c r="H51" s="38"/>
    </row>
    <row r="52" spans="2:8" ht="12.75" customHeight="1">
      <c r="B52" s="280"/>
      <c r="C52" s="264"/>
      <c r="D52" s="264" t="s">
        <v>162</v>
      </c>
      <c r="E52" s="265"/>
      <c r="F52" s="322"/>
      <c r="G52" s="266">
        <v>0</v>
      </c>
      <c r="H52" s="38"/>
    </row>
    <row r="53" spans="2:8" ht="12.75" customHeight="1">
      <c r="B53" s="323">
        <v>12</v>
      </c>
      <c r="C53" s="451" t="s">
        <v>140</v>
      </c>
      <c r="D53" s="451"/>
      <c r="E53" s="269"/>
      <c r="F53" s="324"/>
      <c r="G53" s="345">
        <f>G54+G55</f>
        <v>0</v>
      </c>
      <c r="H53" s="111"/>
    </row>
    <row r="54" spans="2:8" ht="27" customHeight="1">
      <c r="B54" s="236"/>
      <c r="C54" s="162"/>
      <c r="D54" s="346" t="s">
        <v>110</v>
      </c>
      <c r="E54" s="347"/>
      <c r="F54" s="348"/>
      <c r="G54" s="261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0</v>
      </c>
      <c r="H55" s="38"/>
    </row>
    <row r="56" spans="2:8" ht="12.75" customHeight="1">
      <c r="B56" s="236"/>
      <c r="C56" s="262"/>
      <c r="D56" s="162"/>
      <c r="E56" s="196"/>
      <c r="F56" s="321"/>
      <c r="G56" s="261"/>
      <c r="H56" s="38"/>
    </row>
    <row r="57" spans="2:8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-1023</v>
      </c>
      <c r="H57" s="110"/>
    </row>
    <row r="58" spans="2:8" ht="12.75" customHeight="1">
      <c r="B58" s="236"/>
      <c r="C58" s="262"/>
      <c r="D58" s="262"/>
      <c r="E58" s="196"/>
      <c r="F58" s="321"/>
      <c r="G58" s="261"/>
      <c r="H58" s="38"/>
    </row>
    <row r="59" spans="2:8" ht="12.75" customHeight="1">
      <c r="B59" s="257">
        <v>14</v>
      </c>
      <c r="C59" s="433" t="s">
        <v>281</v>
      </c>
      <c r="D59" s="433"/>
      <c r="E59" s="196"/>
      <c r="F59" s="321"/>
      <c r="G59" s="284">
        <v>0</v>
      </c>
      <c r="H59" s="110"/>
    </row>
    <row r="60" spans="2:8" ht="12.75" customHeight="1">
      <c r="B60" s="236"/>
      <c r="C60" s="262"/>
      <c r="D60" s="162"/>
      <c r="E60" s="196"/>
      <c r="F60" s="321"/>
      <c r="G60" s="261"/>
      <c r="H60" s="65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2404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38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279">
        <f>G37-G48+G57+G59</f>
        <v>1381</v>
      </c>
      <c r="H63" s="78"/>
    </row>
    <row r="64" spans="2:8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0</v>
      </c>
      <c r="H64" s="111"/>
    </row>
    <row r="65" spans="2:8" ht="12.75" customHeight="1" thickBot="1">
      <c r="B65" s="332"/>
      <c r="C65" s="332"/>
      <c r="D65" s="333"/>
      <c r="E65" s="334"/>
      <c r="F65" s="334"/>
      <c r="G65" s="335"/>
      <c r="H65" s="47"/>
    </row>
    <row r="66" spans="2:9" ht="26.25" customHeight="1" thickTop="1">
      <c r="B66" s="230"/>
      <c r="C66" s="457" t="s">
        <v>149</v>
      </c>
      <c r="D66" s="457"/>
      <c r="E66" s="319"/>
      <c r="F66" s="319"/>
      <c r="G66" s="320" t="s">
        <v>205</v>
      </c>
      <c r="H66" s="109"/>
      <c r="I66" s="40"/>
    </row>
    <row r="67" spans="2:8" ht="12.75" customHeight="1">
      <c r="B67" s="233">
        <v>18</v>
      </c>
      <c r="C67" s="450" t="s">
        <v>135</v>
      </c>
      <c r="D67" s="450"/>
      <c r="E67" s="196"/>
      <c r="F67" s="196"/>
      <c r="G67" s="258">
        <f>F32*(-1)</f>
        <v>-1381</v>
      </c>
      <c r="H67" s="78"/>
    </row>
    <row r="68" spans="2:8" ht="12.75" customHeight="1">
      <c r="B68" s="236"/>
      <c r="C68" s="262"/>
      <c r="D68" s="262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2417</v>
      </c>
      <c r="H69" s="110"/>
    </row>
    <row r="70" spans="2:8" ht="12.75" customHeight="1">
      <c r="B70" s="236"/>
      <c r="C70" s="240"/>
      <c r="D70" s="162" t="s">
        <v>68</v>
      </c>
      <c r="E70" s="196"/>
      <c r="F70" s="326"/>
      <c r="G70" s="261">
        <f>G61</f>
        <v>2404</v>
      </c>
      <c r="H70" s="65"/>
    </row>
    <row r="71" spans="2:8" ht="12.75" customHeight="1">
      <c r="B71" s="236"/>
      <c r="C71" s="262"/>
      <c r="D71" s="162" t="s">
        <v>23</v>
      </c>
      <c r="E71" s="196"/>
      <c r="F71" s="326"/>
      <c r="G71" s="261">
        <f>G72-G73</f>
        <v>0</v>
      </c>
      <c r="H71" s="65"/>
    </row>
    <row r="72" spans="2:8" ht="12.75" customHeight="1">
      <c r="B72" s="236"/>
      <c r="C72" s="262"/>
      <c r="D72" s="162" t="s">
        <v>78</v>
      </c>
      <c r="E72" s="196"/>
      <c r="F72" s="326"/>
      <c r="G72" s="261">
        <v>0</v>
      </c>
      <c r="H72" s="38"/>
    </row>
    <row r="73" spans="2:8" ht="12.75" customHeight="1">
      <c r="B73" s="233"/>
      <c r="C73" s="262"/>
      <c r="D73" s="162" t="s">
        <v>116</v>
      </c>
      <c r="E73" s="196"/>
      <c r="F73" s="326"/>
      <c r="G73" s="261">
        <v>0</v>
      </c>
      <c r="H73" s="38"/>
    </row>
    <row r="74" spans="2:8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  <c r="H74" s="65"/>
    </row>
    <row r="75" spans="2:8" ht="12.75" customHeight="1">
      <c r="B75" s="236"/>
      <c r="C75" s="262"/>
      <c r="D75" s="162" t="s">
        <v>117</v>
      </c>
      <c r="E75" s="196"/>
      <c r="F75" s="326"/>
      <c r="G75" s="261">
        <v>0</v>
      </c>
      <c r="H75" s="38"/>
    </row>
    <row r="76" spans="2:8" ht="12.75" customHeight="1">
      <c r="B76" s="236"/>
      <c r="C76" s="262"/>
      <c r="D76" s="162" t="s">
        <v>118</v>
      </c>
      <c r="E76" s="196"/>
      <c r="F76" s="326"/>
      <c r="G76" s="261">
        <v>0</v>
      </c>
      <c r="H76" s="38"/>
    </row>
    <row r="77" spans="2:8" ht="12.75" customHeight="1">
      <c r="B77" s="236"/>
      <c r="C77" s="162"/>
      <c r="D77" s="162" t="s">
        <v>80</v>
      </c>
      <c r="E77" s="196"/>
      <c r="F77" s="326"/>
      <c r="G77" s="261">
        <f>F27</f>
        <v>13</v>
      </c>
      <c r="H77" s="65"/>
    </row>
    <row r="78" spans="2:8" ht="12.75" customHeight="1">
      <c r="B78" s="236"/>
      <c r="C78" s="162"/>
      <c r="D78" s="162"/>
      <c r="E78" s="196"/>
      <c r="F78" s="326"/>
      <c r="G78" s="258"/>
      <c r="H78" s="78"/>
    </row>
    <row r="79" spans="2:8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-1036</v>
      </c>
      <c r="H79" s="110"/>
    </row>
    <row r="80" spans="2:8" ht="12.75" customHeight="1">
      <c r="B80" s="236"/>
      <c r="C80" s="162"/>
      <c r="D80" s="162" t="s">
        <v>81</v>
      </c>
      <c r="E80" s="286"/>
      <c r="F80" s="340"/>
      <c r="G80" s="261">
        <f>F28-G52</f>
        <v>-1036</v>
      </c>
      <c r="H80" s="38"/>
    </row>
    <row r="81" spans="2:8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  <c r="H81" s="65"/>
    </row>
    <row r="82" spans="2:8" ht="12.75" customHeight="1">
      <c r="B82" s="236"/>
      <c r="C82" s="162"/>
      <c r="D82" s="162" t="s">
        <v>95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83</v>
      </c>
      <c r="E84" s="196"/>
      <c r="F84" s="326"/>
      <c r="G84" s="261">
        <v>0</v>
      </c>
      <c r="H84" s="65"/>
    </row>
    <row r="85" spans="2:8" ht="12.75" customHeight="1">
      <c r="B85" s="236"/>
      <c r="C85" s="162"/>
      <c r="D85" s="162" t="s">
        <v>84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166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26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0</v>
      </c>
      <c r="H88" s="110"/>
    </row>
    <row r="89" spans="2:8" ht="12.75" customHeight="1">
      <c r="B89" s="236"/>
      <c r="C89" s="162"/>
      <c r="D89" s="162" t="s">
        <v>159</v>
      </c>
      <c r="E89" s="196"/>
      <c r="F89" s="326"/>
      <c r="G89" s="261">
        <f>-G64</f>
        <v>0</v>
      </c>
      <c r="H89" s="38"/>
    </row>
    <row r="90" spans="2:8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  <c r="H90" s="38"/>
    </row>
    <row r="91" spans="2:8" ht="12.75" customHeight="1">
      <c r="B91" s="236"/>
      <c r="C91" s="162"/>
      <c r="D91" s="162"/>
      <c r="E91" s="196"/>
      <c r="F91" s="326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  <c r="H92" s="78"/>
    </row>
    <row r="93" spans="2:8" ht="12.75" customHeight="1">
      <c r="B93" s="326"/>
      <c r="C93" s="326"/>
      <c r="D93" s="326"/>
      <c r="E93" s="326"/>
      <c r="F93" s="326"/>
      <c r="G93" s="326"/>
      <c r="H93" s="18"/>
    </row>
    <row r="94" spans="5:8" ht="12.75" customHeight="1">
      <c r="E94" s="1"/>
      <c r="F94" s="1"/>
      <c r="G94" s="1"/>
      <c r="H94" s="1"/>
    </row>
    <row r="95" spans="5:8" ht="12.75" customHeight="1">
      <c r="E95" s="1"/>
      <c r="F95" s="1"/>
      <c r="G95" s="1"/>
      <c r="H95" s="1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7:8" ht="12.75" customHeight="1">
      <c r="G120" s="40"/>
      <c r="H120" s="40"/>
    </row>
    <row r="121" spans="7:8" ht="12.75" customHeight="1">
      <c r="G121" s="40"/>
      <c r="H121" s="40"/>
    </row>
    <row r="122" spans="7:8" ht="12.75" customHeight="1">
      <c r="G122" s="40"/>
      <c r="H122" s="40"/>
    </row>
    <row r="123" spans="7:8" ht="12.75" customHeight="1">
      <c r="G123" s="40"/>
      <c r="H123" s="40"/>
    </row>
    <row r="124" spans="7:8" ht="12.75" customHeight="1">
      <c r="G124" s="40"/>
      <c r="H124" s="40"/>
    </row>
    <row r="125" spans="7:8" ht="12.75" customHeight="1">
      <c r="G125" s="40"/>
      <c r="H125" s="40"/>
    </row>
    <row r="126" spans="7:8" ht="12.75" customHeight="1">
      <c r="G126" s="40"/>
      <c r="H126" s="40"/>
    </row>
    <row r="127" spans="7:8" ht="12.75" customHeight="1">
      <c r="G127" s="40"/>
      <c r="H127" s="40"/>
    </row>
    <row r="128" spans="7:8" ht="12.75" customHeight="1">
      <c r="G128" s="40"/>
      <c r="H128" s="40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>
      <c r="G136" s="40"/>
      <c r="H136" s="40"/>
    </row>
    <row r="137" spans="7:8" ht="12.75">
      <c r="G137" s="40"/>
      <c r="H137" s="40"/>
    </row>
  </sheetData>
  <mergeCells count="21">
    <mergeCell ref="C43:D43"/>
    <mergeCell ref="C66:D66"/>
    <mergeCell ref="C38:D38"/>
    <mergeCell ref="C3:D3"/>
    <mergeCell ref="C4:D4"/>
    <mergeCell ref="C14:D14"/>
    <mergeCell ref="C24:D24"/>
    <mergeCell ref="C26:D26"/>
    <mergeCell ref="C32:D32"/>
    <mergeCell ref="C30:D30"/>
    <mergeCell ref="C33:D33"/>
    <mergeCell ref="C34:D34"/>
    <mergeCell ref="C36:D36"/>
    <mergeCell ref="C88:D88"/>
    <mergeCell ref="C49:D49"/>
    <mergeCell ref="C53:D53"/>
    <mergeCell ref="C57:D57"/>
    <mergeCell ref="C59:D59"/>
    <mergeCell ref="C67:D67"/>
    <mergeCell ref="C79:D79"/>
    <mergeCell ref="C61:D61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2" min="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7"/>
  <sheetViews>
    <sheetView showGridLines="0" view="pageBreakPreview" zoomScale="80" zoomScaleSheetLayoutView="80" workbookViewId="0" topLeftCell="B61">
      <selection activeCell="E5" sqref="E5:E22"/>
    </sheetView>
  </sheetViews>
  <sheetFormatPr defaultColWidth="9.140625" defaultRowHeight="12.75"/>
  <cols>
    <col min="1" max="1" width="9.140625" style="2" customWidth="1"/>
    <col min="2" max="2" width="4.140625" style="2" bestFit="1" customWidth="1"/>
    <col min="3" max="3" width="9.140625" style="2" customWidth="1"/>
    <col min="4" max="4" width="43.421875" style="2" bestFit="1" customWidth="1"/>
    <col min="5" max="5" width="9.8515625" style="40" customWidth="1"/>
    <col min="6" max="6" width="9.8515625" style="43" customWidth="1"/>
    <col min="7" max="7" width="10.57421875" style="42" customWidth="1"/>
    <col min="8" max="16384" width="9.140625" style="2" customWidth="1"/>
  </cols>
  <sheetData>
    <row r="1" spans="2:7" s="33" customFormat="1" ht="15">
      <c r="B1" s="377"/>
      <c r="C1" s="378" t="s">
        <v>183</v>
      </c>
      <c r="D1" s="377"/>
      <c r="E1" s="312"/>
      <c r="F1" s="31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E5+E6+E12</f>
        <v>1066727</v>
      </c>
      <c r="F4" s="234">
        <f>F5+F6+F12</f>
        <v>1029547</v>
      </c>
      <c r="G4" s="235">
        <f aca="true" t="shared" si="0" ref="G4:G12">F4-E4</f>
        <v>-37180</v>
      </c>
    </row>
    <row r="5" spans="2:7" ht="12.75" customHeight="1">
      <c r="B5" s="236"/>
      <c r="C5" s="237" t="s">
        <v>0</v>
      </c>
      <c r="D5" s="237" t="s">
        <v>70</v>
      </c>
      <c r="E5" s="238">
        <v>504142</v>
      </c>
      <c r="F5" s="238">
        <v>451432</v>
      </c>
      <c r="G5" s="239">
        <f t="shared" si="0"/>
        <v>-52710</v>
      </c>
    </row>
    <row r="6" spans="2:7" ht="12.75" customHeight="1">
      <c r="B6" s="236"/>
      <c r="C6" s="237"/>
      <c r="D6" s="237" t="s">
        <v>30</v>
      </c>
      <c r="E6" s="238">
        <f>E7+E8+E9+E10+E11</f>
        <v>147207</v>
      </c>
      <c r="F6" s="238">
        <f>F7+F8+F9+F10+F11</f>
        <v>71205</v>
      </c>
      <c r="G6" s="239">
        <f t="shared" si="0"/>
        <v>-76002</v>
      </c>
    </row>
    <row r="7" spans="2:7" ht="12.75" customHeight="1">
      <c r="B7" s="236"/>
      <c r="C7" s="237"/>
      <c r="D7" s="240" t="s">
        <v>44</v>
      </c>
      <c r="E7" s="238">
        <v>6564</v>
      </c>
      <c r="F7" s="238">
        <v>7850</v>
      </c>
      <c r="G7" s="242">
        <f t="shared" si="0"/>
        <v>1286</v>
      </c>
    </row>
    <row r="8" spans="2:7" ht="12.75" customHeight="1">
      <c r="B8" s="236"/>
      <c r="C8" s="237"/>
      <c r="D8" s="240" t="s">
        <v>40</v>
      </c>
      <c r="E8" s="238">
        <v>45761</v>
      </c>
      <c r="F8" s="238">
        <v>51863</v>
      </c>
      <c r="G8" s="242">
        <f t="shared" si="0"/>
        <v>6102</v>
      </c>
    </row>
    <row r="9" spans="2:7" ht="12.75" customHeight="1">
      <c r="B9" s="236"/>
      <c r="C9" s="237"/>
      <c r="D9" s="240" t="s">
        <v>41</v>
      </c>
      <c r="E9" s="238">
        <v>92816</v>
      </c>
      <c r="F9" s="238">
        <v>6017</v>
      </c>
      <c r="G9" s="242">
        <f t="shared" si="0"/>
        <v>-86799</v>
      </c>
    </row>
    <row r="10" spans="2:7" ht="12.75" customHeight="1">
      <c r="B10" s="236"/>
      <c r="C10" s="237"/>
      <c r="D10" s="240" t="s">
        <v>49</v>
      </c>
      <c r="E10" s="238">
        <v>699</v>
      </c>
      <c r="F10" s="238">
        <v>331</v>
      </c>
      <c r="G10" s="242">
        <f t="shared" si="0"/>
        <v>-368</v>
      </c>
    </row>
    <row r="11" spans="2:7" ht="12.75" customHeight="1">
      <c r="B11" s="236"/>
      <c r="C11" s="237"/>
      <c r="D11" s="240" t="s">
        <v>43</v>
      </c>
      <c r="E11" s="238">
        <v>1367</v>
      </c>
      <c r="F11" s="238">
        <v>5144</v>
      </c>
      <c r="G11" s="242">
        <f t="shared" si="0"/>
        <v>3777</v>
      </c>
    </row>
    <row r="12" spans="2:7" ht="12.75" customHeight="1">
      <c r="B12" s="236"/>
      <c r="C12" s="237"/>
      <c r="D12" s="237" t="s">
        <v>31</v>
      </c>
      <c r="E12" s="238">
        <v>415378</v>
      </c>
      <c r="F12" s="238">
        <v>506910</v>
      </c>
      <c r="G12" s="242">
        <f t="shared" si="0"/>
        <v>91532</v>
      </c>
    </row>
    <row r="13" spans="2:7" ht="12.75" customHeight="1">
      <c r="B13" s="233"/>
      <c r="C13" s="237"/>
      <c r="D13" s="237"/>
      <c r="E13" s="238"/>
      <c r="F13" s="238"/>
      <c r="G13" s="235"/>
    </row>
    <row r="14" spans="2:7" ht="12.75" customHeight="1">
      <c r="B14" s="233">
        <v>2</v>
      </c>
      <c r="C14" s="429" t="s">
        <v>120</v>
      </c>
      <c r="D14" s="429"/>
      <c r="E14" s="243">
        <f>E15+E20</f>
        <v>1158308</v>
      </c>
      <c r="F14" s="243">
        <f>F15+F20</f>
        <v>1051064</v>
      </c>
      <c r="G14" s="329">
        <f>F14-E14</f>
        <v>-107244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955955</v>
      </c>
      <c r="F15" s="238">
        <f>F16+F17+F18+F19</f>
        <v>942183</v>
      </c>
      <c r="G15" s="239">
        <f aca="true" t="shared" si="1" ref="G15:G22">F15-E15</f>
        <v>-13772</v>
      </c>
    </row>
    <row r="16" spans="2:7" ht="12.75" customHeight="1">
      <c r="B16" s="236"/>
      <c r="C16" s="237"/>
      <c r="D16" s="240" t="s">
        <v>34</v>
      </c>
      <c r="E16" s="238">
        <f>255208+90840</f>
        <v>346048</v>
      </c>
      <c r="F16" s="238">
        <f>254687+90210</f>
        <v>344897</v>
      </c>
      <c r="G16" s="239">
        <f t="shared" si="1"/>
        <v>-1151</v>
      </c>
    </row>
    <row r="17" spans="2:7" ht="12.75" customHeight="1">
      <c r="B17" s="236"/>
      <c r="C17" s="237"/>
      <c r="D17" s="240" t="s">
        <v>35</v>
      </c>
      <c r="E17" s="238">
        <v>217654</v>
      </c>
      <c r="F17" s="238">
        <v>204662</v>
      </c>
      <c r="G17" s="239">
        <f t="shared" si="1"/>
        <v>-12992</v>
      </c>
    </row>
    <row r="18" spans="2:7" ht="12.75" customHeight="1">
      <c r="B18" s="236"/>
      <c r="C18" s="237"/>
      <c r="D18" s="240" t="s">
        <v>36</v>
      </c>
      <c r="E18" s="238">
        <v>383415</v>
      </c>
      <c r="F18" s="238">
        <v>387654</v>
      </c>
      <c r="G18" s="239">
        <f t="shared" si="1"/>
        <v>4239</v>
      </c>
    </row>
    <row r="19" spans="2:7" ht="12.75" customHeight="1">
      <c r="B19" s="236"/>
      <c r="C19" s="237"/>
      <c r="D19" s="240" t="s">
        <v>37</v>
      </c>
      <c r="E19" s="238">
        <v>8838</v>
      </c>
      <c r="F19" s="238">
        <v>4970</v>
      </c>
      <c r="G19" s="239">
        <f t="shared" si="1"/>
        <v>-3868</v>
      </c>
    </row>
    <row r="20" spans="2:7" ht="12.75" customHeight="1">
      <c r="B20" s="236"/>
      <c r="C20" s="237"/>
      <c r="D20" s="237" t="s">
        <v>33</v>
      </c>
      <c r="E20" s="238">
        <f>E21+E22</f>
        <v>202353</v>
      </c>
      <c r="F20" s="238">
        <f>F21+F22</f>
        <v>108881</v>
      </c>
      <c r="G20" s="239">
        <f t="shared" si="1"/>
        <v>-93472</v>
      </c>
    </row>
    <row r="21" spans="2:7" ht="12.75" customHeight="1">
      <c r="B21" s="236"/>
      <c r="C21" s="237"/>
      <c r="D21" s="240" t="s">
        <v>38</v>
      </c>
      <c r="E21" s="238">
        <v>193352</v>
      </c>
      <c r="F21" s="238">
        <v>95801</v>
      </c>
      <c r="G21" s="239">
        <f t="shared" si="1"/>
        <v>-97551</v>
      </c>
    </row>
    <row r="22" spans="2:7" ht="12.75" customHeight="1">
      <c r="B22" s="236"/>
      <c r="C22" s="237"/>
      <c r="D22" s="240" t="s">
        <v>39</v>
      </c>
      <c r="E22" s="238">
        <v>9001</v>
      </c>
      <c r="F22" s="238">
        <v>13080</v>
      </c>
      <c r="G22" s="239">
        <f t="shared" si="1"/>
        <v>4079</v>
      </c>
    </row>
    <row r="23" spans="2:7" ht="12.75" customHeight="1">
      <c r="B23" s="233"/>
      <c r="C23" s="314"/>
      <c r="D23" s="314"/>
      <c r="E23" s="370"/>
      <c r="F23" s="261"/>
      <c r="G23" s="242"/>
    </row>
    <row r="24" spans="2:7" ht="12.75" customHeight="1">
      <c r="B24" s="244">
        <v>3</v>
      </c>
      <c r="C24" s="434" t="s">
        <v>121</v>
      </c>
      <c r="D24" s="435"/>
      <c r="E24" s="245">
        <f>E4-E14</f>
        <v>-91581</v>
      </c>
      <c r="F24" s="245">
        <f>F4-F14</f>
        <v>-21517</v>
      </c>
      <c r="G24" s="246">
        <f>F24-E24</f>
        <v>70064</v>
      </c>
    </row>
    <row r="25" spans="2:7" ht="12.75" customHeight="1">
      <c r="B25" s="233"/>
      <c r="C25" s="328"/>
      <c r="D25" s="328"/>
      <c r="E25" s="238"/>
      <c r="F25" s="243"/>
      <c r="G25" s="235"/>
    </row>
    <row r="26" spans="2:8" s="1" customFormat="1" ht="12.75" customHeight="1">
      <c r="B26" s="233">
        <v>4</v>
      </c>
      <c r="C26" s="430" t="s">
        <v>167</v>
      </c>
      <c r="D26" s="430"/>
      <c r="E26" s="243">
        <f>E27+E28+E29</f>
        <v>11382</v>
      </c>
      <c r="F26" s="243">
        <f>F27+F28+F29</f>
        <v>-4087</v>
      </c>
      <c r="G26" s="235">
        <f>F26-E26</f>
        <v>-15469</v>
      </c>
      <c r="H26" s="2"/>
    </row>
    <row r="27" spans="2:8" s="1" customFormat="1" ht="12.75" customHeight="1">
      <c r="B27" s="236"/>
      <c r="C27" s="237"/>
      <c r="D27" s="237" t="s">
        <v>3</v>
      </c>
      <c r="E27" s="238">
        <v>0</v>
      </c>
      <c r="F27" s="238">
        <v>6737</v>
      </c>
      <c r="G27" s="239">
        <f aca="true" t="shared" si="2" ref="G27:G29">F27-E27</f>
        <v>6737</v>
      </c>
      <c r="H27" s="2"/>
    </row>
    <row r="28" spans="2:7" s="1" customFormat="1" ht="12.75" customHeight="1">
      <c r="B28" s="236"/>
      <c r="C28" s="237"/>
      <c r="D28" s="237" t="s">
        <v>15</v>
      </c>
      <c r="E28" s="238">
        <v>0</v>
      </c>
      <c r="F28" s="238">
        <v>-13617</v>
      </c>
      <c r="G28" s="239">
        <f t="shared" si="2"/>
        <v>-13617</v>
      </c>
    </row>
    <row r="29" spans="2:7" s="1" customFormat="1" ht="12.75" customHeight="1">
      <c r="B29" s="236"/>
      <c r="C29" s="237"/>
      <c r="D29" s="237" t="s">
        <v>165</v>
      </c>
      <c r="E29" s="238">
        <v>11382</v>
      </c>
      <c r="F29" s="238">
        <v>2793</v>
      </c>
      <c r="G29" s="239">
        <f t="shared" si="2"/>
        <v>-8589</v>
      </c>
    </row>
    <row r="30" spans="2:7" ht="12.75" customHeight="1">
      <c r="B30" s="233"/>
      <c r="C30" s="314"/>
      <c r="D30" s="314"/>
      <c r="E30" s="238"/>
      <c r="F30" s="258"/>
      <c r="G30" s="235"/>
    </row>
    <row r="31" spans="2:7" s="1" customFormat="1" ht="12.75" customHeight="1">
      <c r="B31" s="233">
        <v>5</v>
      </c>
      <c r="C31" s="433" t="s">
        <v>280</v>
      </c>
      <c r="D31" s="433"/>
      <c r="E31" s="243">
        <f>E32</f>
        <v>0</v>
      </c>
      <c r="F31" s="243">
        <f>SUM(F32:F35)</f>
        <v>446</v>
      </c>
      <c r="G31" s="235">
        <f>F31-E31</f>
        <v>446</v>
      </c>
    </row>
    <row r="32" spans="2:7" s="1" customFormat="1" ht="29.25" customHeight="1">
      <c r="B32" s="233"/>
      <c r="C32" s="262"/>
      <c r="D32" s="376" t="s">
        <v>192</v>
      </c>
      <c r="E32" s="261">
        <v>0</v>
      </c>
      <c r="F32" s="238">
        <f>3497+765</f>
        <v>4262</v>
      </c>
      <c r="G32" s="239">
        <f aca="true" t="shared" si="3" ref="G32:G35">F32-E32</f>
        <v>4262</v>
      </c>
    </row>
    <row r="33" spans="2:7" s="1" customFormat="1" ht="27.75" customHeight="1">
      <c r="B33" s="233"/>
      <c r="C33" s="262"/>
      <c r="D33" s="376" t="s">
        <v>193</v>
      </c>
      <c r="E33" s="261">
        <v>0</v>
      </c>
      <c r="F33" s="238">
        <f>-1581-813</f>
        <v>-2394</v>
      </c>
      <c r="G33" s="239">
        <f t="shared" si="3"/>
        <v>-2394</v>
      </c>
    </row>
    <row r="34" spans="2:7" s="1" customFormat="1" ht="25.5">
      <c r="B34" s="233"/>
      <c r="C34" s="262"/>
      <c r="D34" s="376" t="s">
        <v>265</v>
      </c>
      <c r="E34" s="261">
        <v>0</v>
      </c>
      <c r="F34" s="238">
        <v>-23</v>
      </c>
      <c r="G34" s="239">
        <f t="shared" si="3"/>
        <v>-23</v>
      </c>
    </row>
    <row r="35" spans="2:7" s="1" customFormat="1" ht="25.5">
      <c r="B35" s="233"/>
      <c r="C35" s="262"/>
      <c r="D35" s="376" t="s">
        <v>266</v>
      </c>
      <c r="E35" s="261">
        <v>0</v>
      </c>
      <c r="F35" s="238">
        <v>-1399</v>
      </c>
      <c r="G35" s="239">
        <f t="shared" si="3"/>
        <v>-1399</v>
      </c>
    </row>
    <row r="36" spans="2:7" s="1" customFormat="1" ht="12.75" customHeight="1">
      <c r="B36" s="236"/>
      <c r="C36" s="262"/>
      <c r="D36" s="237"/>
      <c r="E36" s="238"/>
      <c r="F36" s="238"/>
      <c r="G36" s="242"/>
    </row>
    <row r="37" spans="2:7" ht="12.75" customHeight="1">
      <c r="B37" s="244">
        <v>6</v>
      </c>
      <c r="C37" s="434" t="s">
        <v>123</v>
      </c>
      <c r="D37" s="435"/>
      <c r="E37" s="245">
        <f>E24+E26</f>
        <v>-80199</v>
      </c>
      <c r="F37" s="245">
        <f>F24+F26+F31</f>
        <v>-25158</v>
      </c>
      <c r="G37" s="246">
        <f>F37-E37</f>
        <v>55041</v>
      </c>
    </row>
    <row r="38" spans="2:7" ht="12.75" customHeight="1">
      <c r="B38" s="379"/>
      <c r="C38" s="449" t="s">
        <v>5</v>
      </c>
      <c r="D38" s="449"/>
      <c r="E38" s="238">
        <f>E4+E27+E29</f>
        <v>1078109</v>
      </c>
      <c r="F38" s="238">
        <f>F4+F27+F29+F34</f>
        <v>1039054</v>
      </c>
      <c r="G38" s="239">
        <f aca="true" t="shared" si="4" ref="G38:G39">F38-E38</f>
        <v>-39055</v>
      </c>
    </row>
    <row r="39" spans="2:7" ht="12.75" customHeight="1">
      <c r="B39" s="380"/>
      <c r="C39" s="448" t="s">
        <v>6</v>
      </c>
      <c r="D39" s="448"/>
      <c r="E39" s="252">
        <f>E14-E28-E31</f>
        <v>1158308</v>
      </c>
      <c r="F39" s="252">
        <f>F14-F28-F32-F33-F35</f>
        <v>1064212</v>
      </c>
      <c r="G39" s="239">
        <f t="shared" si="4"/>
        <v>-94096</v>
      </c>
    </row>
    <row r="40" spans="1:8" ht="12.75" customHeight="1" thickBot="1">
      <c r="A40" s="4"/>
      <c r="B40" s="343"/>
      <c r="C40" s="343"/>
      <c r="D40" s="343"/>
      <c r="E40" s="334"/>
      <c r="F40" s="344"/>
      <c r="G40" s="381"/>
      <c r="H40" s="4"/>
    </row>
    <row r="41" spans="2:7" ht="26.25" thickTop="1">
      <c r="B41" s="230"/>
      <c r="C41" s="431" t="s">
        <v>155</v>
      </c>
      <c r="D41" s="431"/>
      <c r="E41" s="319"/>
      <c r="F41" s="319"/>
      <c r="G41" s="320" t="s">
        <v>205</v>
      </c>
    </row>
    <row r="42" spans="2:7" ht="12.75" customHeight="1">
      <c r="B42" s="257">
        <v>7</v>
      </c>
      <c r="C42" s="271" t="s">
        <v>133</v>
      </c>
      <c r="D42" s="271"/>
      <c r="E42" s="196"/>
      <c r="F42" s="321"/>
      <c r="G42" s="284">
        <f>G48-G43+G65</f>
        <v>9369</v>
      </c>
    </row>
    <row r="43" spans="2:7" ht="12.75" customHeight="1">
      <c r="B43" s="259">
        <v>8</v>
      </c>
      <c r="C43" s="432" t="s">
        <v>143</v>
      </c>
      <c r="D43" s="432"/>
      <c r="E43" s="196"/>
      <c r="F43" s="321"/>
      <c r="G43" s="260">
        <f>G44+G45+G46</f>
        <v>2</v>
      </c>
    </row>
    <row r="44" spans="2:7" ht="27.75" customHeight="1">
      <c r="B44" s="236"/>
      <c r="C44" s="262"/>
      <c r="D44" s="346" t="s">
        <v>101</v>
      </c>
      <c r="E44" s="347"/>
      <c r="F44" s="348"/>
      <c r="G44" s="261">
        <v>0</v>
      </c>
    </row>
    <row r="45" spans="2:7" ht="12.75" customHeight="1">
      <c r="B45" s="236"/>
      <c r="C45" s="262"/>
      <c r="D45" s="162" t="s">
        <v>102</v>
      </c>
      <c r="E45" s="196"/>
      <c r="F45" s="321"/>
      <c r="G45" s="261">
        <v>2</v>
      </c>
    </row>
    <row r="46" spans="2:7" ht="27.75" customHeight="1">
      <c r="B46" s="236"/>
      <c r="C46" s="262"/>
      <c r="D46" s="346" t="s">
        <v>114</v>
      </c>
      <c r="E46" s="347"/>
      <c r="F46" s="348"/>
      <c r="G46" s="261">
        <v>0</v>
      </c>
    </row>
    <row r="47" spans="2:7" ht="12.75" customHeight="1">
      <c r="B47" s="236"/>
      <c r="C47" s="162"/>
      <c r="D47" s="162"/>
      <c r="E47" s="196"/>
      <c r="F47" s="321"/>
      <c r="G47" s="261"/>
    </row>
    <row r="48" spans="2:7" ht="12.75" customHeight="1">
      <c r="B48" s="280">
        <v>9</v>
      </c>
      <c r="C48" s="456" t="s">
        <v>142</v>
      </c>
      <c r="D48" s="456"/>
      <c r="E48" s="265"/>
      <c r="F48" s="322"/>
      <c r="G48" s="338">
        <f>G49+G50+G51</f>
        <v>4329</v>
      </c>
    </row>
    <row r="49" spans="2:7" ht="12.75" customHeight="1">
      <c r="B49" s="267"/>
      <c r="C49" s="268"/>
      <c r="D49" s="268" t="s">
        <v>22</v>
      </c>
      <c r="E49" s="269"/>
      <c r="F49" s="324"/>
      <c r="G49" s="270">
        <v>0</v>
      </c>
    </row>
    <row r="50" spans="2:7" ht="12.75" customHeight="1">
      <c r="B50" s="236"/>
      <c r="C50" s="162"/>
      <c r="D50" s="162" t="s">
        <v>106</v>
      </c>
      <c r="E50" s="196"/>
      <c r="F50" s="321"/>
      <c r="G50" s="261">
        <f>23+4209</f>
        <v>4232</v>
      </c>
    </row>
    <row r="51" spans="2:7" ht="12.75" customHeight="1">
      <c r="B51" s="236"/>
      <c r="C51" s="162"/>
      <c r="D51" s="162" t="s">
        <v>107</v>
      </c>
      <c r="E51" s="196"/>
      <c r="F51" s="336"/>
      <c r="G51" s="239">
        <v>97</v>
      </c>
    </row>
    <row r="52" spans="2:7" ht="12.75" customHeight="1">
      <c r="B52" s="257">
        <v>10</v>
      </c>
      <c r="C52" s="271" t="s">
        <v>124</v>
      </c>
      <c r="D52" s="271"/>
      <c r="E52" s="196"/>
      <c r="F52" s="321"/>
      <c r="G52" s="284">
        <f>G53-G57</f>
        <v>28816</v>
      </c>
    </row>
    <row r="53" spans="2:7" ht="12.75" customHeight="1">
      <c r="B53" s="259">
        <v>11</v>
      </c>
      <c r="C53" s="432" t="s">
        <v>141</v>
      </c>
      <c r="D53" s="432"/>
      <c r="E53" s="196"/>
      <c r="F53" s="321"/>
      <c r="G53" s="260">
        <f>G54+G55</f>
        <v>42716</v>
      </c>
    </row>
    <row r="54" spans="2:7" ht="12.75" customHeight="1">
      <c r="B54" s="259"/>
      <c r="C54" s="162"/>
      <c r="D54" s="162" t="s">
        <v>115</v>
      </c>
      <c r="E54" s="196"/>
      <c r="F54" s="321"/>
      <c r="G54" s="261">
        <v>0</v>
      </c>
    </row>
    <row r="55" spans="2:7" ht="12.75" customHeight="1">
      <c r="B55" s="259"/>
      <c r="C55" s="162"/>
      <c r="D55" s="162" t="s">
        <v>109</v>
      </c>
      <c r="E55" s="196"/>
      <c r="F55" s="321"/>
      <c r="G55" s="261">
        <f>33488+9228</f>
        <v>42716</v>
      </c>
    </row>
    <row r="56" spans="2:7" ht="12.75" customHeight="1">
      <c r="B56" s="259"/>
      <c r="C56" s="162"/>
      <c r="D56" s="162"/>
      <c r="E56" s="196"/>
      <c r="F56" s="321"/>
      <c r="G56" s="261"/>
    </row>
    <row r="57" spans="2:7" ht="12.75" customHeight="1">
      <c r="B57" s="259">
        <v>12</v>
      </c>
      <c r="C57" s="432" t="s">
        <v>140</v>
      </c>
      <c r="D57" s="432"/>
      <c r="E57" s="196"/>
      <c r="F57" s="321"/>
      <c r="G57" s="260">
        <f>G58+G59</f>
        <v>13900</v>
      </c>
    </row>
    <row r="58" spans="2:7" ht="24" customHeight="1">
      <c r="B58" s="236"/>
      <c r="C58" s="162"/>
      <c r="D58" s="346" t="s">
        <v>110</v>
      </c>
      <c r="E58" s="347"/>
      <c r="F58" s="348"/>
      <c r="G58" s="261">
        <v>0</v>
      </c>
    </row>
    <row r="59" spans="2:7" ht="12.75" customHeight="1">
      <c r="B59" s="236"/>
      <c r="C59" s="162"/>
      <c r="D59" s="162" t="s">
        <v>111</v>
      </c>
      <c r="E59" s="196"/>
      <c r="F59" s="321"/>
      <c r="G59" s="261">
        <v>13900</v>
      </c>
    </row>
    <row r="60" spans="2:7" ht="12.75" customHeight="1">
      <c r="B60" s="236"/>
      <c r="C60" s="262"/>
      <c r="D60" s="162"/>
      <c r="E60" s="196"/>
      <c r="F60" s="321"/>
      <c r="G60" s="261"/>
    </row>
    <row r="61" spans="2:7" ht="12.75" customHeight="1">
      <c r="B61" s="257">
        <v>13</v>
      </c>
      <c r="C61" s="430" t="s">
        <v>125</v>
      </c>
      <c r="D61" s="430"/>
      <c r="E61" s="196"/>
      <c r="F61" s="321"/>
      <c r="G61" s="284">
        <f>F26</f>
        <v>-4087</v>
      </c>
    </row>
    <row r="62" spans="2:7" ht="12.75" customHeight="1">
      <c r="B62" s="236"/>
      <c r="C62" s="262"/>
      <c r="D62" s="262"/>
      <c r="E62" s="196"/>
      <c r="F62" s="321"/>
      <c r="G62" s="261"/>
    </row>
    <row r="63" spans="2:7" ht="12.75" customHeight="1">
      <c r="B63" s="257">
        <v>14</v>
      </c>
      <c r="C63" s="433" t="s">
        <v>281</v>
      </c>
      <c r="D63" s="433"/>
      <c r="E63" s="196"/>
      <c r="F63" s="321"/>
      <c r="G63" s="284">
        <f>F31</f>
        <v>446</v>
      </c>
    </row>
    <row r="64" spans="2:7" ht="12.75" customHeight="1">
      <c r="B64" s="236"/>
      <c r="C64" s="262"/>
      <c r="D64" s="162"/>
      <c r="E64" s="196"/>
      <c r="F64" s="321"/>
      <c r="G64" s="261"/>
    </row>
    <row r="65" spans="2:7" ht="12.75" customHeight="1">
      <c r="B65" s="259">
        <v>15</v>
      </c>
      <c r="C65" s="432" t="s">
        <v>126</v>
      </c>
      <c r="D65" s="432"/>
      <c r="E65" s="196"/>
      <c r="F65" s="196"/>
      <c r="G65" s="260">
        <v>5042</v>
      </c>
    </row>
    <row r="66" spans="2:7" ht="12.75" customHeight="1">
      <c r="B66" s="236"/>
      <c r="C66" s="264"/>
      <c r="D66" s="264"/>
      <c r="E66" s="265"/>
      <c r="F66" s="322"/>
      <c r="G66" s="266"/>
    </row>
    <row r="67" spans="2:7" ht="12.75" customHeight="1">
      <c r="B67" s="244">
        <v>16</v>
      </c>
      <c r="C67" s="275" t="s">
        <v>127</v>
      </c>
      <c r="D67" s="276"/>
      <c r="E67" s="300"/>
      <c r="F67" s="325"/>
      <c r="G67" s="279">
        <f>G42-G52+G61+G63</f>
        <v>-23088</v>
      </c>
    </row>
    <row r="68" spans="2:7" ht="12.75" customHeight="1">
      <c r="B68" s="280">
        <v>17</v>
      </c>
      <c r="C68" s="281" t="s">
        <v>128</v>
      </c>
      <c r="D68" s="281"/>
      <c r="E68" s="265"/>
      <c r="F68" s="322"/>
      <c r="G68" s="338">
        <f>G67-F37</f>
        <v>2070</v>
      </c>
    </row>
    <row r="69" spans="2:7" s="8" customFormat="1" ht="12.75" customHeight="1" thickBot="1">
      <c r="B69" s="332"/>
      <c r="C69" s="332"/>
      <c r="D69" s="333"/>
      <c r="E69" s="334"/>
      <c r="F69" s="334"/>
      <c r="G69" s="335"/>
    </row>
    <row r="70" spans="2:8" s="1" customFormat="1" ht="26.25" customHeight="1" thickTop="1">
      <c r="B70" s="230"/>
      <c r="C70" s="431" t="s">
        <v>149</v>
      </c>
      <c r="D70" s="431"/>
      <c r="E70" s="319"/>
      <c r="F70" s="319"/>
      <c r="G70" s="320" t="s">
        <v>205</v>
      </c>
      <c r="H70" s="40"/>
    </row>
    <row r="71" spans="2:7" ht="12.75" customHeight="1">
      <c r="B71" s="233">
        <v>18</v>
      </c>
      <c r="C71" s="429" t="s">
        <v>135</v>
      </c>
      <c r="D71" s="429"/>
      <c r="E71" s="196"/>
      <c r="F71" s="196"/>
      <c r="G71" s="258">
        <f>F37*(-1)</f>
        <v>25158</v>
      </c>
    </row>
    <row r="72" spans="2:7" ht="12.75" customHeight="1">
      <c r="B72" s="236"/>
      <c r="C72" s="262"/>
      <c r="D72" s="262"/>
      <c r="E72" s="196"/>
      <c r="F72" s="196"/>
      <c r="G72" s="283"/>
    </row>
    <row r="73" spans="2:7" ht="12.75" customHeight="1">
      <c r="B73" s="257">
        <v>19</v>
      </c>
      <c r="C73" s="271" t="s">
        <v>129</v>
      </c>
      <c r="D73" s="339"/>
      <c r="E73" s="196"/>
      <c r="F73" s="326"/>
      <c r="G73" s="284">
        <f>G74+G75+G78+G81</f>
        <v>17477</v>
      </c>
    </row>
    <row r="74" spans="2:7" ht="12.75" customHeight="1">
      <c r="B74" s="236"/>
      <c r="C74" s="240"/>
      <c r="D74" s="162" t="s">
        <v>68</v>
      </c>
      <c r="E74" s="196"/>
      <c r="F74" s="326"/>
      <c r="G74" s="261">
        <f>G65</f>
        <v>5042</v>
      </c>
    </row>
    <row r="75" spans="2:7" ht="12.75" customHeight="1">
      <c r="B75" s="236"/>
      <c r="C75" s="262"/>
      <c r="D75" s="162" t="s">
        <v>23</v>
      </c>
      <c r="E75" s="196"/>
      <c r="F75" s="326"/>
      <c r="G75" s="261">
        <f>G76-G77</f>
        <v>2808</v>
      </c>
    </row>
    <row r="76" spans="2:7" ht="12.75" customHeight="1">
      <c r="B76" s="236"/>
      <c r="C76" s="262"/>
      <c r="D76" s="162" t="s">
        <v>78</v>
      </c>
      <c r="E76" s="196"/>
      <c r="F76" s="326"/>
      <c r="G76" s="261">
        <f>G50</f>
        <v>4232</v>
      </c>
    </row>
    <row r="77" spans="2:7" ht="12.75" customHeight="1">
      <c r="B77" s="233"/>
      <c r="C77" s="262"/>
      <c r="D77" s="162" t="s">
        <v>116</v>
      </c>
      <c r="E77" s="196"/>
      <c r="F77" s="326"/>
      <c r="G77" s="261">
        <f>G45-F34-F35</f>
        <v>1424</v>
      </c>
    </row>
    <row r="78" spans="2:7" ht="12.75" customHeight="1">
      <c r="B78" s="236"/>
      <c r="C78" s="262"/>
      <c r="D78" s="162" t="s">
        <v>24</v>
      </c>
      <c r="E78" s="196"/>
      <c r="F78" s="326"/>
      <c r="G78" s="261">
        <f>G79-G80</f>
        <v>97</v>
      </c>
    </row>
    <row r="79" spans="2:7" ht="12.75" customHeight="1">
      <c r="B79" s="236"/>
      <c r="C79" s="262"/>
      <c r="D79" s="162" t="s">
        <v>117</v>
      </c>
      <c r="E79" s="196"/>
      <c r="F79" s="326"/>
      <c r="G79" s="261">
        <f>G51</f>
        <v>97</v>
      </c>
    </row>
    <row r="80" spans="2:7" ht="12.75" customHeight="1">
      <c r="B80" s="236"/>
      <c r="C80" s="262"/>
      <c r="D80" s="162" t="s">
        <v>118</v>
      </c>
      <c r="E80" s="196"/>
      <c r="F80" s="326"/>
      <c r="G80" s="261">
        <f>G46</f>
        <v>0</v>
      </c>
    </row>
    <row r="81" spans="2:7" ht="12.75" customHeight="1">
      <c r="B81" s="236"/>
      <c r="C81" s="162"/>
      <c r="D81" s="162" t="s">
        <v>80</v>
      </c>
      <c r="E81" s="196"/>
      <c r="F81" s="326"/>
      <c r="G81" s="261">
        <f>F27+F29</f>
        <v>9530</v>
      </c>
    </row>
    <row r="82" spans="2:7" ht="12.75" customHeight="1">
      <c r="B82" s="236"/>
      <c r="C82" s="162"/>
      <c r="D82" s="162"/>
      <c r="E82" s="196"/>
      <c r="F82" s="326"/>
      <c r="G82" s="258"/>
    </row>
    <row r="83" spans="2:7" ht="12.75" customHeight="1">
      <c r="B83" s="257">
        <v>20</v>
      </c>
      <c r="C83" s="430" t="s">
        <v>130</v>
      </c>
      <c r="D83" s="430"/>
      <c r="E83" s="196"/>
      <c r="F83" s="326"/>
      <c r="G83" s="284">
        <f>G84+G85+G88+G89+G90</f>
        <v>-13617</v>
      </c>
    </row>
    <row r="84" spans="2:7" ht="12.75" customHeight="1">
      <c r="B84" s="236"/>
      <c r="C84" s="162"/>
      <c r="D84" s="162" t="s">
        <v>81</v>
      </c>
      <c r="E84" s="286"/>
      <c r="F84" s="340"/>
      <c r="G84" s="261">
        <f>F28</f>
        <v>-13617</v>
      </c>
    </row>
    <row r="85" spans="2:7" ht="12.75" customHeight="1">
      <c r="B85" s="236"/>
      <c r="C85" s="162"/>
      <c r="D85" s="162" t="s">
        <v>82</v>
      </c>
      <c r="E85" s="196"/>
      <c r="F85" s="326"/>
      <c r="G85" s="261">
        <f>G86+G87</f>
        <v>0</v>
      </c>
    </row>
    <row r="86" spans="2:7" ht="12.75" customHeight="1">
      <c r="B86" s="236"/>
      <c r="C86" s="162"/>
      <c r="D86" s="162" t="s">
        <v>95</v>
      </c>
      <c r="E86" s="196"/>
      <c r="F86" s="326"/>
      <c r="G86" s="261">
        <v>0</v>
      </c>
    </row>
    <row r="87" spans="2:7" ht="12.75" customHeight="1">
      <c r="B87" s="236"/>
      <c r="C87" s="162"/>
      <c r="D87" s="162" t="s">
        <v>96</v>
      </c>
      <c r="E87" s="196"/>
      <c r="F87" s="326"/>
      <c r="G87" s="261">
        <v>0</v>
      </c>
    </row>
    <row r="88" spans="2:7" ht="12.75" customHeight="1">
      <c r="B88" s="236"/>
      <c r="C88" s="162"/>
      <c r="D88" s="162" t="s">
        <v>83</v>
      </c>
      <c r="E88" s="196"/>
      <c r="F88" s="326"/>
      <c r="G88" s="261">
        <v>0</v>
      </c>
    </row>
    <row r="89" spans="2:7" ht="12.75" customHeight="1">
      <c r="B89" s="236"/>
      <c r="C89" s="162"/>
      <c r="D89" s="162" t="s">
        <v>84</v>
      </c>
      <c r="E89" s="196"/>
      <c r="F89" s="326"/>
      <c r="G89" s="261">
        <v>0</v>
      </c>
    </row>
    <row r="90" spans="2:7" ht="12.75" customHeight="1">
      <c r="B90" s="236"/>
      <c r="C90" s="162"/>
      <c r="D90" s="162" t="s">
        <v>166</v>
      </c>
      <c r="E90" s="196"/>
      <c r="F90" s="326"/>
      <c r="G90" s="261">
        <v>0</v>
      </c>
    </row>
    <row r="91" spans="2:7" ht="12.75" customHeight="1">
      <c r="B91" s="236"/>
      <c r="C91" s="162"/>
      <c r="D91" s="162"/>
      <c r="E91" s="196"/>
      <c r="F91" s="326"/>
      <c r="G91" s="261"/>
    </row>
    <row r="92" spans="2:7" ht="12.75" customHeight="1">
      <c r="B92" s="257">
        <v>21</v>
      </c>
      <c r="C92" s="430" t="s">
        <v>134</v>
      </c>
      <c r="D92" s="430"/>
      <c r="E92" s="196"/>
      <c r="F92" s="326"/>
      <c r="G92" s="284">
        <f>G93+G94</f>
        <v>-2070</v>
      </c>
    </row>
    <row r="93" spans="2:7" ht="12.75" customHeight="1">
      <c r="B93" s="236"/>
      <c r="C93" s="162"/>
      <c r="D93" s="162" t="s">
        <v>159</v>
      </c>
      <c r="E93" s="196"/>
      <c r="F93" s="326"/>
      <c r="G93" s="261">
        <f>-G68</f>
        <v>-2070</v>
      </c>
    </row>
    <row r="94" spans="2:7" s="8" customFormat="1" ht="12.75" customHeight="1">
      <c r="B94" s="236"/>
      <c r="C94" s="162"/>
      <c r="D94" s="162" t="s">
        <v>160</v>
      </c>
      <c r="E94" s="196"/>
      <c r="F94" s="326"/>
      <c r="G94" s="261">
        <f>G96-(G71+G73+G83)-G93</f>
        <v>0</v>
      </c>
    </row>
    <row r="95" spans="2:7" ht="12.75" customHeight="1">
      <c r="B95" s="236"/>
      <c r="C95" s="162"/>
      <c r="D95" s="162"/>
      <c r="E95" s="196"/>
      <c r="F95" s="326"/>
      <c r="G95" s="261"/>
    </row>
    <row r="96" spans="2:7" ht="12.75" customHeight="1">
      <c r="B96" s="244">
        <v>22</v>
      </c>
      <c r="C96" s="275" t="s">
        <v>176</v>
      </c>
      <c r="D96" s="275"/>
      <c r="E96" s="277"/>
      <c r="F96" s="341"/>
      <c r="G96" s="279">
        <v>26948</v>
      </c>
    </row>
    <row r="97" spans="5:7" ht="12.75" customHeight="1">
      <c r="E97" s="2"/>
      <c r="F97" s="2"/>
      <c r="G97" s="80"/>
    </row>
    <row r="98" spans="5:7" ht="12.75" customHeight="1">
      <c r="E98" s="2"/>
      <c r="F98" s="2"/>
      <c r="G98" s="2"/>
    </row>
    <row r="99" spans="5:7" ht="12.75" customHeight="1">
      <c r="E99" s="2"/>
      <c r="F99" s="2"/>
      <c r="G99" s="2"/>
    </row>
    <row r="100" spans="5:7" ht="12.75" customHeight="1">
      <c r="E100" s="2"/>
      <c r="F100" s="2"/>
      <c r="G100" s="2"/>
    </row>
    <row r="101" spans="5:7" ht="12.75" customHeight="1">
      <c r="E101" s="2"/>
      <c r="F101" s="2"/>
      <c r="G101" s="2"/>
    </row>
    <row r="102" spans="5:7" ht="12.75" customHeight="1">
      <c r="E102" s="2"/>
      <c r="F102" s="2"/>
      <c r="G102" s="2"/>
    </row>
    <row r="103" spans="5:7" ht="12.75" customHeight="1">
      <c r="E103" s="2"/>
      <c r="F103" s="2"/>
      <c r="G103" s="2"/>
    </row>
    <row r="104" spans="5:7" ht="12.75" customHeight="1">
      <c r="E104" s="2"/>
      <c r="F104" s="2"/>
      <c r="G104" s="2"/>
    </row>
    <row r="105" spans="5:7" ht="12.75" customHeight="1">
      <c r="E105" s="2"/>
      <c r="F105" s="2"/>
      <c r="G105" s="2"/>
    </row>
    <row r="106" spans="5:7" ht="12.75" customHeight="1">
      <c r="E106" s="2"/>
      <c r="F106" s="2"/>
      <c r="G106" s="2"/>
    </row>
    <row r="107" spans="5:7" ht="12.75" customHeight="1">
      <c r="E107" s="2"/>
      <c r="F107" s="2"/>
      <c r="G107" s="2"/>
    </row>
    <row r="108" spans="5:7" ht="12.75" customHeight="1">
      <c r="E108" s="2"/>
      <c r="F108" s="2"/>
      <c r="G108" s="2"/>
    </row>
    <row r="109" spans="5:7" ht="12.75" customHeight="1">
      <c r="E109" s="2"/>
      <c r="F109" s="2"/>
      <c r="G109" s="2"/>
    </row>
    <row r="110" spans="5:7" ht="12.75" customHeight="1">
      <c r="E110" s="2"/>
      <c r="F110" s="2"/>
      <c r="G110" s="2"/>
    </row>
    <row r="111" spans="5:7" ht="12.75" customHeight="1">
      <c r="E111" s="2"/>
      <c r="F111" s="2"/>
      <c r="G111" s="2"/>
    </row>
    <row r="112" spans="5:7" ht="12.75" customHeight="1">
      <c r="E112" s="2"/>
      <c r="F112" s="2"/>
      <c r="G112" s="2"/>
    </row>
    <row r="113" spans="5:7" ht="12.75" customHeight="1">
      <c r="E113" s="2"/>
      <c r="F113" s="2"/>
      <c r="G113" s="2"/>
    </row>
    <row r="114" spans="5:7" ht="12.75" customHeight="1">
      <c r="E114" s="2"/>
      <c r="F114" s="2"/>
      <c r="G114" s="2"/>
    </row>
    <row r="115" spans="5:7" ht="12.75" customHeight="1">
      <c r="E115" s="2"/>
      <c r="F115" s="2"/>
      <c r="G115" s="2"/>
    </row>
    <row r="116" spans="5:7" ht="12.75" customHeight="1">
      <c r="E116" s="2"/>
      <c r="F116" s="2"/>
      <c r="G116" s="2"/>
    </row>
    <row r="117" spans="5:7" ht="12.75" customHeight="1">
      <c r="E117" s="2"/>
      <c r="F117" s="2"/>
      <c r="G117" s="2"/>
    </row>
    <row r="118" spans="5:7" ht="12.75" customHeight="1">
      <c r="E118" s="2"/>
      <c r="F118" s="2"/>
      <c r="G118" s="2"/>
    </row>
    <row r="119" spans="5:7" ht="12.75" customHeight="1">
      <c r="E119" s="2"/>
      <c r="F119" s="2"/>
      <c r="G119" s="2"/>
    </row>
    <row r="120" spans="5:7" ht="12.75" customHeight="1">
      <c r="E120" s="2"/>
      <c r="F120" s="2"/>
      <c r="G120" s="2"/>
    </row>
    <row r="121" spans="5:7" ht="12.75" customHeight="1">
      <c r="E121" s="2"/>
      <c r="F121" s="2"/>
      <c r="G121" s="2"/>
    </row>
    <row r="122" spans="5:7" ht="12.75" customHeight="1">
      <c r="E122" s="2"/>
      <c r="F122" s="2"/>
      <c r="G122" s="2"/>
    </row>
    <row r="123" spans="5:7" ht="12.75" customHeight="1">
      <c r="E123" s="2"/>
      <c r="F123" s="2"/>
      <c r="G123" s="2"/>
    </row>
    <row r="124" spans="4:7" ht="12.75" customHeight="1">
      <c r="D124" s="23"/>
      <c r="G124" s="40"/>
    </row>
    <row r="125" spans="4:7" ht="12.75" customHeight="1">
      <c r="D125" s="23"/>
      <c r="G125" s="40"/>
    </row>
    <row r="126" spans="4:7" ht="12.75" customHeight="1">
      <c r="D126" s="23"/>
      <c r="G126" s="40"/>
    </row>
    <row r="127" spans="4:7" s="8" customFormat="1" ht="12.75" customHeight="1">
      <c r="D127" s="10"/>
      <c r="E127" s="40"/>
      <c r="F127" s="49"/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 customHeight="1">
      <c r="G135" s="40"/>
    </row>
    <row r="136" ht="12.75">
      <c r="G136" s="40"/>
    </row>
    <row r="137" ht="12.75">
      <c r="G137" s="40"/>
    </row>
  </sheetData>
  <mergeCells count="21">
    <mergeCell ref="C63:D63"/>
    <mergeCell ref="C3:D3"/>
    <mergeCell ref="C48:D48"/>
    <mergeCell ref="C53:D53"/>
    <mergeCell ref="C4:D4"/>
    <mergeCell ref="C14:D14"/>
    <mergeCell ref="C57:D57"/>
    <mergeCell ref="C61:D61"/>
    <mergeCell ref="C31:D31"/>
    <mergeCell ref="C24:D24"/>
    <mergeCell ref="C26:D26"/>
    <mergeCell ref="C37:D37"/>
    <mergeCell ref="C38:D38"/>
    <mergeCell ref="C39:D39"/>
    <mergeCell ref="C41:D41"/>
    <mergeCell ref="C43:D43"/>
    <mergeCell ref="C92:D92"/>
    <mergeCell ref="C65:D65"/>
    <mergeCell ref="C70:D70"/>
    <mergeCell ref="C71:D71"/>
    <mergeCell ref="C83:D83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3"/>
  <rowBreaks count="1" manualBreakCount="1">
    <brk id="48" min="1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8"/>
  <sheetViews>
    <sheetView showGridLines="0" view="pageBreakPreview" zoomScale="80" zoomScaleSheetLayoutView="80" workbookViewId="0" topLeftCell="A67">
      <selection activeCell="E6" sqref="E6:E22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9.8515625" style="50" customWidth="1"/>
    <col min="7" max="7" width="10.57421875" style="42" customWidth="1"/>
    <col min="8" max="16384" width="9.140625" style="1" customWidth="1"/>
  </cols>
  <sheetData>
    <row r="1" spans="2:7" s="31" customFormat="1" ht="15">
      <c r="B1" s="382"/>
      <c r="C1" s="290" t="s">
        <v>184</v>
      </c>
      <c r="D1" s="289"/>
      <c r="E1" s="312"/>
      <c r="F1" s="31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383">
        <f>E5+E11</f>
        <v>387516</v>
      </c>
      <c r="F4" s="234">
        <f>F5+F11</f>
        <v>291707</v>
      </c>
      <c r="G4" s="235">
        <f aca="true" t="shared" si="0" ref="G4:G11">F4-E4</f>
        <v>-95809</v>
      </c>
    </row>
    <row r="5" spans="2:7" ht="12.75" customHeight="1">
      <c r="B5" s="236"/>
      <c r="C5" s="237" t="s">
        <v>0</v>
      </c>
      <c r="D5" s="237" t="s">
        <v>30</v>
      </c>
      <c r="E5" s="238">
        <f>E6+E7+E8+E9+E10</f>
        <v>123014</v>
      </c>
      <c r="F5" s="238">
        <f>F6+F7+F8+F9+F10</f>
        <v>39212</v>
      </c>
      <c r="G5" s="239">
        <f t="shared" si="0"/>
        <v>-83802</v>
      </c>
    </row>
    <row r="6" spans="2:7" ht="12.75" customHeight="1">
      <c r="B6" s="236"/>
      <c r="C6" s="237"/>
      <c r="D6" s="240" t="s">
        <v>44</v>
      </c>
      <c r="E6" s="384">
        <v>7323</v>
      </c>
      <c r="F6" s="238">
        <v>5843</v>
      </c>
      <c r="G6" s="239">
        <f t="shared" si="0"/>
        <v>-1480</v>
      </c>
    </row>
    <row r="7" spans="2:7" ht="12.75" customHeight="1">
      <c r="B7" s="236"/>
      <c r="C7" s="237"/>
      <c r="D7" s="240" t="s">
        <v>40</v>
      </c>
      <c r="E7" s="384">
        <v>112096</v>
      </c>
      <c r="F7" s="238">
        <v>30559</v>
      </c>
      <c r="G7" s="239">
        <f t="shared" si="0"/>
        <v>-81537</v>
      </c>
    </row>
    <row r="8" spans="2:7" ht="12.75" customHeight="1">
      <c r="B8" s="236"/>
      <c r="C8" s="237"/>
      <c r="D8" s="240" t="s">
        <v>41</v>
      </c>
      <c r="E8" s="384">
        <v>50</v>
      </c>
      <c r="F8" s="238">
        <v>29</v>
      </c>
      <c r="G8" s="239">
        <f t="shared" si="0"/>
        <v>-21</v>
      </c>
    </row>
    <row r="9" spans="2:7" ht="12.75" customHeight="1">
      <c r="B9" s="236"/>
      <c r="C9" s="237"/>
      <c r="D9" s="240" t="s">
        <v>42</v>
      </c>
      <c r="E9" s="238">
        <v>77</v>
      </c>
      <c r="F9" s="238">
        <v>67</v>
      </c>
      <c r="G9" s="239">
        <f t="shared" si="0"/>
        <v>-10</v>
      </c>
    </row>
    <row r="10" spans="2:7" ht="12.75" customHeight="1">
      <c r="B10" s="236"/>
      <c r="C10" s="237"/>
      <c r="D10" s="240" t="s">
        <v>43</v>
      </c>
      <c r="E10" s="384">
        <v>3468</v>
      </c>
      <c r="F10" s="238">
        <v>2714</v>
      </c>
      <c r="G10" s="239">
        <f t="shared" si="0"/>
        <v>-754</v>
      </c>
    </row>
    <row r="11" spans="2:7" ht="12.75" customHeight="1">
      <c r="B11" s="236"/>
      <c r="C11" s="237"/>
      <c r="D11" s="237" t="s">
        <v>31</v>
      </c>
      <c r="E11" s="384">
        <v>264502</v>
      </c>
      <c r="F11" s="238">
        <v>252495</v>
      </c>
      <c r="G11" s="239">
        <f t="shared" si="0"/>
        <v>-12007</v>
      </c>
    </row>
    <row r="12" spans="2:7" ht="12.75" customHeight="1">
      <c r="B12" s="236"/>
      <c r="C12" s="237"/>
      <c r="D12" s="237"/>
      <c r="E12" s="384"/>
      <c r="F12" s="238"/>
      <c r="G12" s="239"/>
    </row>
    <row r="13" spans="2:7" ht="12.75" customHeight="1">
      <c r="B13" s="236"/>
      <c r="C13" s="237"/>
      <c r="D13" s="237"/>
      <c r="E13" s="384"/>
      <c r="F13" s="238"/>
      <c r="G13" s="235"/>
    </row>
    <row r="14" spans="2:7" ht="12.75" customHeight="1">
      <c r="B14" s="233">
        <v>2</v>
      </c>
      <c r="C14" s="429" t="s">
        <v>120</v>
      </c>
      <c r="D14" s="429"/>
      <c r="E14" s="385">
        <f>E15+E20</f>
        <v>404094</v>
      </c>
      <c r="F14" s="243">
        <f>F15+F20</f>
        <v>291104</v>
      </c>
      <c r="G14" s="235">
        <f>F14-E14</f>
        <v>-112990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388003</v>
      </c>
      <c r="F15" s="238">
        <f>F16+F17+F18+F19</f>
        <v>281553</v>
      </c>
      <c r="G15" s="239">
        <f>F15-E15</f>
        <v>-106450</v>
      </c>
    </row>
    <row r="16" spans="2:7" ht="12.75" customHeight="1">
      <c r="B16" s="236"/>
      <c r="C16" s="237"/>
      <c r="D16" s="240" t="s">
        <v>34</v>
      </c>
      <c r="E16" s="384">
        <f>183482+65511</f>
        <v>248993</v>
      </c>
      <c r="F16" s="238">
        <f>137200+49343</f>
        <v>186543</v>
      </c>
      <c r="G16" s="239">
        <f aca="true" t="shared" si="1" ref="G16:G22">F16-E16</f>
        <v>-62450</v>
      </c>
    </row>
    <row r="17" spans="2:7" ht="12.75" customHeight="1">
      <c r="B17" s="236"/>
      <c r="C17" s="237"/>
      <c r="D17" s="240" t="s">
        <v>35</v>
      </c>
      <c r="E17" s="384">
        <v>136180</v>
      </c>
      <c r="F17" s="238">
        <v>92315</v>
      </c>
      <c r="G17" s="239">
        <f t="shared" si="1"/>
        <v>-43865</v>
      </c>
    </row>
    <row r="18" spans="2:7" ht="12.75" customHeight="1">
      <c r="B18" s="236"/>
      <c r="C18" s="237"/>
      <c r="D18" s="240" t="s">
        <v>36</v>
      </c>
      <c r="E18" s="384">
        <v>2726</v>
      </c>
      <c r="F18" s="238">
        <v>2695</v>
      </c>
      <c r="G18" s="239">
        <f t="shared" si="1"/>
        <v>-31</v>
      </c>
    </row>
    <row r="19" spans="2:7" ht="12.75" customHeight="1">
      <c r="B19" s="236"/>
      <c r="C19" s="237"/>
      <c r="D19" s="240" t="s">
        <v>37</v>
      </c>
      <c r="E19" s="384">
        <v>104</v>
      </c>
      <c r="F19" s="238">
        <v>0</v>
      </c>
      <c r="G19" s="239">
        <f t="shared" si="1"/>
        <v>-104</v>
      </c>
    </row>
    <row r="20" spans="2:7" ht="12.75" customHeight="1">
      <c r="B20" s="236"/>
      <c r="C20" s="237"/>
      <c r="D20" s="237" t="s">
        <v>33</v>
      </c>
      <c r="E20" s="238">
        <f>E21+E22</f>
        <v>16091</v>
      </c>
      <c r="F20" s="238">
        <f>F21+F22</f>
        <v>9551</v>
      </c>
      <c r="G20" s="239">
        <f t="shared" si="1"/>
        <v>-6540</v>
      </c>
    </row>
    <row r="21" spans="2:7" ht="12.75" customHeight="1">
      <c r="B21" s="236"/>
      <c r="C21" s="237"/>
      <c r="D21" s="240" t="s">
        <v>38</v>
      </c>
      <c r="E21" s="384">
        <v>16091</v>
      </c>
      <c r="F21" s="238">
        <v>9551</v>
      </c>
      <c r="G21" s="239">
        <f t="shared" si="1"/>
        <v>-6540</v>
      </c>
    </row>
    <row r="22" spans="2:7" ht="12.75" customHeight="1">
      <c r="B22" s="236"/>
      <c r="C22" s="237"/>
      <c r="D22" s="240" t="s">
        <v>39</v>
      </c>
      <c r="E22" s="384">
        <v>0</v>
      </c>
      <c r="F22" s="238">
        <v>0</v>
      </c>
      <c r="G22" s="239">
        <f t="shared" si="1"/>
        <v>0</v>
      </c>
    </row>
    <row r="23" spans="2:7" ht="12.75" customHeight="1">
      <c r="B23" s="236"/>
      <c r="C23" s="237"/>
      <c r="D23" s="237"/>
      <c r="E23" s="384"/>
      <c r="F23" s="238"/>
      <c r="G23" s="242"/>
    </row>
    <row r="24" spans="2:7" ht="12.75" customHeight="1">
      <c r="B24" s="244">
        <v>3</v>
      </c>
      <c r="C24" s="434" t="s">
        <v>121</v>
      </c>
      <c r="D24" s="435"/>
      <c r="E24" s="386">
        <f>E4-E14</f>
        <v>-16578</v>
      </c>
      <c r="F24" s="245">
        <f>F4-F14</f>
        <v>603</v>
      </c>
      <c r="G24" s="246">
        <f>F24-E24</f>
        <v>17181</v>
      </c>
    </row>
    <row r="25" spans="2:7" ht="12.75" customHeight="1">
      <c r="B25" s="236"/>
      <c r="C25" s="237"/>
      <c r="D25" s="237"/>
      <c r="E25" s="385"/>
      <c r="F25" s="238"/>
      <c r="G25" s="235"/>
    </row>
    <row r="26" spans="2:7" ht="12.75" customHeight="1">
      <c r="B26" s="233">
        <v>4</v>
      </c>
      <c r="C26" s="430" t="s">
        <v>167</v>
      </c>
      <c r="D26" s="430"/>
      <c r="E26" s="385">
        <f>E27+E28</f>
        <v>0</v>
      </c>
      <c r="F26" s="243">
        <f>F27+F28</f>
        <v>1106</v>
      </c>
      <c r="G26" s="235">
        <f>F26-E26</f>
        <v>1106</v>
      </c>
    </row>
    <row r="27" spans="2:7" ht="12.75" customHeight="1">
      <c r="B27" s="236"/>
      <c r="C27" s="237"/>
      <c r="D27" s="237" t="s">
        <v>3</v>
      </c>
      <c r="E27" s="385">
        <v>0</v>
      </c>
      <c r="F27" s="238">
        <v>1411</v>
      </c>
      <c r="G27" s="239">
        <f aca="true" t="shared" si="2" ref="G27:G28">F27-E27</f>
        <v>1411</v>
      </c>
    </row>
    <row r="28" spans="2:7" ht="12.75" customHeight="1">
      <c r="B28" s="236"/>
      <c r="C28" s="237"/>
      <c r="D28" s="237" t="s">
        <v>4</v>
      </c>
      <c r="E28" s="384">
        <v>0</v>
      </c>
      <c r="F28" s="238">
        <v>-305</v>
      </c>
      <c r="G28" s="239">
        <f t="shared" si="2"/>
        <v>-305</v>
      </c>
    </row>
    <row r="29" spans="2:7" ht="12.75" customHeight="1">
      <c r="B29" s="236"/>
      <c r="C29" s="237"/>
      <c r="D29" s="237"/>
      <c r="E29" s="384"/>
      <c r="F29" s="238"/>
      <c r="G29" s="235"/>
    </row>
    <row r="30" spans="2:7" ht="12.75" customHeight="1">
      <c r="B30" s="233">
        <v>5</v>
      </c>
      <c r="C30" s="433" t="s">
        <v>280</v>
      </c>
      <c r="D30" s="433"/>
      <c r="E30" s="385">
        <v>0</v>
      </c>
      <c r="F30" s="243">
        <f>F31</f>
        <v>-29</v>
      </c>
      <c r="G30" s="235">
        <f aca="true" t="shared" si="3" ref="G30:G31">F30-E30</f>
        <v>-29</v>
      </c>
    </row>
    <row r="31" spans="2:7" ht="12.75" customHeight="1">
      <c r="B31" s="233"/>
      <c r="C31" s="237"/>
      <c r="D31" s="237" t="s">
        <v>170</v>
      </c>
      <c r="E31" s="384">
        <v>0</v>
      </c>
      <c r="F31" s="238">
        <v>-29</v>
      </c>
      <c r="G31" s="239">
        <f t="shared" si="3"/>
        <v>-29</v>
      </c>
    </row>
    <row r="32" spans="2:7" ht="12.75" customHeight="1">
      <c r="B32" s="236"/>
      <c r="C32" s="237"/>
      <c r="D32" s="237"/>
      <c r="E32" s="384"/>
      <c r="F32" s="238"/>
      <c r="G32" s="235"/>
    </row>
    <row r="33" spans="2:7" ht="12.75" customHeight="1">
      <c r="B33" s="244">
        <v>6</v>
      </c>
      <c r="C33" s="434" t="s">
        <v>123</v>
      </c>
      <c r="D33" s="435"/>
      <c r="E33" s="386">
        <f>E24+E26</f>
        <v>-16578</v>
      </c>
      <c r="F33" s="245">
        <f>F24+F26+F30</f>
        <v>1680</v>
      </c>
      <c r="G33" s="246">
        <f>F33-E33</f>
        <v>18258</v>
      </c>
    </row>
    <row r="34" spans="2:9" ht="12.75" customHeight="1">
      <c r="B34" s="236"/>
      <c r="C34" s="433" t="s">
        <v>5</v>
      </c>
      <c r="D34" s="433"/>
      <c r="E34" s="238">
        <f>E4+E27</f>
        <v>387516</v>
      </c>
      <c r="F34" s="238">
        <f>F4+F27</f>
        <v>293118</v>
      </c>
      <c r="G34" s="239">
        <f aca="true" t="shared" si="4" ref="G34:G35">F34-E34</f>
        <v>-94398</v>
      </c>
      <c r="I34" s="2"/>
    </row>
    <row r="35" spans="2:7" ht="12.75" customHeight="1">
      <c r="B35" s="251"/>
      <c r="C35" s="436" t="s">
        <v>6</v>
      </c>
      <c r="D35" s="436"/>
      <c r="E35" s="252">
        <f>E14-E28</f>
        <v>404094</v>
      </c>
      <c r="F35" s="252">
        <f>F14-F28-F31</f>
        <v>291438</v>
      </c>
      <c r="G35" s="239">
        <f t="shared" si="4"/>
        <v>-112656</v>
      </c>
    </row>
    <row r="36" spans="1:8" ht="12.75" customHeight="1" thickBot="1">
      <c r="A36" s="3"/>
      <c r="B36" s="332"/>
      <c r="C36" s="332"/>
      <c r="D36" s="332"/>
      <c r="E36" s="387"/>
      <c r="F36" s="388"/>
      <c r="G36" s="335"/>
      <c r="H36" s="3"/>
    </row>
    <row r="37" spans="2:11" ht="26.25" thickTop="1">
      <c r="B37" s="230"/>
      <c r="C37" s="431" t="s">
        <v>155</v>
      </c>
      <c r="D37" s="431"/>
      <c r="E37" s="319"/>
      <c r="F37" s="319"/>
      <c r="G37" s="320" t="s">
        <v>205</v>
      </c>
      <c r="H37" s="11"/>
      <c r="I37" s="11"/>
      <c r="J37" s="11"/>
      <c r="K37" s="9"/>
    </row>
    <row r="38" spans="2:7" ht="12.75" customHeight="1">
      <c r="B38" s="257">
        <v>7</v>
      </c>
      <c r="C38" s="271" t="s">
        <v>133</v>
      </c>
      <c r="D38" s="271"/>
      <c r="E38" s="196"/>
      <c r="F38" s="321"/>
      <c r="G38" s="284">
        <f>G44-G39+G61</f>
        <v>2081</v>
      </c>
    </row>
    <row r="39" spans="2:11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0</v>
      </c>
      <c r="H39" s="11"/>
      <c r="I39" s="11"/>
      <c r="J39" s="11"/>
      <c r="K39" s="9"/>
    </row>
    <row r="40" spans="2:11" ht="26.25" customHeight="1">
      <c r="B40" s="236"/>
      <c r="C40" s="262"/>
      <c r="D40" s="346" t="s">
        <v>101</v>
      </c>
      <c r="E40" s="347"/>
      <c r="F40" s="348"/>
      <c r="G40" s="261">
        <v>0</v>
      </c>
      <c r="H40" s="11"/>
      <c r="I40" s="11"/>
      <c r="J40" s="11"/>
      <c r="K40" s="9"/>
    </row>
    <row r="41" spans="2:7" ht="12.75" customHeight="1">
      <c r="B41" s="236"/>
      <c r="C41" s="262"/>
      <c r="D41" s="162" t="s">
        <v>102</v>
      </c>
      <c r="E41" s="196"/>
      <c r="F41" s="321"/>
      <c r="G41" s="261">
        <v>0</v>
      </c>
    </row>
    <row r="42" spans="2:11" ht="27" customHeight="1">
      <c r="B42" s="236"/>
      <c r="C42" s="262"/>
      <c r="D42" s="346" t="s">
        <v>114</v>
      </c>
      <c r="E42" s="347"/>
      <c r="F42" s="348"/>
      <c r="G42" s="261">
        <v>0</v>
      </c>
      <c r="H42" s="11"/>
      <c r="I42" s="11"/>
      <c r="J42" s="11"/>
      <c r="K42" s="9"/>
    </row>
    <row r="43" spans="2:7" ht="12.75" customHeight="1">
      <c r="B43" s="236"/>
      <c r="C43" s="162"/>
      <c r="D43" s="162"/>
      <c r="E43" s="196"/>
      <c r="F43" s="321"/>
      <c r="G43" s="261"/>
    </row>
    <row r="44" spans="2:7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0</v>
      </c>
    </row>
    <row r="45" spans="2:7" ht="12.75" customHeight="1">
      <c r="B45" s="236"/>
      <c r="C45" s="162"/>
      <c r="D45" s="162" t="s">
        <v>22</v>
      </c>
      <c r="E45" s="196"/>
      <c r="F45" s="321"/>
      <c r="G45" s="261">
        <v>0</v>
      </c>
    </row>
    <row r="46" spans="2:7" ht="12.75" customHeight="1">
      <c r="B46" s="236"/>
      <c r="C46" s="162"/>
      <c r="D46" s="162" t="s">
        <v>106</v>
      </c>
      <c r="E46" s="196"/>
      <c r="F46" s="321"/>
      <c r="G46" s="261">
        <v>0</v>
      </c>
    </row>
    <row r="47" spans="2:7" ht="12.75" customHeight="1">
      <c r="B47" s="236"/>
      <c r="C47" s="162"/>
      <c r="D47" s="162" t="s">
        <v>107</v>
      </c>
      <c r="E47" s="196"/>
      <c r="F47" s="321"/>
      <c r="G47" s="261">
        <v>0</v>
      </c>
    </row>
    <row r="48" spans="2:7" ht="12.75" customHeight="1">
      <c r="B48" s="236"/>
      <c r="C48" s="162"/>
      <c r="D48" s="162"/>
      <c r="E48" s="196"/>
      <c r="F48" s="321"/>
      <c r="G48" s="261"/>
    </row>
    <row r="49" spans="2:7" ht="12.75" customHeight="1">
      <c r="B49" s="257">
        <v>10</v>
      </c>
      <c r="C49" s="271" t="s">
        <v>124</v>
      </c>
      <c r="D49" s="271"/>
      <c r="E49" s="196"/>
      <c r="F49" s="321"/>
      <c r="G49" s="284">
        <f>G50-G53</f>
        <v>-22</v>
      </c>
    </row>
    <row r="50" spans="2:7" ht="12.75" customHeight="1">
      <c r="B50" s="259">
        <v>11</v>
      </c>
      <c r="C50" s="432" t="s">
        <v>141</v>
      </c>
      <c r="D50" s="432"/>
      <c r="E50" s="196"/>
      <c r="F50" s="321"/>
      <c r="G50" s="260">
        <f>G51+G52</f>
        <v>0</v>
      </c>
    </row>
    <row r="51" spans="2:7" ht="12.75" customHeight="1">
      <c r="B51" s="259"/>
      <c r="C51" s="162"/>
      <c r="D51" s="162" t="s">
        <v>115</v>
      </c>
      <c r="E51" s="196"/>
      <c r="F51" s="321"/>
      <c r="G51" s="261">
        <v>0</v>
      </c>
    </row>
    <row r="52" spans="2:7" ht="12.75" customHeight="1">
      <c r="B52" s="280"/>
      <c r="C52" s="264"/>
      <c r="D52" s="264" t="s">
        <v>109</v>
      </c>
      <c r="E52" s="265"/>
      <c r="F52" s="322"/>
      <c r="G52" s="266">
        <v>0</v>
      </c>
    </row>
    <row r="53" spans="2:7" ht="12.75" customHeight="1">
      <c r="B53" s="323">
        <v>12</v>
      </c>
      <c r="C53" s="451" t="s">
        <v>140</v>
      </c>
      <c r="D53" s="451"/>
      <c r="E53" s="269"/>
      <c r="F53" s="324"/>
      <c r="G53" s="345">
        <f>G54+G55</f>
        <v>22</v>
      </c>
    </row>
    <row r="54" spans="2:7" ht="27" customHeight="1">
      <c r="B54" s="236"/>
      <c r="C54" s="162"/>
      <c r="D54" s="346" t="s">
        <v>110</v>
      </c>
      <c r="E54" s="347"/>
      <c r="F54" s="348"/>
      <c r="G54" s="261">
        <v>0</v>
      </c>
    </row>
    <row r="55" spans="2:7" ht="12.75" customHeight="1">
      <c r="B55" s="236"/>
      <c r="C55" s="162"/>
      <c r="D55" s="162" t="s">
        <v>111</v>
      </c>
      <c r="E55" s="196"/>
      <c r="F55" s="321"/>
      <c r="G55" s="261">
        <v>22</v>
      </c>
    </row>
    <row r="56" spans="2:11" ht="12.75" customHeight="1">
      <c r="B56" s="236"/>
      <c r="C56" s="262"/>
      <c r="D56" s="162"/>
      <c r="E56" s="196"/>
      <c r="F56" s="321"/>
      <c r="G56" s="261"/>
      <c r="H56" s="11"/>
      <c r="I56" s="11"/>
      <c r="J56" s="11"/>
      <c r="K56" s="9"/>
    </row>
    <row r="57" spans="2:11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1106</v>
      </c>
      <c r="H57" s="11"/>
      <c r="I57" s="11"/>
      <c r="J57" s="11"/>
      <c r="K57" s="9"/>
    </row>
    <row r="58" spans="2:11" ht="12.75" customHeight="1">
      <c r="B58" s="236"/>
      <c r="C58" s="262"/>
      <c r="D58" s="262"/>
      <c r="E58" s="196"/>
      <c r="F58" s="321"/>
      <c r="G58" s="261"/>
      <c r="H58" s="11"/>
      <c r="I58" s="11"/>
      <c r="J58" s="11"/>
      <c r="K58" s="9"/>
    </row>
    <row r="59" spans="2:11" ht="12.75" customHeight="1">
      <c r="B59" s="257">
        <v>14</v>
      </c>
      <c r="C59" s="433" t="s">
        <v>281</v>
      </c>
      <c r="D59" s="433"/>
      <c r="E59" s="196"/>
      <c r="F59" s="321"/>
      <c r="G59" s="284">
        <f>F30</f>
        <v>-29</v>
      </c>
      <c r="H59" s="11"/>
      <c r="I59" s="11"/>
      <c r="J59" s="11"/>
      <c r="K59" s="9"/>
    </row>
    <row r="60" spans="2:11" ht="12.75" customHeight="1">
      <c r="B60" s="236"/>
      <c r="C60" s="262"/>
      <c r="D60" s="162"/>
      <c r="E60" s="196"/>
      <c r="F60" s="321"/>
      <c r="G60" s="261"/>
      <c r="H60" s="11"/>
      <c r="I60" s="11"/>
      <c r="J60" s="11"/>
      <c r="K60" s="9"/>
    </row>
    <row r="61" spans="2:11" ht="12.75" customHeight="1">
      <c r="B61" s="259">
        <v>15</v>
      </c>
      <c r="C61" s="432" t="s">
        <v>126</v>
      </c>
      <c r="D61" s="432"/>
      <c r="E61" s="196"/>
      <c r="F61" s="196"/>
      <c r="G61" s="260">
        <v>2081</v>
      </c>
      <c r="H61" s="11"/>
      <c r="I61" s="11"/>
      <c r="J61" s="11"/>
      <c r="K61" s="9"/>
    </row>
    <row r="62" spans="2:11" ht="12.75" customHeight="1">
      <c r="B62" s="236"/>
      <c r="C62" s="264"/>
      <c r="D62" s="264"/>
      <c r="E62" s="265"/>
      <c r="F62" s="322"/>
      <c r="G62" s="266"/>
      <c r="H62" s="11"/>
      <c r="I62" s="11"/>
      <c r="J62" s="11"/>
      <c r="K62" s="9"/>
    </row>
    <row r="63" spans="2:11" ht="12.75" customHeight="1">
      <c r="B63" s="244">
        <v>16</v>
      </c>
      <c r="C63" s="275" t="s">
        <v>127</v>
      </c>
      <c r="D63" s="276"/>
      <c r="E63" s="300"/>
      <c r="F63" s="325"/>
      <c r="G63" s="279">
        <f>G38-G49+G57+G59</f>
        <v>3180</v>
      </c>
      <c r="H63" s="11"/>
      <c r="I63" s="11"/>
      <c r="J63" s="11"/>
      <c r="K63" s="9"/>
    </row>
    <row r="64" spans="2:11" ht="12.75" customHeight="1">
      <c r="B64" s="280">
        <v>17</v>
      </c>
      <c r="C64" s="281" t="s">
        <v>128</v>
      </c>
      <c r="D64" s="281"/>
      <c r="E64" s="265"/>
      <c r="F64" s="322"/>
      <c r="G64" s="338">
        <f>G63-F33</f>
        <v>1500</v>
      </c>
      <c r="H64" s="11"/>
      <c r="I64" s="11"/>
      <c r="J64" s="11"/>
      <c r="K64" s="9"/>
    </row>
    <row r="65" spans="2:11" ht="12.75" customHeight="1" thickBot="1">
      <c r="B65" s="332"/>
      <c r="C65" s="332"/>
      <c r="D65" s="333"/>
      <c r="E65" s="334"/>
      <c r="F65" s="334"/>
      <c r="G65" s="335"/>
      <c r="H65" s="11"/>
      <c r="I65" s="11"/>
      <c r="J65" s="11"/>
      <c r="K65" s="9"/>
    </row>
    <row r="66" spans="2:8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40"/>
    </row>
    <row r="67" spans="2:11" ht="12.75" customHeight="1">
      <c r="B67" s="233">
        <v>18</v>
      </c>
      <c r="C67" s="429" t="s">
        <v>135</v>
      </c>
      <c r="D67" s="429"/>
      <c r="E67" s="196"/>
      <c r="F67" s="196"/>
      <c r="G67" s="258">
        <f>F33*(-1)</f>
        <v>-1680</v>
      </c>
      <c r="H67" s="11"/>
      <c r="I67" s="11"/>
      <c r="J67" s="11"/>
      <c r="K67" s="9"/>
    </row>
    <row r="68" spans="2:11" ht="12.75" customHeight="1">
      <c r="B68" s="236"/>
      <c r="C68" s="262"/>
      <c r="D68" s="262"/>
      <c r="E68" s="196"/>
      <c r="F68" s="196"/>
      <c r="G68" s="283"/>
      <c r="H68" s="11"/>
      <c r="I68" s="11"/>
      <c r="J68" s="11"/>
      <c r="K68" s="9"/>
    </row>
    <row r="69" spans="2:11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3492</v>
      </c>
      <c r="H69" s="11"/>
      <c r="I69" s="11"/>
      <c r="J69" s="11"/>
      <c r="K69" s="9"/>
    </row>
    <row r="70" spans="2:11" ht="12.75" customHeight="1">
      <c r="B70" s="236"/>
      <c r="C70" s="240"/>
      <c r="D70" s="162" t="s">
        <v>68</v>
      </c>
      <c r="E70" s="196"/>
      <c r="F70" s="326"/>
      <c r="G70" s="261">
        <f>G61</f>
        <v>2081</v>
      </c>
      <c r="H70" s="11"/>
      <c r="I70" s="11"/>
      <c r="J70" s="11"/>
      <c r="K70" s="9"/>
    </row>
    <row r="71" spans="2:11" ht="12.75" customHeight="1">
      <c r="B71" s="236"/>
      <c r="C71" s="262"/>
      <c r="D71" s="162" t="s">
        <v>23</v>
      </c>
      <c r="E71" s="196"/>
      <c r="F71" s="326"/>
      <c r="G71" s="261">
        <f>G72-G73</f>
        <v>0</v>
      </c>
      <c r="H71" s="11"/>
      <c r="I71" s="11"/>
      <c r="J71" s="11"/>
      <c r="K71" s="9"/>
    </row>
    <row r="72" spans="2:11" ht="12.75" customHeight="1">
      <c r="B72" s="236"/>
      <c r="C72" s="262"/>
      <c r="D72" s="162" t="s">
        <v>78</v>
      </c>
      <c r="E72" s="196"/>
      <c r="F72" s="326"/>
      <c r="G72" s="261">
        <v>0</v>
      </c>
      <c r="H72" s="11"/>
      <c r="I72" s="11"/>
      <c r="J72" s="11"/>
      <c r="K72" s="9"/>
    </row>
    <row r="73" spans="2:11" ht="12.75" customHeight="1">
      <c r="B73" s="233"/>
      <c r="C73" s="262"/>
      <c r="D73" s="162" t="s">
        <v>116</v>
      </c>
      <c r="E73" s="196"/>
      <c r="F73" s="326"/>
      <c r="G73" s="261">
        <v>0</v>
      </c>
      <c r="H73" s="11"/>
      <c r="I73" s="11"/>
      <c r="J73" s="11"/>
      <c r="K73" s="9"/>
    </row>
    <row r="74" spans="2:7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</row>
    <row r="75" spans="2:7" ht="12.75" customHeight="1">
      <c r="B75" s="236"/>
      <c r="C75" s="262"/>
      <c r="D75" s="162" t="s">
        <v>117</v>
      </c>
      <c r="E75" s="196"/>
      <c r="F75" s="326"/>
      <c r="G75" s="261">
        <v>0</v>
      </c>
    </row>
    <row r="76" spans="2:7" ht="12.75" customHeight="1">
      <c r="B76" s="236"/>
      <c r="C76" s="262"/>
      <c r="D76" s="162" t="s">
        <v>118</v>
      </c>
      <c r="E76" s="196"/>
      <c r="F76" s="326"/>
      <c r="G76" s="261">
        <v>0</v>
      </c>
    </row>
    <row r="77" spans="2:7" ht="12.75" customHeight="1">
      <c r="B77" s="236"/>
      <c r="C77" s="162"/>
      <c r="D77" s="162" t="s">
        <v>80</v>
      </c>
      <c r="E77" s="196"/>
      <c r="F77" s="326"/>
      <c r="G77" s="261">
        <f>F27</f>
        <v>1411</v>
      </c>
    </row>
    <row r="78" spans="2:7" ht="12.75" customHeight="1">
      <c r="B78" s="236"/>
      <c r="C78" s="162"/>
      <c r="D78" s="162"/>
      <c r="E78" s="196"/>
      <c r="F78" s="326"/>
      <c r="G78" s="258"/>
    </row>
    <row r="79" spans="2:7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-305</v>
      </c>
    </row>
    <row r="80" spans="2:7" ht="12.75" customHeight="1">
      <c r="B80" s="236"/>
      <c r="C80" s="162"/>
      <c r="D80" s="162" t="s">
        <v>81</v>
      </c>
      <c r="E80" s="286"/>
      <c r="F80" s="340"/>
      <c r="G80" s="261">
        <f>F28</f>
        <v>-305</v>
      </c>
    </row>
    <row r="81" spans="2:7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</row>
    <row r="82" spans="2:7" ht="12.75" customHeight="1">
      <c r="B82" s="236"/>
      <c r="C82" s="162"/>
      <c r="D82" s="162" t="s">
        <v>95</v>
      </c>
      <c r="E82" s="196"/>
      <c r="F82" s="326"/>
      <c r="G82" s="261">
        <v>0</v>
      </c>
    </row>
    <row r="83" spans="2:7" ht="12.75" customHeight="1">
      <c r="B83" s="236"/>
      <c r="C83" s="162"/>
      <c r="D83" s="162" t="s">
        <v>96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83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84</v>
      </c>
      <c r="E85" s="196"/>
      <c r="F85" s="326"/>
      <c r="G85" s="261">
        <v>0</v>
      </c>
    </row>
    <row r="86" spans="2:7" ht="12.75" customHeight="1">
      <c r="B86" s="236"/>
      <c r="C86" s="162"/>
      <c r="D86" s="162" t="s">
        <v>166</v>
      </c>
      <c r="E86" s="196"/>
      <c r="F86" s="326"/>
      <c r="G86" s="261">
        <v>0</v>
      </c>
    </row>
    <row r="87" spans="2:7" ht="12.75" customHeight="1">
      <c r="B87" s="236"/>
      <c r="C87" s="162"/>
      <c r="D87" s="162"/>
      <c r="E87" s="196"/>
      <c r="F87" s="326"/>
      <c r="G87" s="261"/>
    </row>
    <row r="88" spans="2:7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-1499</v>
      </c>
    </row>
    <row r="89" spans="2:7" ht="12.75" customHeight="1">
      <c r="B89" s="236"/>
      <c r="C89" s="162"/>
      <c r="D89" s="162" t="s">
        <v>159</v>
      </c>
      <c r="E89" s="196"/>
      <c r="F89" s="326"/>
      <c r="G89" s="261">
        <f>-G64</f>
        <v>-1500</v>
      </c>
    </row>
    <row r="90" spans="2:7" ht="12.75" customHeight="1">
      <c r="B90" s="236"/>
      <c r="C90" s="162"/>
      <c r="D90" s="162" t="s">
        <v>160</v>
      </c>
      <c r="E90" s="196"/>
      <c r="F90" s="326"/>
      <c r="G90" s="261">
        <f>G92-(G67+G69+G79)-G89</f>
        <v>1</v>
      </c>
    </row>
    <row r="91" spans="2:7" ht="12.75" customHeight="1">
      <c r="B91" s="236"/>
      <c r="C91" s="162"/>
      <c r="D91" s="162"/>
      <c r="E91" s="196"/>
      <c r="F91" s="326"/>
      <c r="G91" s="261"/>
    </row>
    <row r="92" spans="2:7" ht="12.75" customHeight="1">
      <c r="B92" s="244">
        <v>22</v>
      </c>
      <c r="C92" s="275" t="s">
        <v>176</v>
      </c>
      <c r="D92" s="275"/>
      <c r="E92" s="277"/>
      <c r="F92" s="341"/>
      <c r="G92" s="279">
        <v>8</v>
      </c>
    </row>
    <row r="93" spans="5:7" ht="12.75" customHeight="1">
      <c r="E93" s="1"/>
      <c r="F93" s="1"/>
      <c r="G93" s="1"/>
    </row>
    <row r="94" spans="5:7" ht="12.75" customHeight="1">
      <c r="E94" s="1"/>
      <c r="F94" s="1"/>
      <c r="G94" s="1"/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8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spans="5:7" ht="12.75" customHeight="1">
      <c r="E119" s="1"/>
      <c r="F119" s="1"/>
      <c r="G119" s="1"/>
    </row>
    <row r="120" ht="12.75" customHeight="1">
      <c r="G120" s="40"/>
    </row>
    <row r="121" ht="12.75" customHeight="1">
      <c r="G121" s="40"/>
    </row>
    <row r="122" ht="12.75" customHeight="1">
      <c r="G122" s="40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 customHeight="1">
      <c r="G135" s="40"/>
    </row>
    <row r="136" ht="12.75" customHeight="1">
      <c r="G136" s="40"/>
    </row>
    <row r="137" ht="12.75">
      <c r="G137" s="40"/>
    </row>
    <row r="138" ht="12.75">
      <c r="G138" s="40"/>
    </row>
  </sheetData>
  <mergeCells count="21">
    <mergeCell ref="C24:D24"/>
    <mergeCell ref="C3:D3"/>
    <mergeCell ref="C26:D26"/>
    <mergeCell ref="C30:D30"/>
    <mergeCell ref="C37:D37"/>
    <mergeCell ref="C14:D14"/>
    <mergeCell ref="C33:D33"/>
    <mergeCell ref="C4:D4"/>
    <mergeCell ref="C61:D61"/>
    <mergeCell ref="C34:D34"/>
    <mergeCell ref="C88:D88"/>
    <mergeCell ref="C79:D79"/>
    <mergeCell ref="C35:D35"/>
    <mergeCell ref="C67:D67"/>
    <mergeCell ref="C39:D39"/>
    <mergeCell ref="C59:D59"/>
    <mergeCell ref="C50:D50"/>
    <mergeCell ref="C53:D53"/>
    <mergeCell ref="C66:D66"/>
    <mergeCell ref="C44:D44"/>
    <mergeCell ref="C57:D57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2" min="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K140"/>
  <sheetViews>
    <sheetView showGridLines="0" view="pageBreakPreview" zoomScale="80" zoomScaleSheetLayoutView="80" workbookViewId="0" topLeftCell="B61">
      <selection activeCell="J20" sqref="J20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8515625" style="40" customWidth="1"/>
    <col min="7" max="7" width="10.57421875" style="42" customWidth="1"/>
    <col min="8" max="9" width="10.57421875" style="1" bestFit="1" customWidth="1"/>
    <col min="10" max="16384" width="9.140625" style="1" customWidth="1"/>
  </cols>
  <sheetData>
    <row r="1" spans="2:7" s="31" customFormat="1" ht="15">
      <c r="B1" s="289"/>
      <c r="C1" s="290" t="s">
        <v>185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383">
        <f>E5+E6+E12</f>
        <v>3617171</v>
      </c>
      <c r="F4" s="234">
        <f>F5+F6+F12</f>
        <v>3287033</v>
      </c>
      <c r="G4" s="235">
        <f>F4-E4</f>
        <v>-330138</v>
      </c>
    </row>
    <row r="5" spans="2:9" ht="12.75" customHeight="1">
      <c r="B5" s="236"/>
      <c r="C5" s="237" t="s">
        <v>0</v>
      </c>
      <c r="D5" s="237" t="s">
        <v>29</v>
      </c>
      <c r="E5" s="384">
        <f>1588916</f>
        <v>1588916</v>
      </c>
      <c r="F5" s="238">
        <v>1421927</v>
      </c>
      <c r="G5" s="239">
        <f aca="true" t="shared" si="0" ref="G5:G22">F5-E5</f>
        <v>-166989</v>
      </c>
      <c r="I5" s="2"/>
    </row>
    <row r="6" spans="2:7" ht="12.75" customHeight="1">
      <c r="B6" s="236"/>
      <c r="C6" s="237"/>
      <c r="D6" s="237" t="s">
        <v>30</v>
      </c>
      <c r="E6" s="238">
        <f>E7+E8+E9+E10+E11</f>
        <v>1310586</v>
      </c>
      <c r="F6" s="238">
        <f>F7+F8+F9+F10+F11</f>
        <v>439305</v>
      </c>
      <c r="G6" s="239">
        <f t="shared" si="0"/>
        <v>-871281</v>
      </c>
    </row>
    <row r="7" spans="2:9" ht="12.75" customHeight="1">
      <c r="B7" s="236"/>
      <c r="C7" s="237"/>
      <c r="D7" s="240" t="s">
        <v>44</v>
      </c>
      <c r="E7" s="384">
        <v>131477</v>
      </c>
      <c r="F7" s="238">
        <v>141231</v>
      </c>
      <c r="G7" s="239">
        <f t="shared" si="0"/>
        <v>9754</v>
      </c>
      <c r="I7" s="2"/>
    </row>
    <row r="8" spans="2:7" ht="12.75" customHeight="1">
      <c r="B8" s="236"/>
      <c r="C8" s="237"/>
      <c r="D8" s="240" t="s">
        <v>40</v>
      </c>
      <c r="E8" s="384">
        <v>126838</v>
      </c>
      <c r="F8" s="238">
        <v>138847</v>
      </c>
      <c r="G8" s="239">
        <f t="shared" si="0"/>
        <v>12009</v>
      </c>
    </row>
    <row r="9" spans="2:7" ht="12.75" customHeight="1">
      <c r="B9" s="236"/>
      <c r="C9" s="237"/>
      <c r="D9" s="240" t="s">
        <v>41</v>
      </c>
      <c r="E9" s="384">
        <f>164421+803792+3775+52240</f>
        <v>1024228</v>
      </c>
      <c r="F9" s="238">
        <v>112120</v>
      </c>
      <c r="G9" s="239">
        <f t="shared" si="0"/>
        <v>-912108</v>
      </c>
    </row>
    <row r="10" spans="2:7" ht="12.75" customHeight="1">
      <c r="B10" s="236"/>
      <c r="C10" s="237"/>
      <c r="D10" s="240" t="s">
        <v>49</v>
      </c>
      <c r="E10" s="384">
        <v>2623</v>
      </c>
      <c r="F10" s="238">
        <v>3196</v>
      </c>
      <c r="G10" s="239">
        <f t="shared" si="0"/>
        <v>573</v>
      </c>
    </row>
    <row r="11" spans="2:7" ht="12.75" customHeight="1">
      <c r="B11" s="236"/>
      <c r="C11" s="237"/>
      <c r="D11" s="240" t="s">
        <v>43</v>
      </c>
      <c r="E11" s="384">
        <v>25420</v>
      </c>
      <c r="F11" s="238">
        <v>43911</v>
      </c>
      <c r="G11" s="239">
        <f t="shared" si="0"/>
        <v>18491</v>
      </c>
    </row>
    <row r="12" spans="2:7" ht="12.75" customHeight="1">
      <c r="B12" s="236"/>
      <c r="C12" s="237"/>
      <c r="D12" s="237" t="s">
        <v>31</v>
      </c>
      <c r="E12" s="384">
        <v>717669</v>
      </c>
      <c r="F12" s="238">
        <v>1425801</v>
      </c>
      <c r="G12" s="239">
        <f t="shared" si="0"/>
        <v>708132</v>
      </c>
    </row>
    <row r="13" spans="2:7" ht="12.75" customHeight="1">
      <c r="B13" s="233"/>
      <c r="C13" s="237"/>
      <c r="D13" s="237"/>
      <c r="E13" s="384"/>
      <c r="F13" s="238"/>
      <c r="G13" s="235"/>
    </row>
    <row r="14" spans="2:7" ht="12.75" customHeight="1">
      <c r="B14" s="233">
        <v>2</v>
      </c>
      <c r="C14" s="429" t="s">
        <v>120</v>
      </c>
      <c r="D14" s="429"/>
      <c r="E14" s="385">
        <f>E15+E20</f>
        <v>3874336</v>
      </c>
      <c r="F14" s="243">
        <f>F15+F20</f>
        <v>3683362</v>
      </c>
      <c r="G14" s="235">
        <f t="shared" si="0"/>
        <v>-190974</v>
      </c>
    </row>
    <row r="15" spans="2:7" ht="12.75" customHeight="1">
      <c r="B15" s="236"/>
      <c r="C15" s="237" t="s">
        <v>0</v>
      </c>
      <c r="D15" s="237" t="s">
        <v>32</v>
      </c>
      <c r="E15" s="384">
        <f>E16+E17+E18+E19</f>
        <v>2485978</v>
      </c>
      <c r="F15" s="238">
        <f>F16+F17+F18+F19</f>
        <v>2577978</v>
      </c>
      <c r="G15" s="239">
        <f t="shared" si="0"/>
        <v>92000</v>
      </c>
    </row>
    <row r="16" spans="2:7" ht="12.75" customHeight="1">
      <c r="B16" s="236"/>
      <c r="C16" s="237"/>
      <c r="D16" s="240" t="s">
        <v>34</v>
      </c>
      <c r="E16" s="384">
        <f>1221323</f>
        <v>1221323</v>
      </c>
      <c r="F16" s="238">
        <f>923382+324206</f>
        <v>1247588</v>
      </c>
      <c r="G16" s="239">
        <f t="shared" si="0"/>
        <v>26265</v>
      </c>
    </row>
    <row r="17" spans="2:7" ht="12.75" customHeight="1">
      <c r="B17" s="236"/>
      <c r="C17" s="237"/>
      <c r="D17" s="240" t="s">
        <v>35</v>
      </c>
      <c r="E17" s="384">
        <v>888496</v>
      </c>
      <c r="F17" s="238">
        <v>946540</v>
      </c>
      <c r="G17" s="239">
        <f t="shared" si="0"/>
        <v>58044</v>
      </c>
    </row>
    <row r="18" spans="2:7" ht="12.75" customHeight="1">
      <c r="B18" s="236"/>
      <c r="C18" s="237"/>
      <c r="D18" s="240" t="s">
        <v>36</v>
      </c>
      <c r="E18" s="384">
        <v>350834</v>
      </c>
      <c r="F18" s="238">
        <v>361198</v>
      </c>
      <c r="G18" s="239">
        <f t="shared" si="0"/>
        <v>10364</v>
      </c>
    </row>
    <row r="19" spans="2:7" ht="12.75" customHeight="1">
      <c r="B19" s="236"/>
      <c r="C19" s="237"/>
      <c r="D19" s="240" t="s">
        <v>37</v>
      </c>
      <c r="E19" s="384">
        <v>25325</v>
      </c>
      <c r="F19" s="238">
        <v>22652</v>
      </c>
      <c r="G19" s="239">
        <f t="shared" si="0"/>
        <v>-2673</v>
      </c>
    </row>
    <row r="20" spans="2:7" ht="12.75" customHeight="1">
      <c r="B20" s="236"/>
      <c r="C20" s="237"/>
      <c r="D20" s="237" t="s">
        <v>33</v>
      </c>
      <c r="E20" s="238">
        <f>E21+E22</f>
        <v>1388358</v>
      </c>
      <c r="F20" s="238">
        <f>F21+F22</f>
        <v>1105384</v>
      </c>
      <c r="G20" s="239">
        <f t="shared" si="0"/>
        <v>-282974</v>
      </c>
    </row>
    <row r="21" spans="2:7" ht="12.75" customHeight="1">
      <c r="B21" s="236"/>
      <c r="C21" s="237"/>
      <c r="D21" s="240" t="s">
        <v>38</v>
      </c>
      <c r="E21" s="384">
        <v>1319545</v>
      </c>
      <c r="F21" s="238">
        <v>1035694</v>
      </c>
      <c r="G21" s="239">
        <f t="shared" si="0"/>
        <v>-283851</v>
      </c>
    </row>
    <row r="22" spans="2:7" ht="12.75" customHeight="1">
      <c r="B22" s="236"/>
      <c r="C22" s="237"/>
      <c r="D22" s="240" t="s">
        <v>39</v>
      </c>
      <c r="E22" s="384">
        <v>68813</v>
      </c>
      <c r="F22" s="238">
        <v>69690</v>
      </c>
      <c r="G22" s="239">
        <f t="shared" si="0"/>
        <v>877</v>
      </c>
    </row>
    <row r="23" spans="2:7" ht="12.75" customHeight="1">
      <c r="B23" s="233"/>
      <c r="C23" s="237"/>
      <c r="D23" s="237"/>
      <c r="E23" s="389"/>
      <c r="F23" s="370"/>
      <c r="G23" s="242"/>
    </row>
    <row r="24" spans="2:9" ht="12.75" customHeight="1">
      <c r="B24" s="244">
        <v>3</v>
      </c>
      <c r="C24" s="434" t="s">
        <v>121</v>
      </c>
      <c r="D24" s="435"/>
      <c r="E24" s="386">
        <f>E4-E14</f>
        <v>-257165</v>
      </c>
      <c r="F24" s="245">
        <f>F4-F14</f>
        <v>-396329</v>
      </c>
      <c r="G24" s="246">
        <f>F24-E24</f>
        <v>-139164</v>
      </c>
      <c r="I24" s="2"/>
    </row>
    <row r="25" spans="2:7" ht="12.75" customHeight="1">
      <c r="B25" s="233"/>
      <c r="C25" s="247"/>
      <c r="D25" s="247"/>
      <c r="E25" s="384"/>
      <c r="F25" s="238"/>
      <c r="G25" s="235"/>
    </row>
    <row r="26" spans="2:7" ht="12.75" customHeight="1">
      <c r="B26" s="233">
        <v>4</v>
      </c>
      <c r="C26" s="430" t="s">
        <v>167</v>
      </c>
      <c r="D26" s="430"/>
      <c r="E26" s="385">
        <f>E27+E28</f>
        <v>0</v>
      </c>
      <c r="F26" s="243">
        <f>F27+F28</f>
        <v>-145187</v>
      </c>
      <c r="G26" s="235">
        <f>F26-E26</f>
        <v>-145187</v>
      </c>
    </row>
    <row r="27" spans="2:7" ht="12.75" customHeight="1">
      <c r="B27" s="236"/>
      <c r="C27" s="237"/>
      <c r="D27" s="237" t="s">
        <v>14</v>
      </c>
      <c r="E27" s="384">
        <v>0</v>
      </c>
      <c r="F27" s="238">
        <v>-16038</v>
      </c>
      <c r="G27" s="239">
        <f aca="true" t="shared" si="1" ref="G27:G28">F27-E27</f>
        <v>-16038</v>
      </c>
    </row>
    <row r="28" spans="2:7" ht="12.75" customHeight="1">
      <c r="B28" s="236"/>
      <c r="C28" s="237"/>
      <c r="D28" s="237" t="s">
        <v>15</v>
      </c>
      <c r="E28" s="384">
        <v>0</v>
      </c>
      <c r="F28" s="238">
        <v>-129149</v>
      </c>
      <c r="G28" s="239">
        <f t="shared" si="1"/>
        <v>-129149</v>
      </c>
    </row>
    <row r="29" spans="2:7" ht="12.75" customHeight="1">
      <c r="B29" s="233"/>
      <c r="C29" s="237"/>
      <c r="D29" s="237"/>
      <c r="E29" s="384"/>
      <c r="F29" s="243"/>
      <c r="G29" s="235"/>
    </row>
    <row r="30" spans="2:7" ht="12.75" customHeight="1">
      <c r="B30" s="233">
        <v>5</v>
      </c>
      <c r="C30" s="433" t="s">
        <v>280</v>
      </c>
      <c r="D30" s="433"/>
      <c r="E30" s="385">
        <v>0</v>
      </c>
      <c r="F30" s="243">
        <f>SUM(F31:F31)</f>
        <v>-438</v>
      </c>
      <c r="G30" s="235">
        <f aca="true" t="shared" si="2" ref="G30:G31">F30-E30</f>
        <v>-438</v>
      </c>
    </row>
    <row r="31" spans="2:7" ht="12.75">
      <c r="B31" s="233"/>
      <c r="C31" s="237"/>
      <c r="D31" s="376" t="s">
        <v>211</v>
      </c>
      <c r="E31" s="384">
        <v>0</v>
      </c>
      <c r="F31" s="238">
        <v>-438</v>
      </c>
      <c r="G31" s="239">
        <f t="shared" si="2"/>
        <v>-438</v>
      </c>
    </row>
    <row r="32" spans="2:7" ht="12.75" customHeight="1">
      <c r="B32" s="233"/>
      <c r="C32" s="237"/>
      <c r="D32" s="240"/>
      <c r="E32" s="384"/>
      <c r="F32" s="238"/>
      <c r="G32" s="235"/>
    </row>
    <row r="33" spans="2:7" ht="12.75" customHeight="1">
      <c r="B33" s="244">
        <v>6</v>
      </c>
      <c r="C33" s="434" t="s">
        <v>123</v>
      </c>
      <c r="D33" s="435"/>
      <c r="E33" s="386">
        <f>E24+E26</f>
        <v>-257165</v>
      </c>
      <c r="F33" s="245">
        <f>F24+F26+F30</f>
        <v>-541954</v>
      </c>
      <c r="G33" s="246">
        <f>F33-E33</f>
        <v>-284789</v>
      </c>
    </row>
    <row r="34" spans="2:9" ht="12.75" customHeight="1">
      <c r="B34" s="236"/>
      <c r="C34" s="433" t="s">
        <v>5</v>
      </c>
      <c r="D34" s="433"/>
      <c r="E34" s="238">
        <f>E4+E27</f>
        <v>3617171</v>
      </c>
      <c r="F34" s="238">
        <f>F4+F27</f>
        <v>3270995</v>
      </c>
      <c r="G34" s="239">
        <f aca="true" t="shared" si="3" ref="G34:G35">F34-E34</f>
        <v>-346176</v>
      </c>
      <c r="I34" s="2"/>
    </row>
    <row r="35" spans="2:7" ht="12.75" customHeight="1">
      <c r="B35" s="251"/>
      <c r="C35" s="436" t="s">
        <v>6</v>
      </c>
      <c r="D35" s="436"/>
      <c r="E35" s="252">
        <f>E14-E28</f>
        <v>3874336</v>
      </c>
      <c r="F35" s="252">
        <f>F14-F28-F31</f>
        <v>3812949</v>
      </c>
      <c r="G35" s="239">
        <f t="shared" si="3"/>
        <v>-61387</v>
      </c>
    </row>
    <row r="36" spans="2:8" ht="12.75" customHeight="1" thickBot="1">
      <c r="B36" s="332"/>
      <c r="C36" s="332"/>
      <c r="D36" s="332"/>
      <c r="E36" s="371"/>
      <c r="F36" s="335"/>
      <c r="G36" s="335"/>
      <c r="H36" s="3"/>
    </row>
    <row r="37" spans="2:7" ht="26.25" thickTop="1">
      <c r="B37" s="230"/>
      <c r="C37" s="431" t="s">
        <v>155</v>
      </c>
      <c r="D37" s="431"/>
      <c r="E37" s="319"/>
      <c r="F37" s="319"/>
      <c r="G37" s="320" t="s">
        <v>205</v>
      </c>
    </row>
    <row r="38" spans="2:7" ht="12.75" customHeight="1">
      <c r="B38" s="257">
        <v>7</v>
      </c>
      <c r="C38" s="271" t="s">
        <v>133</v>
      </c>
      <c r="D38" s="271"/>
      <c r="E38" s="196"/>
      <c r="F38" s="321"/>
      <c r="G38" s="284">
        <f>G44-G39+G61</f>
        <v>-141347</v>
      </c>
    </row>
    <row r="39" spans="2:7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11579</v>
      </c>
    </row>
    <row r="40" spans="2:7" ht="27" customHeight="1">
      <c r="B40" s="236"/>
      <c r="C40" s="262"/>
      <c r="D40" s="346" t="s">
        <v>101</v>
      </c>
      <c r="E40" s="347"/>
      <c r="F40" s="348"/>
      <c r="G40" s="261">
        <v>773</v>
      </c>
    </row>
    <row r="41" spans="2:7" ht="12.75" customHeight="1">
      <c r="B41" s="236"/>
      <c r="C41" s="262"/>
      <c r="D41" s="162" t="s">
        <v>102</v>
      </c>
      <c r="E41" s="196"/>
      <c r="F41" s="321"/>
      <c r="G41" s="261">
        <f>1520+183</f>
        <v>1703</v>
      </c>
    </row>
    <row r="42" spans="2:7" ht="27.75" customHeight="1">
      <c r="B42" s="236"/>
      <c r="C42" s="262"/>
      <c r="D42" s="346" t="s">
        <v>114</v>
      </c>
      <c r="E42" s="347"/>
      <c r="F42" s="348"/>
      <c r="G42" s="261">
        <f>9054+35+14</f>
        <v>9103</v>
      </c>
    </row>
    <row r="43" spans="2:7" ht="12.75" customHeight="1">
      <c r="B43" s="236"/>
      <c r="C43" s="162"/>
      <c r="D43" s="162"/>
      <c r="E43" s="196"/>
      <c r="F43" s="321"/>
      <c r="G43" s="261"/>
    </row>
    <row r="44" spans="2:7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16739</v>
      </c>
    </row>
    <row r="45" spans="2:9" ht="12.75" customHeight="1">
      <c r="B45" s="236"/>
      <c r="C45" s="162"/>
      <c r="D45" s="162" t="s">
        <v>22</v>
      </c>
      <c r="E45" s="196"/>
      <c r="F45" s="321"/>
      <c r="G45" s="261">
        <v>4</v>
      </c>
      <c r="H45" s="17"/>
      <c r="I45" s="17"/>
    </row>
    <row r="46" spans="2:7" ht="12.75" customHeight="1">
      <c r="B46" s="236"/>
      <c r="C46" s="162"/>
      <c r="D46" s="162" t="s">
        <v>106</v>
      </c>
      <c r="E46" s="196"/>
      <c r="F46" s="321"/>
      <c r="G46" s="261">
        <f>677+695+1318</f>
        <v>2690</v>
      </c>
    </row>
    <row r="47" spans="2:7" ht="12.75" customHeight="1">
      <c r="B47" s="236"/>
      <c r="C47" s="162"/>
      <c r="D47" s="162" t="s">
        <v>107</v>
      </c>
      <c r="E47" s="196"/>
      <c r="F47" s="321"/>
      <c r="G47" s="261">
        <v>14045</v>
      </c>
    </row>
    <row r="48" spans="2:7" ht="12.75" customHeight="1">
      <c r="B48" s="236"/>
      <c r="C48" s="162"/>
      <c r="D48" s="162"/>
      <c r="E48" s="196"/>
      <c r="F48" s="321"/>
      <c r="G48" s="261"/>
    </row>
    <row r="49" spans="2:7" ht="12.75" customHeight="1">
      <c r="B49" s="257">
        <v>10</v>
      </c>
      <c r="C49" s="271" t="s">
        <v>124</v>
      </c>
      <c r="D49" s="271"/>
      <c r="E49" s="196"/>
      <c r="F49" s="321"/>
      <c r="G49" s="284">
        <f>G50-G53</f>
        <v>245578</v>
      </c>
    </row>
    <row r="50" spans="2:7" ht="12.75" customHeight="1">
      <c r="B50" s="259">
        <v>11</v>
      </c>
      <c r="C50" s="432" t="s">
        <v>141</v>
      </c>
      <c r="D50" s="432"/>
      <c r="E50" s="196"/>
      <c r="F50" s="321"/>
      <c r="G50" s="260">
        <f>G51+G52</f>
        <v>436260</v>
      </c>
    </row>
    <row r="51" spans="2:7" ht="12.75" customHeight="1">
      <c r="B51" s="259"/>
      <c r="C51" s="162"/>
      <c r="D51" s="162" t="s">
        <v>115</v>
      </c>
      <c r="E51" s="196"/>
      <c r="F51" s="321"/>
      <c r="G51" s="261">
        <f>6639</f>
        <v>6639</v>
      </c>
    </row>
    <row r="52" spans="2:7" ht="12.75" customHeight="1">
      <c r="B52" s="280"/>
      <c r="C52" s="264"/>
      <c r="D52" s="264" t="s">
        <v>109</v>
      </c>
      <c r="E52" s="265"/>
      <c r="F52" s="322"/>
      <c r="G52" s="266">
        <f>325336+102748+1537</f>
        <v>429621</v>
      </c>
    </row>
    <row r="53" spans="2:7" ht="12.75" customHeight="1">
      <c r="B53" s="323">
        <v>12</v>
      </c>
      <c r="C53" s="451" t="s">
        <v>140</v>
      </c>
      <c r="D53" s="451"/>
      <c r="E53" s="269"/>
      <c r="F53" s="324"/>
      <c r="G53" s="345">
        <f>G54+G55</f>
        <v>190682</v>
      </c>
    </row>
    <row r="54" spans="2:7" ht="26.25" customHeight="1">
      <c r="B54" s="236"/>
      <c r="C54" s="162"/>
      <c r="D54" s="346" t="s">
        <v>110</v>
      </c>
      <c r="E54" s="347"/>
      <c r="F54" s="348"/>
      <c r="G54" s="261">
        <f>465+178+248</f>
        <v>891</v>
      </c>
    </row>
    <row r="55" spans="2:7" ht="12.75" customHeight="1">
      <c r="B55" s="236"/>
      <c r="C55" s="162"/>
      <c r="D55" s="162" t="s">
        <v>111</v>
      </c>
      <c r="E55" s="196"/>
      <c r="F55" s="321"/>
      <c r="G55" s="261">
        <f>61859+104138+4390+17541+211+137+1515</f>
        <v>189791</v>
      </c>
    </row>
    <row r="56" spans="2:7" ht="12.75" customHeight="1">
      <c r="B56" s="236"/>
      <c r="C56" s="262"/>
      <c r="D56" s="162"/>
      <c r="E56" s="196"/>
      <c r="F56" s="321"/>
      <c r="G56" s="261"/>
    </row>
    <row r="57" spans="2:7" s="3" customFormat="1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-145187</v>
      </c>
    </row>
    <row r="58" spans="2:7" ht="12.75" customHeight="1">
      <c r="B58" s="236"/>
      <c r="C58" s="262"/>
      <c r="D58" s="262"/>
      <c r="E58" s="196"/>
      <c r="F58" s="321"/>
      <c r="G58" s="261"/>
    </row>
    <row r="59" spans="2:7" ht="12.75" customHeight="1">
      <c r="B59" s="257">
        <v>14</v>
      </c>
      <c r="C59" s="433" t="s">
        <v>281</v>
      </c>
      <c r="D59" s="433"/>
      <c r="E59" s="196"/>
      <c r="F59" s="321"/>
      <c r="G59" s="284">
        <f>F30</f>
        <v>-438</v>
      </c>
    </row>
    <row r="60" spans="2:7" ht="12.75" customHeight="1">
      <c r="B60" s="236"/>
      <c r="C60" s="262"/>
      <c r="D60" s="162"/>
      <c r="E60" s="196"/>
      <c r="F60" s="321"/>
      <c r="G60" s="261"/>
    </row>
    <row r="61" spans="2:7" ht="12.75" customHeight="1">
      <c r="B61" s="259">
        <v>15</v>
      </c>
      <c r="C61" s="432" t="s">
        <v>126</v>
      </c>
      <c r="D61" s="432"/>
      <c r="E61" s="196"/>
      <c r="F61" s="196"/>
      <c r="G61" s="260">
        <v>-146507</v>
      </c>
    </row>
    <row r="62" spans="2:7" ht="12.75" customHeight="1">
      <c r="B62" s="236"/>
      <c r="C62" s="264"/>
      <c r="D62" s="264"/>
      <c r="E62" s="265"/>
      <c r="F62" s="322"/>
      <c r="G62" s="266"/>
    </row>
    <row r="63" spans="2:7" ht="12.75" customHeight="1">
      <c r="B63" s="244">
        <v>16</v>
      </c>
      <c r="C63" s="275" t="s">
        <v>127</v>
      </c>
      <c r="D63" s="276"/>
      <c r="E63" s="300"/>
      <c r="F63" s="325"/>
      <c r="G63" s="279">
        <f>G38-G49+G57+G59</f>
        <v>-532550</v>
      </c>
    </row>
    <row r="64" spans="2:7" ht="12.75" customHeight="1">
      <c r="B64" s="280">
        <v>17</v>
      </c>
      <c r="C64" s="281" t="s">
        <v>128</v>
      </c>
      <c r="D64" s="281"/>
      <c r="E64" s="265"/>
      <c r="F64" s="322"/>
      <c r="G64" s="338">
        <f>G63-F33</f>
        <v>9404</v>
      </c>
    </row>
    <row r="65" spans="2:7" ht="12.75" customHeight="1" thickBot="1">
      <c r="B65" s="332"/>
      <c r="C65" s="332"/>
      <c r="D65" s="333"/>
      <c r="E65" s="334"/>
      <c r="F65" s="334"/>
      <c r="G65" s="335"/>
    </row>
    <row r="66" spans="2:8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40"/>
    </row>
    <row r="67" spans="2:11" ht="12.75" customHeight="1">
      <c r="B67" s="233">
        <v>18</v>
      </c>
      <c r="C67" s="429" t="s">
        <v>135</v>
      </c>
      <c r="D67" s="429"/>
      <c r="E67" s="196"/>
      <c r="F67" s="196"/>
      <c r="G67" s="258">
        <f>F33*(-1)</f>
        <v>541954</v>
      </c>
      <c r="H67" s="14"/>
      <c r="I67" s="13"/>
      <c r="J67" s="8"/>
      <c r="K67" s="13"/>
    </row>
    <row r="68" spans="2:10" ht="12.75" customHeight="1">
      <c r="B68" s="236"/>
      <c r="C68" s="262"/>
      <c r="D68" s="262"/>
      <c r="E68" s="196"/>
      <c r="F68" s="196"/>
      <c r="G68" s="283"/>
      <c r="J68" s="2"/>
    </row>
    <row r="69" spans="2:10" ht="12.75" customHeight="1">
      <c r="B69" s="257">
        <v>19</v>
      </c>
      <c r="C69" s="271" t="s">
        <v>129</v>
      </c>
      <c r="D69" s="339"/>
      <c r="E69" s="196"/>
      <c r="F69" s="326"/>
      <c r="G69" s="284">
        <f>G70+G71+G72+G75+G78</f>
        <v>-157385</v>
      </c>
      <c r="J69" s="2"/>
    </row>
    <row r="70" spans="2:10" ht="12.75" customHeight="1">
      <c r="B70" s="236"/>
      <c r="C70" s="240"/>
      <c r="D70" s="162" t="s">
        <v>68</v>
      </c>
      <c r="E70" s="196"/>
      <c r="F70" s="326"/>
      <c r="G70" s="261">
        <f>G61</f>
        <v>-146507</v>
      </c>
      <c r="J70" s="2"/>
    </row>
    <row r="71" spans="2:10" ht="12.75" customHeight="1">
      <c r="B71" s="236"/>
      <c r="C71" s="240"/>
      <c r="D71" s="162" t="s">
        <v>22</v>
      </c>
      <c r="E71" s="196"/>
      <c r="F71" s="326"/>
      <c r="G71" s="261">
        <f>G45-G40</f>
        <v>-769</v>
      </c>
      <c r="J71" s="2"/>
    </row>
    <row r="72" spans="2:7" ht="12.75" customHeight="1">
      <c r="B72" s="236"/>
      <c r="C72" s="262"/>
      <c r="D72" s="162" t="s">
        <v>23</v>
      </c>
      <c r="E72" s="196"/>
      <c r="F72" s="326"/>
      <c r="G72" s="261">
        <f>G73-G74</f>
        <v>987</v>
      </c>
    </row>
    <row r="73" spans="2:7" ht="12.75" customHeight="1">
      <c r="B73" s="236"/>
      <c r="C73" s="262"/>
      <c r="D73" s="162" t="s">
        <v>78</v>
      </c>
      <c r="E73" s="196"/>
      <c r="F73" s="326"/>
      <c r="G73" s="261">
        <f>G46</f>
        <v>2690</v>
      </c>
    </row>
    <row r="74" spans="2:7" ht="12.75" customHeight="1">
      <c r="B74" s="233"/>
      <c r="C74" s="262"/>
      <c r="D74" s="162" t="s">
        <v>116</v>
      </c>
      <c r="E74" s="196"/>
      <c r="F74" s="326"/>
      <c r="G74" s="261">
        <f>G41</f>
        <v>1703</v>
      </c>
    </row>
    <row r="75" spans="2:7" ht="12.75" customHeight="1">
      <c r="B75" s="236"/>
      <c r="C75" s="262"/>
      <c r="D75" s="162" t="s">
        <v>24</v>
      </c>
      <c r="E75" s="196"/>
      <c r="F75" s="326"/>
      <c r="G75" s="261">
        <f>G76-G77</f>
        <v>4942</v>
      </c>
    </row>
    <row r="76" spans="2:7" ht="12.75" customHeight="1">
      <c r="B76" s="236"/>
      <c r="C76" s="262"/>
      <c r="D76" s="162" t="s">
        <v>117</v>
      </c>
      <c r="E76" s="196"/>
      <c r="F76" s="326"/>
      <c r="G76" s="261">
        <f>G47</f>
        <v>14045</v>
      </c>
    </row>
    <row r="77" spans="2:7" ht="12.75" customHeight="1">
      <c r="B77" s="236"/>
      <c r="C77" s="262"/>
      <c r="D77" s="162" t="s">
        <v>118</v>
      </c>
      <c r="E77" s="196"/>
      <c r="F77" s="326"/>
      <c r="G77" s="261">
        <f>G42</f>
        <v>9103</v>
      </c>
    </row>
    <row r="78" spans="2:7" ht="12.75" customHeight="1">
      <c r="B78" s="236"/>
      <c r="C78" s="162"/>
      <c r="D78" s="162" t="s">
        <v>80</v>
      </c>
      <c r="E78" s="196"/>
      <c r="F78" s="326"/>
      <c r="G78" s="261">
        <f>F27</f>
        <v>-16038</v>
      </c>
    </row>
    <row r="79" spans="2:7" ht="12.75" customHeight="1">
      <c r="B79" s="236"/>
      <c r="C79" s="162"/>
      <c r="D79" s="162"/>
      <c r="E79" s="196"/>
      <c r="F79" s="326"/>
      <c r="G79" s="258"/>
    </row>
    <row r="80" spans="2:7" ht="12.75" customHeight="1">
      <c r="B80" s="257">
        <v>20</v>
      </c>
      <c r="C80" s="430" t="s">
        <v>130</v>
      </c>
      <c r="D80" s="430"/>
      <c r="E80" s="196"/>
      <c r="F80" s="326"/>
      <c r="G80" s="284">
        <f>G81+G82+G85+G86+G87</f>
        <v>-129149</v>
      </c>
    </row>
    <row r="81" spans="2:7" ht="12.75" customHeight="1">
      <c r="B81" s="236"/>
      <c r="C81" s="162"/>
      <c r="D81" s="162" t="s">
        <v>81</v>
      </c>
      <c r="E81" s="286"/>
      <c r="F81" s="340"/>
      <c r="G81" s="261">
        <f>F28</f>
        <v>-129149</v>
      </c>
    </row>
    <row r="82" spans="2:7" ht="12.75" customHeight="1">
      <c r="B82" s="236"/>
      <c r="C82" s="162"/>
      <c r="D82" s="162" t="s">
        <v>82</v>
      </c>
      <c r="E82" s="196"/>
      <c r="F82" s="326"/>
      <c r="G82" s="261">
        <f>G83+G84</f>
        <v>0</v>
      </c>
    </row>
    <row r="83" spans="2:7" ht="12.75" customHeight="1">
      <c r="B83" s="236"/>
      <c r="C83" s="162"/>
      <c r="D83" s="162" t="s">
        <v>95</v>
      </c>
      <c r="E83" s="196"/>
      <c r="F83" s="326"/>
      <c r="G83" s="261">
        <v>0</v>
      </c>
    </row>
    <row r="84" spans="2:7" ht="12.75" customHeight="1">
      <c r="B84" s="236"/>
      <c r="C84" s="162"/>
      <c r="D84" s="162" t="s">
        <v>96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83</v>
      </c>
      <c r="E85" s="196"/>
      <c r="F85" s="326"/>
      <c r="G85" s="261">
        <v>0</v>
      </c>
    </row>
    <row r="86" spans="2:7" ht="12.75" customHeight="1">
      <c r="B86" s="236"/>
      <c r="C86" s="162"/>
      <c r="D86" s="162" t="s">
        <v>84</v>
      </c>
      <c r="E86" s="196"/>
      <c r="F86" s="326"/>
      <c r="G86" s="261">
        <v>0</v>
      </c>
    </row>
    <row r="87" spans="2:7" ht="12.75" customHeight="1">
      <c r="B87" s="236"/>
      <c r="C87" s="162"/>
      <c r="D87" s="162" t="s">
        <v>166</v>
      </c>
      <c r="E87" s="196"/>
      <c r="F87" s="326"/>
      <c r="G87" s="261">
        <v>0</v>
      </c>
    </row>
    <row r="88" spans="2:7" ht="12.75" customHeight="1">
      <c r="B88" s="236"/>
      <c r="C88" s="162"/>
      <c r="D88" s="162"/>
      <c r="E88" s="196"/>
      <c r="F88" s="326"/>
      <c r="G88" s="261"/>
    </row>
    <row r="89" spans="2:9" ht="12.75" customHeight="1">
      <c r="B89" s="257">
        <v>21</v>
      </c>
      <c r="C89" s="430" t="s">
        <v>134</v>
      </c>
      <c r="D89" s="430"/>
      <c r="E89" s="196"/>
      <c r="F89" s="326"/>
      <c r="G89" s="284">
        <f>G90+G91</f>
        <v>-7519</v>
      </c>
      <c r="I89" s="2"/>
    </row>
    <row r="90" spans="2:9" ht="12.75" customHeight="1">
      <c r="B90" s="236"/>
      <c r="C90" s="162"/>
      <c r="D90" s="162" t="s">
        <v>159</v>
      </c>
      <c r="E90" s="196"/>
      <c r="F90" s="326"/>
      <c r="G90" s="261">
        <f>-G64</f>
        <v>-9404</v>
      </c>
      <c r="I90" s="2"/>
    </row>
    <row r="91" spans="2:9" ht="12.75" customHeight="1">
      <c r="B91" s="236"/>
      <c r="C91" s="162"/>
      <c r="D91" s="162" t="s">
        <v>160</v>
      </c>
      <c r="E91" s="196"/>
      <c r="F91" s="326"/>
      <c r="G91" s="261">
        <f>G93-(G67+G69+G80)-G90</f>
        <v>1885</v>
      </c>
      <c r="I91" s="2"/>
    </row>
    <row r="92" spans="2:9" ht="12.75" customHeight="1">
      <c r="B92" s="236"/>
      <c r="C92" s="162"/>
      <c r="D92" s="162"/>
      <c r="E92" s="196"/>
      <c r="F92" s="326"/>
      <c r="G92" s="261"/>
      <c r="I92" s="2"/>
    </row>
    <row r="93" spans="2:9" ht="12.75" customHeight="1">
      <c r="B93" s="244">
        <v>22</v>
      </c>
      <c r="C93" s="275" t="s">
        <v>176</v>
      </c>
      <c r="D93" s="275"/>
      <c r="E93" s="277"/>
      <c r="F93" s="341"/>
      <c r="G93" s="279">
        <f>(1411117-20198)-(1170469-27451)</f>
        <v>247901</v>
      </c>
      <c r="I93" s="2"/>
    </row>
    <row r="94" s="7" customFormat="1" ht="12.75" customHeight="1"/>
    <row r="95" spans="5:7" ht="12.75" customHeight="1">
      <c r="E95" s="1"/>
      <c r="F95" s="1"/>
      <c r="G95" s="18"/>
    </row>
    <row r="96" spans="5:7" ht="12.75" customHeight="1">
      <c r="E96" s="1"/>
      <c r="F96" s="1"/>
      <c r="G96" s="1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spans="5:7" ht="12.75" customHeight="1">
      <c r="E119" s="1"/>
      <c r="F119" s="1"/>
      <c r="G119" s="1"/>
    </row>
    <row r="120" spans="5:7" ht="12.75" customHeight="1">
      <c r="E120" s="1"/>
      <c r="F120" s="1"/>
      <c r="G120" s="1"/>
    </row>
    <row r="121" spans="5:7" ht="12.75" customHeight="1">
      <c r="E121" s="1"/>
      <c r="F121" s="1"/>
      <c r="G121" s="1"/>
    </row>
    <row r="122" spans="5:7" ht="12.75" customHeight="1">
      <c r="E122" s="1"/>
      <c r="F122" s="1"/>
      <c r="G122" s="1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spans="5:7" s="7" customFormat="1" ht="12.75" customHeight="1">
      <c r="E127" s="40"/>
      <c r="F127" s="41"/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 customHeight="1">
      <c r="G133" s="40"/>
    </row>
    <row r="134" ht="12.75" customHeight="1">
      <c r="G134" s="40"/>
    </row>
    <row r="135" ht="12.75" customHeight="1">
      <c r="G135" s="40"/>
    </row>
    <row r="136" ht="12.75" customHeight="1">
      <c r="G136" s="40"/>
    </row>
    <row r="137" ht="12.75" customHeight="1">
      <c r="G137" s="40"/>
    </row>
    <row r="138" ht="12.75" customHeight="1">
      <c r="G138" s="40"/>
    </row>
    <row r="139" ht="12.75">
      <c r="G139" s="40"/>
    </row>
    <row r="140" ht="12.75">
      <c r="G140" s="40"/>
    </row>
  </sheetData>
  <mergeCells count="21">
    <mergeCell ref="C33:D33"/>
    <mergeCell ref="C30:D30"/>
    <mergeCell ref="C3:D3"/>
    <mergeCell ref="C4:D4"/>
    <mergeCell ref="C14:D14"/>
    <mergeCell ref="C24:D24"/>
    <mergeCell ref="C26:D26"/>
    <mergeCell ref="C39:D39"/>
    <mergeCell ref="C34:D34"/>
    <mergeCell ref="C35:D35"/>
    <mergeCell ref="C61:D61"/>
    <mergeCell ref="C66:D66"/>
    <mergeCell ref="C37:D37"/>
    <mergeCell ref="C89:D89"/>
    <mergeCell ref="C44:D44"/>
    <mergeCell ref="C50:D50"/>
    <mergeCell ref="C53:D53"/>
    <mergeCell ref="C80:D80"/>
    <mergeCell ref="C67:D67"/>
    <mergeCell ref="C57:D57"/>
    <mergeCell ref="C59:D59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2" min="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7"/>
  <sheetViews>
    <sheetView showGridLines="0" view="pageBreakPreview" zoomScale="80" zoomScaleSheetLayoutView="80" workbookViewId="0" topLeftCell="A67">
      <selection activeCell="L20" sqref="L20"/>
    </sheetView>
  </sheetViews>
  <sheetFormatPr defaultColWidth="9.140625" defaultRowHeight="12.75"/>
  <cols>
    <col min="1" max="1" width="4.140625" style="1" bestFit="1" customWidth="1"/>
    <col min="2" max="2" width="9.140625" style="1" customWidth="1"/>
    <col min="3" max="3" width="43.421875" style="1" bestFit="1" customWidth="1"/>
    <col min="4" max="4" width="9.8515625" style="40" customWidth="1"/>
    <col min="5" max="5" width="11.00390625" style="40" customWidth="1"/>
    <col min="6" max="6" width="10.57421875" style="42" customWidth="1"/>
    <col min="7" max="16384" width="9.140625" style="1" customWidth="1"/>
  </cols>
  <sheetData>
    <row r="1" spans="1:6" s="31" customFormat="1" ht="15">
      <c r="A1" s="289"/>
      <c r="B1" s="390" t="s">
        <v>186</v>
      </c>
      <c r="C1" s="359"/>
      <c r="D1" s="312"/>
      <c r="E1" s="391"/>
      <c r="F1" s="292"/>
    </row>
    <row r="2" spans="1:6" ht="12.75" customHeight="1" thickBot="1">
      <c r="A2" s="306"/>
      <c r="B2" s="307"/>
      <c r="C2" s="306"/>
      <c r="D2" s="308"/>
      <c r="E2" s="308"/>
      <c r="F2" s="308" t="s">
        <v>199</v>
      </c>
    </row>
    <row r="3" spans="1:6" ht="39" thickTop="1">
      <c r="A3" s="309"/>
      <c r="B3" s="437" t="s">
        <v>136</v>
      </c>
      <c r="C3" s="437"/>
      <c r="D3" s="231" t="s">
        <v>204</v>
      </c>
      <c r="E3" s="231" t="s">
        <v>205</v>
      </c>
      <c r="F3" s="232" t="s">
        <v>206</v>
      </c>
    </row>
    <row r="4" spans="1:6" ht="12.75" customHeight="1">
      <c r="A4" s="233">
        <v>1</v>
      </c>
      <c r="B4" s="429" t="s">
        <v>119</v>
      </c>
      <c r="C4" s="429"/>
      <c r="D4" s="383">
        <f>D5+D11</f>
        <v>196569</v>
      </c>
      <c r="E4" s="234">
        <f>E5+E11</f>
        <v>166288</v>
      </c>
      <c r="F4" s="235">
        <f aca="true" t="shared" si="0" ref="F4:F11">E4-D4</f>
        <v>-30281</v>
      </c>
    </row>
    <row r="5" spans="1:6" ht="12.75" customHeight="1">
      <c r="A5" s="236"/>
      <c r="B5" s="237" t="s">
        <v>0</v>
      </c>
      <c r="C5" s="237" t="s">
        <v>30</v>
      </c>
      <c r="D5" s="238">
        <f>D6+D7+D8+D9+D10</f>
        <v>35408</v>
      </c>
      <c r="E5" s="238">
        <f>E6+E7+E8+E9+E10</f>
        <v>25911</v>
      </c>
      <c r="F5" s="239">
        <f t="shared" si="0"/>
        <v>-9497</v>
      </c>
    </row>
    <row r="6" spans="1:6" ht="12.75" customHeight="1">
      <c r="A6" s="236"/>
      <c r="B6" s="237"/>
      <c r="C6" s="240" t="s">
        <v>44</v>
      </c>
      <c r="D6" s="384">
        <v>7821</v>
      </c>
      <c r="E6" s="238">
        <v>4915</v>
      </c>
      <c r="F6" s="239">
        <f t="shared" si="0"/>
        <v>-2906</v>
      </c>
    </row>
    <row r="7" spans="1:6" ht="12.75" customHeight="1">
      <c r="A7" s="236"/>
      <c r="B7" s="237"/>
      <c r="C7" s="240" t="s">
        <v>40</v>
      </c>
      <c r="D7" s="384">
        <v>26653</v>
      </c>
      <c r="E7" s="238">
        <v>19591</v>
      </c>
      <c r="F7" s="239">
        <f t="shared" si="0"/>
        <v>-7062</v>
      </c>
    </row>
    <row r="8" spans="1:6" ht="12.75" customHeight="1">
      <c r="A8" s="236"/>
      <c r="B8" s="237"/>
      <c r="C8" s="240" t="s">
        <v>41</v>
      </c>
      <c r="D8" s="384">
        <v>0</v>
      </c>
      <c r="E8" s="238">
        <v>280</v>
      </c>
      <c r="F8" s="239">
        <f t="shared" si="0"/>
        <v>280</v>
      </c>
    </row>
    <row r="9" spans="1:6" ht="12.75" customHeight="1">
      <c r="A9" s="236"/>
      <c r="B9" s="237"/>
      <c r="C9" s="240" t="s">
        <v>42</v>
      </c>
      <c r="D9" s="238">
        <v>24</v>
      </c>
      <c r="E9" s="238">
        <v>15</v>
      </c>
      <c r="F9" s="239">
        <f t="shared" si="0"/>
        <v>-9</v>
      </c>
    </row>
    <row r="10" spans="1:6" ht="12.75" customHeight="1">
      <c r="A10" s="236"/>
      <c r="B10" s="237"/>
      <c r="C10" s="240" t="s">
        <v>43</v>
      </c>
      <c r="D10" s="384">
        <v>910</v>
      </c>
      <c r="E10" s="238">
        <v>1110</v>
      </c>
      <c r="F10" s="239">
        <f t="shared" si="0"/>
        <v>200</v>
      </c>
    </row>
    <row r="11" spans="1:6" ht="12.75" customHeight="1">
      <c r="A11" s="236"/>
      <c r="B11" s="237"/>
      <c r="C11" s="237" t="s">
        <v>31</v>
      </c>
      <c r="D11" s="384">
        <v>161161</v>
      </c>
      <c r="E11" s="238">
        <v>140377</v>
      </c>
      <c r="F11" s="239">
        <f t="shared" si="0"/>
        <v>-20784</v>
      </c>
    </row>
    <row r="12" spans="1:6" ht="12.75" customHeight="1">
      <c r="A12" s="236"/>
      <c r="B12" s="237"/>
      <c r="C12" s="237"/>
      <c r="D12" s="384"/>
      <c r="E12" s="238"/>
      <c r="F12" s="239"/>
    </row>
    <row r="13" spans="1:6" ht="12.75" customHeight="1">
      <c r="A13" s="236"/>
      <c r="B13" s="237"/>
      <c r="C13" s="237"/>
      <c r="D13" s="384"/>
      <c r="E13" s="238"/>
      <c r="F13" s="235"/>
    </row>
    <row r="14" spans="1:6" ht="12.75" customHeight="1">
      <c r="A14" s="233">
        <v>2</v>
      </c>
      <c r="B14" s="429" t="s">
        <v>120</v>
      </c>
      <c r="C14" s="429"/>
      <c r="D14" s="243">
        <f>D15+D20</f>
        <v>198993</v>
      </c>
      <c r="E14" s="243">
        <f>E15+E20</f>
        <v>167602</v>
      </c>
      <c r="F14" s="235">
        <f aca="true" t="shared" si="1" ref="F14:F22">E14-D14</f>
        <v>-31391</v>
      </c>
    </row>
    <row r="15" spans="1:6" ht="12.75" customHeight="1">
      <c r="A15" s="236"/>
      <c r="B15" s="237" t="s">
        <v>0</v>
      </c>
      <c r="C15" s="237" t="s">
        <v>32</v>
      </c>
      <c r="D15" s="238">
        <f>D16+D17+D18+D19</f>
        <v>140557</v>
      </c>
      <c r="E15" s="238">
        <f>E16+E17+E18+E19</f>
        <v>110897</v>
      </c>
      <c r="F15" s="239">
        <f t="shared" si="1"/>
        <v>-29660</v>
      </c>
    </row>
    <row r="16" spans="1:6" ht="12.75" customHeight="1">
      <c r="A16" s="236"/>
      <c r="B16" s="237"/>
      <c r="C16" s="240" t="s">
        <v>34</v>
      </c>
      <c r="D16" s="384">
        <f>66024</f>
        <v>66024</v>
      </c>
      <c r="E16" s="238">
        <f>37458+14503</f>
        <v>51961</v>
      </c>
      <c r="F16" s="239">
        <f t="shared" si="1"/>
        <v>-14063</v>
      </c>
    </row>
    <row r="17" spans="1:6" ht="12.75" customHeight="1">
      <c r="A17" s="236"/>
      <c r="B17" s="237"/>
      <c r="C17" s="240" t="s">
        <v>35</v>
      </c>
      <c r="D17" s="384">
        <v>74080</v>
      </c>
      <c r="E17" s="238">
        <v>58548</v>
      </c>
      <c r="F17" s="239">
        <f t="shared" si="1"/>
        <v>-15532</v>
      </c>
    </row>
    <row r="18" spans="1:6" ht="12.75" customHeight="1">
      <c r="A18" s="236"/>
      <c r="B18" s="237"/>
      <c r="C18" s="240" t="s">
        <v>36</v>
      </c>
      <c r="D18" s="384">
        <v>364</v>
      </c>
      <c r="E18" s="238">
        <v>274</v>
      </c>
      <c r="F18" s="239">
        <f t="shared" si="1"/>
        <v>-90</v>
      </c>
    </row>
    <row r="19" spans="1:6" ht="12.75" customHeight="1">
      <c r="A19" s="236"/>
      <c r="B19" s="237"/>
      <c r="C19" s="240" t="s">
        <v>37</v>
      </c>
      <c r="D19" s="238">
        <v>89</v>
      </c>
      <c r="E19" s="238">
        <v>114</v>
      </c>
      <c r="F19" s="239">
        <f t="shared" si="1"/>
        <v>25</v>
      </c>
    </row>
    <row r="20" spans="1:6" ht="12.75" customHeight="1">
      <c r="A20" s="236"/>
      <c r="B20" s="237"/>
      <c r="C20" s="237" t="s">
        <v>33</v>
      </c>
      <c r="D20" s="238">
        <f>D21+D22</f>
        <v>58436</v>
      </c>
      <c r="E20" s="238">
        <f>E21+E22</f>
        <v>56705</v>
      </c>
      <c r="F20" s="239">
        <f t="shared" si="1"/>
        <v>-1731</v>
      </c>
    </row>
    <row r="21" spans="1:6" ht="12.75" customHeight="1">
      <c r="A21" s="236"/>
      <c r="B21" s="237"/>
      <c r="C21" s="240" t="s">
        <v>38</v>
      </c>
      <c r="D21" s="384">
        <v>58436</v>
      </c>
      <c r="E21" s="238">
        <v>56705</v>
      </c>
      <c r="F21" s="239">
        <f t="shared" si="1"/>
        <v>-1731</v>
      </c>
    </row>
    <row r="22" spans="1:6" ht="12.75" customHeight="1">
      <c r="A22" s="236"/>
      <c r="B22" s="237"/>
      <c r="C22" s="240" t="s">
        <v>39</v>
      </c>
      <c r="D22" s="384">
        <v>0</v>
      </c>
      <c r="E22" s="238">
        <v>0</v>
      </c>
      <c r="F22" s="239">
        <f t="shared" si="1"/>
        <v>0</v>
      </c>
    </row>
    <row r="23" spans="1:6" ht="12.75" customHeight="1">
      <c r="A23" s="236"/>
      <c r="B23" s="237"/>
      <c r="C23" s="237"/>
      <c r="D23" s="384"/>
      <c r="E23" s="370"/>
      <c r="F23" s="242"/>
    </row>
    <row r="24" spans="1:6" ht="12.75" customHeight="1">
      <c r="A24" s="244">
        <v>3</v>
      </c>
      <c r="B24" s="434" t="s">
        <v>121</v>
      </c>
      <c r="C24" s="435"/>
      <c r="D24" s="386">
        <f>D4-D14</f>
        <v>-2424</v>
      </c>
      <c r="E24" s="245">
        <f>E4-E14</f>
        <v>-1314</v>
      </c>
      <c r="F24" s="246">
        <f>E24-D24</f>
        <v>1110</v>
      </c>
    </row>
    <row r="25" spans="1:6" ht="12.75" customHeight="1">
      <c r="A25" s="236"/>
      <c r="B25" s="247"/>
      <c r="C25" s="247"/>
      <c r="D25" s="385"/>
      <c r="E25" s="243"/>
      <c r="F25" s="235"/>
    </row>
    <row r="26" spans="1:6" ht="12.75" customHeight="1">
      <c r="A26" s="233">
        <v>4</v>
      </c>
      <c r="B26" s="430" t="s">
        <v>167</v>
      </c>
      <c r="C26" s="430"/>
      <c r="D26" s="385">
        <f>D27+D28</f>
        <v>0</v>
      </c>
      <c r="E26" s="243">
        <f>E27+E28</f>
        <v>-17605</v>
      </c>
      <c r="F26" s="235">
        <f>E26-D26</f>
        <v>-17605</v>
      </c>
    </row>
    <row r="27" spans="1:6" ht="12.75" customHeight="1">
      <c r="A27" s="236"/>
      <c r="B27" s="237"/>
      <c r="C27" s="237" t="s">
        <v>3</v>
      </c>
      <c r="D27" s="385">
        <v>0</v>
      </c>
      <c r="E27" s="370">
        <v>-704</v>
      </c>
      <c r="F27" s="239">
        <f aca="true" t="shared" si="2" ref="F27:F28">E27-D27</f>
        <v>-704</v>
      </c>
    </row>
    <row r="28" spans="1:6" ht="12.75" customHeight="1">
      <c r="A28" s="236"/>
      <c r="B28" s="237"/>
      <c r="C28" s="237" t="s">
        <v>4</v>
      </c>
      <c r="D28" s="384">
        <v>0</v>
      </c>
      <c r="E28" s="238">
        <v>-16901</v>
      </c>
      <c r="F28" s="239">
        <f t="shared" si="2"/>
        <v>-16901</v>
      </c>
    </row>
    <row r="29" spans="1:6" ht="12.75" customHeight="1">
      <c r="A29" s="236"/>
      <c r="B29" s="237"/>
      <c r="C29" s="237"/>
      <c r="D29" s="384"/>
      <c r="E29" s="370"/>
      <c r="F29" s="235"/>
    </row>
    <row r="30" spans="1:6" ht="12.75" customHeight="1">
      <c r="A30" s="233">
        <v>5</v>
      </c>
      <c r="B30" s="433" t="s">
        <v>280</v>
      </c>
      <c r="C30" s="433"/>
      <c r="D30" s="385">
        <v>0</v>
      </c>
      <c r="E30" s="362">
        <f>E31</f>
        <v>-162</v>
      </c>
      <c r="F30" s="235">
        <f aca="true" t="shared" si="3" ref="F30:F31">E30-D30</f>
        <v>-162</v>
      </c>
    </row>
    <row r="31" spans="1:6" ht="12.75" customHeight="1">
      <c r="A31" s="233"/>
      <c r="B31" s="237"/>
      <c r="C31" s="237" t="s">
        <v>170</v>
      </c>
      <c r="D31" s="384">
        <v>0</v>
      </c>
      <c r="E31" s="370">
        <v>-162</v>
      </c>
      <c r="F31" s="239">
        <f t="shared" si="3"/>
        <v>-162</v>
      </c>
    </row>
    <row r="32" spans="1:6" ht="12.75" customHeight="1">
      <c r="A32" s="236"/>
      <c r="B32" s="237"/>
      <c r="C32" s="237"/>
      <c r="D32" s="384"/>
      <c r="E32" s="370"/>
      <c r="F32" s="235"/>
    </row>
    <row r="33" spans="1:6" ht="12.75" customHeight="1">
      <c r="A33" s="244">
        <v>6</v>
      </c>
      <c r="B33" s="434" t="s">
        <v>123</v>
      </c>
      <c r="C33" s="435"/>
      <c r="D33" s="386">
        <f>D24+D26</f>
        <v>-2424</v>
      </c>
      <c r="E33" s="245">
        <f>E24+E26+E30</f>
        <v>-19081</v>
      </c>
      <c r="F33" s="246">
        <f>E33-D33</f>
        <v>-16657</v>
      </c>
    </row>
    <row r="34" spans="1:7" ht="12.75" customHeight="1">
      <c r="A34" s="236"/>
      <c r="B34" s="433" t="s">
        <v>5</v>
      </c>
      <c r="C34" s="433"/>
      <c r="D34" s="238">
        <f>D4+D27</f>
        <v>196569</v>
      </c>
      <c r="E34" s="238">
        <f>E4+E27</f>
        <v>165584</v>
      </c>
      <c r="F34" s="239">
        <f aca="true" t="shared" si="4" ref="F34:F35">E34-D34</f>
        <v>-30985</v>
      </c>
      <c r="G34" s="2"/>
    </row>
    <row r="35" spans="1:6" ht="12.75" customHeight="1">
      <c r="A35" s="251"/>
      <c r="B35" s="436" t="s">
        <v>6</v>
      </c>
      <c r="C35" s="436"/>
      <c r="D35" s="252">
        <f>D14-D28</f>
        <v>198993</v>
      </c>
      <c r="E35" s="252">
        <f>E14-E28-E31</f>
        <v>184665</v>
      </c>
      <c r="F35" s="239">
        <f t="shared" si="4"/>
        <v>-14328</v>
      </c>
    </row>
    <row r="36" spans="1:7" ht="12.75" customHeight="1" thickBot="1">
      <c r="A36" s="332"/>
      <c r="B36" s="332"/>
      <c r="C36" s="332"/>
      <c r="D36" s="371"/>
      <c r="E36" s="335"/>
      <c r="F36" s="335"/>
      <c r="G36" s="3"/>
    </row>
    <row r="37" spans="1:6" ht="26.25" thickTop="1">
      <c r="A37" s="230"/>
      <c r="B37" s="431" t="s">
        <v>155</v>
      </c>
      <c r="C37" s="431"/>
      <c r="D37" s="319"/>
      <c r="E37" s="319"/>
      <c r="F37" s="320" t="s">
        <v>205</v>
      </c>
    </row>
    <row r="38" spans="1:6" ht="12.75" customHeight="1">
      <c r="A38" s="257">
        <v>7</v>
      </c>
      <c r="B38" s="271" t="s">
        <v>133</v>
      </c>
      <c r="C38" s="271"/>
      <c r="D38" s="196"/>
      <c r="E38" s="321"/>
      <c r="F38" s="284">
        <f>F44-F39+F61</f>
        <v>-743</v>
      </c>
    </row>
    <row r="39" spans="1:6" ht="12.75" customHeight="1">
      <c r="A39" s="259">
        <v>8</v>
      </c>
      <c r="B39" s="432" t="s">
        <v>143</v>
      </c>
      <c r="C39" s="432"/>
      <c r="D39" s="196"/>
      <c r="E39" s="321"/>
      <c r="F39" s="260">
        <f>F40+F41+F42</f>
        <v>0</v>
      </c>
    </row>
    <row r="40" spans="1:6" ht="12.75" customHeight="1">
      <c r="A40" s="236"/>
      <c r="B40" s="262"/>
      <c r="C40" s="162" t="s">
        <v>101</v>
      </c>
      <c r="D40" s="196"/>
      <c r="E40" s="321"/>
      <c r="F40" s="261">
        <v>0</v>
      </c>
    </row>
    <row r="41" spans="1:6" ht="12.75" customHeight="1">
      <c r="A41" s="236"/>
      <c r="B41" s="262"/>
      <c r="C41" s="162" t="s">
        <v>102</v>
      </c>
      <c r="D41" s="196"/>
      <c r="E41" s="321"/>
      <c r="F41" s="261">
        <v>0</v>
      </c>
    </row>
    <row r="42" spans="1:6" ht="12.75" customHeight="1">
      <c r="A42" s="236"/>
      <c r="B42" s="262"/>
      <c r="C42" s="162" t="s">
        <v>114</v>
      </c>
      <c r="D42" s="196"/>
      <c r="E42" s="321"/>
      <c r="F42" s="261">
        <v>0</v>
      </c>
    </row>
    <row r="43" spans="1:6" ht="12.75" customHeight="1">
      <c r="A43" s="236"/>
      <c r="B43" s="162"/>
      <c r="C43" s="162"/>
      <c r="D43" s="196"/>
      <c r="E43" s="321"/>
      <c r="F43" s="261"/>
    </row>
    <row r="44" spans="1:6" ht="12.75" customHeight="1">
      <c r="A44" s="259">
        <v>9</v>
      </c>
      <c r="B44" s="432" t="s">
        <v>142</v>
      </c>
      <c r="C44" s="432"/>
      <c r="D44" s="196"/>
      <c r="E44" s="321"/>
      <c r="F44" s="260">
        <f>F45+F46+F47</f>
        <v>0</v>
      </c>
    </row>
    <row r="45" spans="1:6" ht="12.75" customHeight="1">
      <c r="A45" s="236"/>
      <c r="B45" s="162"/>
      <c r="C45" s="162" t="s">
        <v>22</v>
      </c>
      <c r="D45" s="196"/>
      <c r="E45" s="321"/>
      <c r="F45" s="261">
        <v>0</v>
      </c>
    </row>
    <row r="46" spans="1:6" ht="12.75" customHeight="1">
      <c r="A46" s="236"/>
      <c r="B46" s="162"/>
      <c r="C46" s="162" t="s">
        <v>106</v>
      </c>
      <c r="D46" s="196"/>
      <c r="E46" s="321"/>
      <c r="F46" s="261">
        <f>16-16</f>
        <v>0</v>
      </c>
    </row>
    <row r="47" spans="1:6" ht="12.75" customHeight="1">
      <c r="A47" s="236"/>
      <c r="B47" s="162"/>
      <c r="C47" s="162" t="s">
        <v>107</v>
      </c>
      <c r="D47" s="196"/>
      <c r="E47" s="321"/>
      <c r="F47" s="261">
        <v>0</v>
      </c>
    </row>
    <row r="48" spans="1:6" ht="12.75" customHeight="1">
      <c r="A48" s="236"/>
      <c r="B48" s="162"/>
      <c r="C48" s="162"/>
      <c r="D48" s="196"/>
      <c r="E48" s="321"/>
      <c r="F48" s="261"/>
    </row>
    <row r="49" spans="1:6" ht="12.75" customHeight="1">
      <c r="A49" s="257">
        <v>10</v>
      </c>
      <c r="B49" s="271" t="s">
        <v>124</v>
      </c>
      <c r="C49" s="271"/>
      <c r="D49" s="196"/>
      <c r="E49" s="321"/>
      <c r="F49" s="284">
        <f>F50-F53</f>
        <v>-413</v>
      </c>
    </row>
    <row r="50" spans="1:6" ht="12.75" customHeight="1">
      <c r="A50" s="259">
        <v>11</v>
      </c>
      <c r="B50" s="432" t="s">
        <v>141</v>
      </c>
      <c r="C50" s="432"/>
      <c r="D50" s="196"/>
      <c r="E50" s="321"/>
      <c r="F50" s="260">
        <f>F51+F52</f>
        <v>0</v>
      </c>
    </row>
    <row r="51" spans="1:6" ht="12.75" customHeight="1">
      <c r="A51" s="259"/>
      <c r="B51" s="162"/>
      <c r="C51" s="162" t="s">
        <v>115</v>
      </c>
      <c r="D51" s="196"/>
      <c r="E51" s="321"/>
      <c r="F51" s="261">
        <v>0</v>
      </c>
    </row>
    <row r="52" spans="1:6" ht="12.75" customHeight="1">
      <c r="A52" s="280"/>
      <c r="B52" s="264"/>
      <c r="C52" s="264" t="s">
        <v>109</v>
      </c>
      <c r="D52" s="265"/>
      <c r="E52" s="322"/>
      <c r="F52" s="266">
        <v>0</v>
      </c>
    </row>
    <row r="53" spans="1:6" ht="12.75" customHeight="1">
      <c r="A53" s="323">
        <v>12</v>
      </c>
      <c r="B53" s="451" t="s">
        <v>140</v>
      </c>
      <c r="C53" s="451"/>
      <c r="D53" s="269"/>
      <c r="E53" s="324"/>
      <c r="F53" s="345">
        <f>F54+F55</f>
        <v>413</v>
      </c>
    </row>
    <row r="54" spans="1:6" ht="12.75" customHeight="1">
      <c r="A54" s="236"/>
      <c r="B54" s="162"/>
      <c r="C54" s="162" t="s">
        <v>110</v>
      </c>
      <c r="D54" s="196"/>
      <c r="E54" s="321"/>
      <c r="F54" s="261">
        <v>0</v>
      </c>
    </row>
    <row r="55" spans="1:6" ht="12.75" customHeight="1">
      <c r="A55" s="236"/>
      <c r="B55" s="162"/>
      <c r="C55" s="162" t="s">
        <v>111</v>
      </c>
      <c r="D55" s="196"/>
      <c r="E55" s="321"/>
      <c r="F55" s="261">
        <f>89+308+16</f>
        <v>413</v>
      </c>
    </row>
    <row r="56" spans="1:6" ht="12.75" customHeight="1">
      <c r="A56" s="236"/>
      <c r="B56" s="262"/>
      <c r="C56" s="162"/>
      <c r="D56" s="196"/>
      <c r="E56" s="321"/>
      <c r="F56" s="261"/>
    </row>
    <row r="57" spans="1:6" ht="12.75" customHeight="1">
      <c r="A57" s="257">
        <v>13</v>
      </c>
      <c r="B57" s="430" t="s">
        <v>125</v>
      </c>
      <c r="C57" s="430"/>
      <c r="D57" s="196"/>
      <c r="E57" s="321"/>
      <c r="F57" s="284">
        <f>E26</f>
        <v>-17605</v>
      </c>
    </row>
    <row r="58" spans="1:6" ht="12.75" customHeight="1">
      <c r="A58" s="236"/>
      <c r="B58" s="262"/>
      <c r="C58" s="262"/>
      <c r="D58" s="196"/>
      <c r="E58" s="321"/>
      <c r="F58" s="261"/>
    </row>
    <row r="59" spans="1:6" ht="12.75" customHeight="1">
      <c r="A59" s="257">
        <v>14</v>
      </c>
      <c r="B59" s="433" t="s">
        <v>281</v>
      </c>
      <c r="C59" s="433"/>
      <c r="D59" s="196"/>
      <c r="E59" s="321"/>
      <c r="F59" s="284">
        <f>E30</f>
        <v>-162</v>
      </c>
    </row>
    <row r="60" spans="1:6" ht="12.75" customHeight="1">
      <c r="A60" s="236"/>
      <c r="B60" s="262"/>
      <c r="C60" s="162"/>
      <c r="D60" s="196"/>
      <c r="E60" s="321"/>
      <c r="F60" s="261"/>
    </row>
    <row r="61" spans="1:6" ht="12.75" customHeight="1">
      <c r="A61" s="259">
        <v>15</v>
      </c>
      <c r="B61" s="432" t="s">
        <v>126</v>
      </c>
      <c r="C61" s="432"/>
      <c r="D61" s="196"/>
      <c r="E61" s="196"/>
      <c r="F61" s="260">
        <v>-743</v>
      </c>
    </row>
    <row r="62" spans="1:6" ht="12.75" customHeight="1">
      <c r="A62" s="236"/>
      <c r="B62" s="264"/>
      <c r="C62" s="264"/>
      <c r="D62" s="265"/>
      <c r="E62" s="322"/>
      <c r="F62" s="266"/>
    </row>
    <row r="63" spans="1:6" ht="12.75" customHeight="1">
      <c r="A63" s="244">
        <v>16</v>
      </c>
      <c r="B63" s="275" t="s">
        <v>127</v>
      </c>
      <c r="C63" s="276"/>
      <c r="D63" s="300"/>
      <c r="E63" s="325"/>
      <c r="F63" s="279">
        <f>F38-F49+F57+F59</f>
        <v>-18097</v>
      </c>
    </row>
    <row r="64" spans="1:6" ht="12.75" customHeight="1">
      <c r="A64" s="280">
        <v>17</v>
      </c>
      <c r="B64" s="281" t="s">
        <v>128</v>
      </c>
      <c r="C64" s="281"/>
      <c r="D64" s="265"/>
      <c r="E64" s="322"/>
      <c r="F64" s="338">
        <f>F63-E33</f>
        <v>984</v>
      </c>
    </row>
    <row r="65" spans="1:6" ht="12.75" customHeight="1" thickBot="1">
      <c r="A65" s="332"/>
      <c r="B65" s="332"/>
      <c r="C65" s="333"/>
      <c r="D65" s="334"/>
      <c r="E65" s="334"/>
      <c r="F65" s="335"/>
    </row>
    <row r="66" spans="1:7" ht="26.25" customHeight="1" thickTop="1">
      <c r="A66" s="230"/>
      <c r="B66" s="431" t="s">
        <v>149</v>
      </c>
      <c r="C66" s="431"/>
      <c r="D66" s="319"/>
      <c r="E66" s="319"/>
      <c r="F66" s="320" t="s">
        <v>205</v>
      </c>
      <c r="G66" s="40"/>
    </row>
    <row r="67" spans="1:6" ht="12.75" customHeight="1">
      <c r="A67" s="233">
        <v>18</v>
      </c>
      <c r="B67" s="429" t="s">
        <v>135</v>
      </c>
      <c r="C67" s="429"/>
      <c r="D67" s="196"/>
      <c r="E67" s="196"/>
      <c r="F67" s="258">
        <f>E33*(-1)</f>
        <v>19081</v>
      </c>
    </row>
    <row r="68" spans="1:6" ht="12.75" customHeight="1">
      <c r="A68" s="236"/>
      <c r="B68" s="262"/>
      <c r="C68" s="262"/>
      <c r="D68" s="196"/>
      <c r="E68" s="196"/>
      <c r="F68" s="283"/>
    </row>
    <row r="69" spans="1:6" ht="12.75" customHeight="1">
      <c r="A69" s="257">
        <v>19</v>
      </c>
      <c r="B69" s="271" t="s">
        <v>129</v>
      </c>
      <c r="C69" s="339"/>
      <c r="D69" s="196"/>
      <c r="E69" s="326"/>
      <c r="F69" s="284">
        <f>F70+F71+F74+F77</f>
        <v>-1447</v>
      </c>
    </row>
    <row r="70" spans="1:6" ht="12.75" customHeight="1">
      <c r="A70" s="236"/>
      <c r="B70" s="240"/>
      <c r="C70" s="162" t="s">
        <v>68</v>
      </c>
      <c r="D70" s="196"/>
      <c r="E70" s="326"/>
      <c r="F70" s="261">
        <f>F61</f>
        <v>-743</v>
      </c>
    </row>
    <row r="71" spans="1:6" ht="12.75" customHeight="1">
      <c r="A71" s="236"/>
      <c r="B71" s="262"/>
      <c r="C71" s="162" t="s">
        <v>23</v>
      </c>
      <c r="D71" s="196"/>
      <c r="E71" s="326"/>
      <c r="F71" s="261">
        <f>F72-F73</f>
        <v>0</v>
      </c>
    </row>
    <row r="72" spans="1:6" ht="12.75" customHeight="1">
      <c r="A72" s="236"/>
      <c r="B72" s="262"/>
      <c r="C72" s="162" t="s">
        <v>78</v>
      </c>
      <c r="D72" s="196"/>
      <c r="E72" s="326"/>
      <c r="F72" s="261">
        <v>0</v>
      </c>
    </row>
    <row r="73" spans="1:6" ht="12.75" customHeight="1">
      <c r="A73" s="233"/>
      <c r="B73" s="262"/>
      <c r="C73" s="162" t="s">
        <v>116</v>
      </c>
      <c r="D73" s="196"/>
      <c r="E73" s="326"/>
      <c r="F73" s="261">
        <v>0</v>
      </c>
    </row>
    <row r="74" spans="1:6" ht="12.75" customHeight="1">
      <c r="A74" s="236"/>
      <c r="B74" s="262"/>
      <c r="C74" s="162" t="s">
        <v>24</v>
      </c>
      <c r="D74" s="196"/>
      <c r="E74" s="326"/>
      <c r="F74" s="261">
        <f>F75-F76</f>
        <v>0</v>
      </c>
    </row>
    <row r="75" spans="1:6" ht="12.75" customHeight="1">
      <c r="A75" s="236"/>
      <c r="B75" s="262"/>
      <c r="C75" s="162" t="s">
        <v>117</v>
      </c>
      <c r="D75" s="196"/>
      <c r="E75" s="326"/>
      <c r="F75" s="261">
        <v>0</v>
      </c>
    </row>
    <row r="76" spans="1:6" ht="12.75" customHeight="1">
      <c r="A76" s="236"/>
      <c r="B76" s="262"/>
      <c r="C76" s="162" t="s">
        <v>118</v>
      </c>
      <c r="D76" s="196"/>
      <c r="E76" s="326"/>
      <c r="F76" s="261">
        <v>0</v>
      </c>
    </row>
    <row r="77" spans="1:6" ht="12.75" customHeight="1">
      <c r="A77" s="236"/>
      <c r="B77" s="162"/>
      <c r="C77" s="162" t="s">
        <v>80</v>
      </c>
      <c r="D77" s="196"/>
      <c r="E77" s="326"/>
      <c r="F77" s="261">
        <f>E27</f>
        <v>-704</v>
      </c>
    </row>
    <row r="78" spans="1:6" ht="12.75" customHeight="1">
      <c r="A78" s="236"/>
      <c r="B78" s="162"/>
      <c r="C78" s="162"/>
      <c r="D78" s="196"/>
      <c r="E78" s="326"/>
      <c r="F78" s="258"/>
    </row>
    <row r="79" spans="1:6" ht="12.75" customHeight="1">
      <c r="A79" s="257">
        <v>20</v>
      </c>
      <c r="B79" s="430" t="s">
        <v>130</v>
      </c>
      <c r="C79" s="430"/>
      <c r="D79" s="196"/>
      <c r="E79" s="326"/>
      <c r="F79" s="284">
        <f>F80+F81+F84+F85+F86</f>
        <v>-16901</v>
      </c>
    </row>
    <row r="80" spans="1:6" ht="12.75" customHeight="1">
      <c r="A80" s="236"/>
      <c r="B80" s="162"/>
      <c r="C80" s="162" t="s">
        <v>81</v>
      </c>
      <c r="D80" s="286"/>
      <c r="E80" s="340"/>
      <c r="F80" s="261">
        <f>E28</f>
        <v>-16901</v>
      </c>
    </row>
    <row r="81" spans="1:6" ht="12.75" customHeight="1">
      <c r="A81" s="236"/>
      <c r="B81" s="162"/>
      <c r="C81" s="162" t="s">
        <v>82</v>
      </c>
      <c r="D81" s="196"/>
      <c r="E81" s="326"/>
      <c r="F81" s="261">
        <f>F82+F83</f>
        <v>0</v>
      </c>
    </row>
    <row r="82" spans="1:6" ht="12.75" customHeight="1">
      <c r="A82" s="236"/>
      <c r="B82" s="162"/>
      <c r="C82" s="162" t="s">
        <v>95</v>
      </c>
      <c r="D82" s="196"/>
      <c r="E82" s="326"/>
      <c r="F82" s="261">
        <v>0</v>
      </c>
    </row>
    <row r="83" spans="1:6" ht="12.75" customHeight="1">
      <c r="A83" s="236"/>
      <c r="B83" s="162"/>
      <c r="C83" s="162" t="s">
        <v>96</v>
      </c>
      <c r="D83" s="196"/>
      <c r="E83" s="326"/>
      <c r="F83" s="261">
        <v>0</v>
      </c>
    </row>
    <row r="84" spans="1:6" ht="12.75" customHeight="1">
      <c r="A84" s="236"/>
      <c r="B84" s="162"/>
      <c r="C84" s="162" t="s">
        <v>83</v>
      </c>
      <c r="D84" s="196"/>
      <c r="E84" s="326"/>
      <c r="F84" s="261">
        <v>0</v>
      </c>
    </row>
    <row r="85" spans="1:6" ht="12.75" customHeight="1">
      <c r="A85" s="236"/>
      <c r="B85" s="162"/>
      <c r="C85" s="162" t="s">
        <v>84</v>
      </c>
      <c r="D85" s="196"/>
      <c r="E85" s="326"/>
      <c r="F85" s="261">
        <v>0</v>
      </c>
    </row>
    <row r="86" spans="1:6" ht="12.75" customHeight="1">
      <c r="A86" s="236"/>
      <c r="B86" s="162"/>
      <c r="C86" s="162" t="s">
        <v>166</v>
      </c>
      <c r="D86" s="196"/>
      <c r="E86" s="326"/>
      <c r="F86" s="261">
        <v>0</v>
      </c>
    </row>
    <row r="87" spans="1:6" ht="12.75" customHeight="1">
      <c r="A87" s="236"/>
      <c r="B87" s="162"/>
      <c r="C87" s="162"/>
      <c r="D87" s="196"/>
      <c r="E87" s="326"/>
      <c r="F87" s="261"/>
    </row>
    <row r="88" spans="1:6" ht="12.75" customHeight="1">
      <c r="A88" s="257">
        <v>21</v>
      </c>
      <c r="B88" s="430" t="s">
        <v>134</v>
      </c>
      <c r="C88" s="430"/>
      <c r="D88" s="196"/>
      <c r="E88" s="326"/>
      <c r="F88" s="284">
        <f>F89+F90</f>
        <v>-1036</v>
      </c>
    </row>
    <row r="89" spans="1:6" ht="12.75" customHeight="1">
      <c r="A89" s="236"/>
      <c r="B89" s="162"/>
      <c r="C89" s="162" t="s">
        <v>159</v>
      </c>
      <c r="D89" s="196"/>
      <c r="E89" s="326"/>
      <c r="F89" s="261">
        <f>-F64</f>
        <v>-984</v>
      </c>
    </row>
    <row r="90" spans="1:6" ht="12.75" customHeight="1">
      <c r="A90" s="236"/>
      <c r="B90" s="162"/>
      <c r="C90" s="162" t="s">
        <v>160</v>
      </c>
      <c r="D90" s="196"/>
      <c r="E90" s="326"/>
      <c r="F90" s="261">
        <f>F92-(F67+F69+F79)-F89</f>
        <v>-52</v>
      </c>
    </row>
    <row r="91" spans="1:6" ht="12.75" customHeight="1">
      <c r="A91" s="236"/>
      <c r="B91" s="162"/>
      <c r="C91" s="162"/>
      <c r="D91" s="196"/>
      <c r="E91" s="326"/>
      <c r="F91" s="261"/>
    </row>
    <row r="92" spans="1:6" ht="12.75" customHeight="1">
      <c r="A92" s="244">
        <v>22</v>
      </c>
      <c r="B92" s="275" t="s">
        <v>176</v>
      </c>
      <c r="C92" s="275"/>
      <c r="D92" s="277"/>
      <c r="E92" s="341"/>
      <c r="F92" s="279">
        <v>-303</v>
      </c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8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ht="12.75" customHeight="1">
      <c r="F120" s="40"/>
    </row>
    <row r="121" ht="12.75" customHeight="1">
      <c r="F121" s="40"/>
    </row>
    <row r="122" ht="12.75" customHeight="1">
      <c r="F122" s="40"/>
    </row>
    <row r="123" ht="12.75" customHeight="1">
      <c r="F123" s="40"/>
    </row>
    <row r="124" ht="12.75" customHeight="1">
      <c r="F124" s="40"/>
    </row>
    <row r="125" ht="12.75" customHeight="1">
      <c r="F125" s="40"/>
    </row>
    <row r="126" ht="12.75" customHeight="1">
      <c r="F126" s="40"/>
    </row>
    <row r="127" ht="12.75" customHeight="1">
      <c r="F127" s="40"/>
    </row>
    <row r="128" ht="12.75" customHeight="1">
      <c r="F128" s="40"/>
    </row>
    <row r="129" ht="12.75" customHeight="1">
      <c r="F129" s="40"/>
    </row>
    <row r="130" ht="12.75" customHeight="1">
      <c r="F130" s="40"/>
    </row>
    <row r="131" ht="12.75" customHeight="1">
      <c r="F131" s="40"/>
    </row>
    <row r="132" ht="12.75" customHeight="1">
      <c r="F132" s="40"/>
    </row>
    <row r="133" ht="12.75" customHeight="1">
      <c r="F133" s="40"/>
    </row>
    <row r="134" ht="12.75" customHeight="1">
      <c r="F134" s="40"/>
    </row>
    <row r="135" ht="12.75" customHeight="1">
      <c r="F135" s="40"/>
    </row>
    <row r="136" ht="12.75">
      <c r="F136" s="40"/>
    </row>
    <row r="137" ht="12.75">
      <c r="F137" s="40"/>
    </row>
  </sheetData>
  <mergeCells count="21">
    <mergeCell ref="B88:C88"/>
    <mergeCell ref="B67:C67"/>
    <mergeCell ref="B79:C79"/>
    <mergeCell ref="B57:C57"/>
    <mergeCell ref="B59:C59"/>
    <mergeCell ref="B66:C66"/>
    <mergeCell ref="B61:C61"/>
    <mergeCell ref="B44:C44"/>
    <mergeCell ref="B50:C50"/>
    <mergeCell ref="B53:C53"/>
    <mergeCell ref="B34:C34"/>
    <mergeCell ref="B33:C33"/>
    <mergeCell ref="B37:C37"/>
    <mergeCell ref="B35:C35"/>
    <mergeCell ref="B26:C26"/>
    <mergeCell ref="B30:C30"/>
    <mergeCell ref="B39:C39"/>
    <mergeCell ref="B3:C3"/>
    <mergeCell ref="B24:C24"/>
    <mergeCell ref="B14:C14"/>
    <mergeCell ref="B4:C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r:id="rId3"/>
  <rowBreaks count="1" manualBreakCount="1">
    <brk id="52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136"/>
  <sheetViews>
    <sheetView showGridLines="0" view="pageBreakPreview" zoomScale="80" zoomScaleSheetLayoutView="80" workbookViewId="0" topLeftCell="A61">
      <selection activeCell="D27" sqref="D27"/>
    </sheetView>
  </sheetViews>
  <sheetFormatPr defaultColWidth="9.140625" defaultRowHeight="12.75"/>
  <cols>
    <col min="1" max="1" width="4.710937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0" customWidth="1"/>
    <col min="6" max="6" width="10.57421875" style="40" customWidth="1"/>
    <col min="7" max="7" width="10.57421875" style="42" customWidth="1"/>
    <col min="8" max="16384" width="9.140625" style="1" customWidth="1"/>
  </cols>
  <sheetData>
    <row r="1" spans="2:7" s="31" customFormat="1" ht="15">
      <c r="B1" s="289"/>
      <c r="C1" s="390" t="s">
        <v>210</v>
      </c>
      <c r="D1" s="359"/>
      <c r="E1" s="312"/>
      <c r="F1" s="391"/>
      <c r="G1" s="292"/>
    </row>
    <row r="2" spans="2:7" ht="12.75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>
      <c r="B4" s="233">
        <v>1</v>
      </c>
      <c r="C4" s="429" t="s">
        <v>119</v>
      </c>
      <c r="D4" s="429"/>
      <c r="E4" s="383">
        <f>E5+E11</f>
        <v>0</v>
      </c>
      <c r="F4" s="234">
        <f>F5+F11</f>
        <v>6235</v>
      </c>
      <c r="G4" s="235">
        <f aca="true" t="shared" si="0" ref="G4:G11">F4-E4</f>
        <v>6235</v>
      </c>
    </row>
    <row r="5" spans="2:7" ht="12.75">
      <c r="B5" s="236"/>
      <c r="C5" s="237" t="s">
        <v>0</v>
      </c>
      <c r="D5" s="237" t="s">
        <v>30</v>
      </c>
      <c r="E5" s="238">
        <f>E6+E7+E8+E9+E10</f>
        <v>0</v>
      </c>
      <c r="F5" s="238">
        <f>F6+F7+F8+F9+F10</f>
        <v>2963</v>
      </c>
      <c r="G5" s="239">
        <f t="shared" si="0"/>
        <v>2963</v>
      </c>
    </row>
    <row r="6" spans="2:7" ht="25.5">
      <c r="B6" s="236"/>
      <c r="C6" s="237"/>
      <c r="D6" s="240" t="s">
        <v>44</v>
      </c>
      <c r="E6" s="384">
        <v>0</v>
      </c>
      <c r="F6" s="238">
        <v>28</v>
      </c>
      <c r="G6" s="239">
        <f t="shared" si="0"/>
        <v>28</v>
      </c>
    </row>
    <row r="7" spans="2:7" ht="12.75">
      <c r="B7" s="236"/>
      <c r="C7" s="237"/>
      <c r="D7" s="240" t="s">
        <v>40</v>
      </c>
      <c r="E7" s="384">
        <v>0</v>
      </c>
      <c r="F7" s="238">
        <v>2533</v>
      </c>
      <c r="G7" s="239">
        <f t="shared" si="0"/>
        <v>2533</v>
      </c>
    </row>
    <row r="8" spans="2:7" ht="12.75">
      <c r="B8" s="236"/>
      <c r="C8" s="237"/>
      <c r="D8" s="240" t="s">
        <v>41</v>
      </c>
      <c r="E8" s="384">
        <v>0</v>
      </c>
      <c r="F8" s="238">
        <v>0</v>
      </c>
      <c r="G8" s="239">
        <f t="shared" si="0"/>
        <v>0</v>
      </c>
    </row>
    <row r="9" spans="2:7" ht="12.75">
      <c r="B9" s="236"/>
      <c r="C9" s="237"/>
      <c r="D9" s="240" t="s">
        <v>42</v>
      </c>
      <c r="E9" s="238">
        <v>0</v>
      </c>
      <c r="F9" s="238">
        <v>4</v>
      </c>
      <c r="G9" s="239">
        <f t="shared" si="0"/>
        <v>4</v>
      </c>
    </row>
    <row r="10" spans="2:7" ht="12.75">
      <c r="B10" s="236"/>
      <c r="C10" s="237"/>
      <c r="D10" s="240" t="s">
        <v>43</v>
      </c>
      <c r="E10" s="384">
        <v>0</v>
      </c>
      <c r="F10" s="238">
        <v>398</v>
      </c>
      <c r="G10" s="239">
        <f t="shared" si="0"/>
        <v>398</v>
      </c>
    </row>
    <row r="11" spans="2:7" ht="12.75">
      <c r="B11" s="236"/>
      <c r="C11" s="237"/>
      <c r="D11" s="237" t="s">
        <v>31</v>
      </c>
      <c r="E11" s="384">
        <v>0</v>
      </c>
      <c r="F11" s="238">
        <v>3272</v>
      </c>
      <c r="G11" s="239">
        <f t="shared" si="0"/>
        <v>3272</v>
      </c>
    </row>
    <row r="12" spans="2:7" ht="12.75">
      <c r="B12" s="236"/>
      <c r="C12" s="237"/>
      <c r="D12" s="237"/>
      <c r="E12" s="384"/>
      <c r="F12" s="238"/>
      <c r="G12" s="239"/>
    </row>
    <row r="13" spans="2:7" ht="12.75">
      <c r="B13" s="236"/>
      <c r="C13" s="237"/>
      <c r="D13" s="237"/>
      <c r="E13" s="384"/>
      <c r="F13" s="238"/>
      <c r="G13" s="235"/>
    </row>
    <row r="14" spans="2:7" ht="12.75">
      <c r="B14" s="233">
        <v>2</v>
      </c>
      <c r="C14" s="429" t="s">
        <v>120</v>
      </c>
      <c r="D14" s="429"/>
      <c r="E14" s="243">
        <f>E15+E20</f>
        <v>0</v>
      </c>
      <c r="F14" s="243">
        <f>F15+F20</f>
        <v>6148</v>
      </c>
      <c r="G14" s="235">
        <f aca="true" t="shared" si="1" ref="G14:G22">F14-E14</f>
        <v>6148</v>
      </c>
    </row>
    <row r="15" spans="2:7" ht="12.75">
      <c r="B15" s="236"/>
      <c r="C15" s="237" t="s">
        <v>0</v>
      </c>
      <c r="D15" s="237" t="s">
        <v>32</v>
      </c>
      <c r="E15" s="238">
        <f>E16+E17+E18+E19</f>
        <v>0</v>
      </c>
      <c r="F15" s="238">
        <f>F16+F17+F18+F19</f>
        <v>6084</v>
      </c>
      <c r="G15" s="239">
        <f t="shared" si="1"/>
        <v>6084</v>
      </c>
    </row>
    <row r="16" spans="2:7" ht="12.75">
      <c r="B16" s="236"/>
      <c r="C16" s="237"/>
      <c r="D16" s="240" t="s">
        <v>34</v>
      </c>
      <c r="E16" s="384">
        <v>0</v>
      </c>
      <c r="F16" s="238">
        <f>1998+713</f>
        <v>2711</v>
      </c>
      <c r="G16" s="239">
        <f t="shared" si="1"/>
        <v>2711</v>
      </c>
    </row>
    <row r="17" spans="2:7" ht="12.75">
      <c r="B17" s="236"/>
      <c r="C17" s="237"/>
      <c r="D17" s="240" t="s">
        <v>35</v>
      </c>
      <c r="E17" s="384">
        <v>0</v>
      </c>
      <c r="F17" s="238">
        <v>3299</v>
      </c>
      <c r="G17" s="239">
        <f t="shared" si="1"/>
        <v>3299</v>
      </c>
    </row>
    <row r="18" spans="2:7" ht="12.75">
      <c r="B18" s="236"/>
      <c r="C18" s="237"/>
      <c r="D18" s="240" t="s">
        <v>36</v>
      </c>
      <c r="E18" s="384">
        <v>0</v>
      </c>
      <c r="F18" s="238">
        <v>53</v>
      </c>
      <c r="G18" s="239">
        <f t="shared" si="1"/>
        <v>53</v>
      </c>
    </row>
    <row r="19" spans="2:7" ht="12.75">
      <c r="B19" s="236"/>
      <c r="C19" s="237"/>
      <c r="D19" s="240" t="s">
        <v>37</v>
      </c>
      <c r="E19" s="238">
        <v>0</v>
      </c>
      <c r="F19" s="238">
        <v>21</v>
      </c>
      <c r="G19" s="239">
        <f t="shared" si="1"/>
        <v>21</v>
      </c>
    </row>
    <row r="20" spans="2:7" ht="12.75">
      <c r="B20" s="236"/>
      <c r="C20" s="237"/>
      <c r="D20" s="237" t="s">
        <v>33</v>
      </c>
      <c r="E20" s="238">
        <f>E21+E22</f>
        <v>0</v>
      </c>
      <c r="F20" s="238">
        <f>F21+F22</f>
        <v>64</v>
      </c>
      <c r="G20" s="239">
        <f t="shared" si="1"/>
        <v>64</v>
      </c>
    </row>
    <row r="21" spans="2:7" ht="12.75">
      <c r="B21" s="236"/>
      <c r="C21" s="237"/>
      <c r="D21" s="240" t="s">
        <v>38</v>
      </c>
      <c r="E21" s="384">
        <v>0</v>
      </c>
      <c r="F21" s="238">
        <v>64</v>
      </c>
      <c r="G21" s="239">
        <f t="shared" si="1"/>
        <v>64</v>
      </c>
    </row>
    <row r="22" spans="2:7" ht="12.75">
      <c r="B22" s="236"/>
      <c r="C22" s="237"/>
      <c r="D22" s="240" t="s">
        <v>39</v>
      </c>
      <c r="E22" s="384">
        <v>0</v>
      </c>
      <c r="F22" s="238">
        <v>0</v>
      </c>
      <c r="G22" s="239">
        <f t="shared" si="1"/>
        <v>0</v>
      </c>
    </row>
    <row r="23" spans="2:7" ht="12.75">
      <c r="B23" s="236"/>
      <c r="C23" s="237"/>
      <c r="D23" s="237"/>
      <c r="E23" s="384"/>
      <c r="F23" s="370"/>
      <c r="G23" s="242"/>
    </row>
    <row r="24" spans="2:7" ht="12.75">
      <c r="B24" s="244">
        <v>3</v>
      </c>
      <c r="C24" s="434" t="s">
        <v>121</v>
      </c>
      <c r="D24" s="435"/>
      <c r="E24" s="386">
        <f>E4-E14</f>
        <v>0</v>
      </c>
      <c r="F24" s="245">
        <f>F4-F14</f>
        <v>87</v>
      </c>
      <c r="G24" s="246">
        <f>F24-E24</f>
        <v>87</v>
      </c>
    </row>
    <row r="25" spans="2:7" ht="12.75">
      <c r="B25" s="236"/>
      <c r="C25" s="247"/>
      <c r="D25" s="247"/>
      <c r="E25" s="385"/>
      <c r="F25" s="243"/>
      <c r="G25" s="235"/>
    </row>
    <row r="26" spans="2:7" ht="12.75">
      <c r="B26" s="233">
        <v>4</v>
      </c>
      <c r="C26" s="430" t="s">
        <v>167</v>
      </c>
      <c r="D26" s="430"/>
      <c r="E26" s="385">
        <f>E27+E28</f>
        <v>0</v>
      </c>
      <c r="F26" s="243">
        <f>F27+F28</f>
        <v>-2687</v>
      </c>
      <c r="G26" s="235">
        <f>F26-E26</f>
        <v>-2687</v>
      </c>
    </row>
    <row r="27" spans="2:7" ht="12.75">
      <c r="B27" s="236"/>
      <c r="C27" s="237"/>
      <c r="D27" s="237" t="s">
        <v>3</v>
      </c>
      <c r="E27" s="385">
        <v>0</v>
      </c>
      <c r="F27" s="370">
        <v>223</v>
      </c>
      <c r="G27" s="239">
        <f aca="true" t="shared" si="2" ref="G27:G28">F27-E27</f>
        <v>223</v>
      </c>
    </row>
    <row r="28" spans="2:7" ht="12.75">
      <c r="B28" s="236"/>
      <c r="C28" s="237"/>
      <c r="D28" s="237" t="s">
        <v>4</v>
      </c>
      <c r="E28" s="384">
        <v>0</v>
      </c>
      <c r="F28" s="370">
        <v>-2910</v>
      </c>
      <c r="G28" s="239">
        <f t="shared" si="2"/>
        <v>-2910</v>
      </c>
    </row>
    <row r="29" spans="2:7" ht="12.75">
      <c r="B29" s="236"/>
      <c r="C29" s="237"/>
      <c r="D29" s="237"/>
      <c r="E29" s="384"/>
      <c r="F29" s="370"/>
      <c r="G29" s="235"/>
    </row>
    <row r="30" spans="2:7" ht="12.75">
      <c r="B30" s="233">
        <v>5</v>
      </c>
      <c r="C30" s="433" t="s">
        <v>280</v>
      </c>
      <c r="D30" s="433"/>
      <c r="E30" s="385">
        <v>0</v>
      </c>
      <c r="F30" s="362">
        <f>F31</f>
        <v>0</v>
      </c>
      <c r="G30" s="239">
        <f aca="true" t="shared" si="3" ref="G30">F30-E30</f>
        <v>0</v>
      </c>
    </row>
    <row r="31" spans="2:7" ht="12.75">
      <c r="B31" s="236"/>
      <c r="C31" s="237"/>
      <c r="D31" s="237"/>
      <c r="E31" s="384"/>
      <c r="F31" s="370"/>
      <c r="G31" s="235"/>
    </row>
    <row r="32" spans="2:7" ht="12.75" customHeight="1">
      <c r="B32" s="244">
        <v>6</v>
      </c>
      <c r="C32" s="434" t="s">
        <v>123</v>
      </c>
      <c r="D32" s="435"/>
      <c r="E32" s="386">
        <f>E24+E26</f>
        <v>0</v>
      </c>
      <c r="F32" s="245">
        <f>F24+F26+F30</f>
        <v>-2600</v>
      </c>
      <c r="G32" s="246">
        <f>F32-E32</f>
        <v>-2600</v>
      </c>
    </row>
    <row r="33" spans="2:8" ht="12.75" customHeight="1">
      <c r="B33" s="236"/>
      <c r="C33" s="433" t="s">
        <v>5</v>
      </c>
      <c r="D33" s="433"/>
      <c r="E33" s="238">
        <f>E4+E27</f>
        <v>0</v>
      </c>
      <c r="F33" s="238">
        <f>F4+F27</f>
        <v>6458</v>
      </c>
      <c r="G33" s="239">
        <f aca="true" t="shared" si="4" ref="G33:G34">F33-E33</f>
        <v>6458</v>
      </c>
      <c r="H33" s="2"/>
    </row>
    <row r="34" spans="2:7" ht="12.75" customHeight="1">
      <c r="B34" s="251"/>
      <c r="C34" s="436" t="s">
        <v>6</v>
      </c>
      <c r="D34" s="436"/>
      <c r="E34" s="252">
        <f>E14-E28</f>
        <v>0</v>
      </c>
      <c r="F34" s="252">
        <f>F14-F28</f>
        <v>9058</v>
      </c>
      <c r="G34" s="239">
        <f t="shared" si="4"/>
        <v>9058</v>
      </c>
    </row>
    <row r="35" spans="2:8" ht="12.75" customHeight="1" thickBot="1">
      <c r="B35" s="332"/>
      <c r="C35" s="332"/>
      <c r="D35" s="332"/>
      <c r="E35" s="371"/>
      <c r="F35" s="335"/>
      <c r="G35" s="335"/>
      <c r="H35" s="3"/>
    </row>
    <row r="36" spans="2:7" ht="26.25" thickTop="1">
      <c r="B36" s="230"/>
      <c r="C36" s="431" t="s">
        <v>155</v>
      </c>
      <c r="D36" s="431"/>
      <c r="E36" s="319"/>
      <c r="F36" s="319"/>
      <c r="G36" s="320" t="s">
        <v>205</v>
      </c>
    </row>
    <row r="37" spans="2:7" ht="12.75" customHeight="1">
      <c r="B37" s="257">
        <v>7</v>
      </c>
      <c r="C37" s="271" t="s">
        <v>133</v>
      </c>
      <c r="D37" s="271"/>
      <c r="E37" s="196"/>
      <c r="F37" s="321"/>
      <c r="G37" s="284">
        <f>G43-G38+G60</f>
        <v>381</v>
      </c>
    </row>
    <row r="38" spans="2:7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</row>
    <row r="39" spans="2:7" ht="26.25" customHeight="1">
      <c r="B39" s="236"/>
      <c r="C39" s="262"/>
      <c r="D39" s="346" t="s">
        <v>101</v>
      </c>
      <c r="E39" s="347"/>
      <c r="F39" s="348"/>
      <c r="G39" s="261">
        <v>0</v>
      </c>
    </row>
    <row r="40" spans="2:7" ht="12.75" customHeight="1">
      <c r="B40" s="236"/>
      <c r="C40" s="262"/>
      <c r="D40" s="162" t="s">
        <v>102</v>
      </c>
      <c r="E40" s="196"/>
      <c r="F40" s="321"/>
      <c r="G40" s="261">
        <v>0</v>
      </c>
    </row>
    <row r="41" spans="2:7" ht="27.75" customHeight="1">
      <c r="B41" s="236"/>
      <c r="C41" s="262"/>
      <c r="D41" s="346" t="s">
        <v>114</v>
      </c>
      <c r="E41" s="347"/>
      <c r="F41" s="348"/>
      <c r="G41" s="261">
        <v>0</v>
      </c>
    </row>
    <row r="42" spans="2:7" ht="12.75" customHeight="1">
      <c r="B42" s="236"/>
      <c r="C42" s="162"/>
      <c r="D42" s="162"/>
      <c r="E42" s="196"/>
      <c r="F42" s="321"/>
      <c r="G42" s="261"/>
    </row>
    <row r="43" spans="2:7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26</v>
      </c>
    </row>
    <row r="44" spans="2:7" ht="12.75" customHeight="1">
      <c r="B44" s="236"/>
      <c r="C44" s="162"/>
      <c r="D44" s="162" t="s">
        <v>22</v>
      </c>
      <c r="E44" s="196"/>
      <c r="F44" s="321"/>
      <c r="G44" s="261">
        <v>0</v>
      </c>
    </row>
    <row r="45" spans="2:7" ht="12.75" customHeight="1">
      <c r="B45" s="236"/>
      <c r="C45" s="162"/>
      <c r="D45" s="162" t="s">
        <v>106</v>
      </c>
      <c r="E45" s="196"/>
      <c r="F45" s="321"/>
      <c r="G45" s="261">
        <v>26</v>
      </c>
    </row>
    <row r="46" spans="2:7" ht="12.75" customHeight="1">
      <c r="B46" s="236"/>
      <c r="C46" s="162"/>
      <c r="D46" s="162" t="s">
        <v>107</v>
      </c>
      <c r="E46" s="196"/>
      <c r="F46" s="321"/>
      <c r="G46" s="261">
        <v>0</v>
      </c>
    </row>
    <row r="47" spans="2:7" ht="12.75" customHeight="1">
      <c r="B47" s="236"/>
      <c r="C47" s="162"/>
      <c r="D47" s="162"/>
      <c r="E47" s="196"/>
      <c r="F47" s="321"/>
      <c r="G47" s="261"/>
    </row>
    <row r="48" spans="2:7" ht="15">
      <c r="B48" s="257">
        <v>10</v>
      </c>
      <c r="C48" s="271" t="s">
        <v>124</v>
      </c>
      <c r="D48" s="271"/>
      <c r="E48" s="196"/>
      <c r="F48" s="321"/>
      <c r="G48" s="284">
        <f>G49-G52</f>
        <v>223</v>
      </c>
    </row>
    <row r="49" spans="2:7" ht="15">
      <c r="B49" s="259">
        <v>11</v>
      </c>
      <c r="C49" s="432" t="s">
        <v>141</v>
      </c>
      <c r="D49" s="432"/>
      <c r="E49" s="196"/>
      <c r="F49" s="321"/>
      <c r="G49" s="260">
        <f>G50+G51</f>
        <v>268</v>
      </c>
    </row>
    <row r="50" spans="2:7" ht="15">
      <c r="B50" s="259"/>
      <c r="C50" s="162"/>
      <c r="D50" s="162" t="s">
        <v>115</v>
      </c>
      <c r="E50" s="196"/>
      <c r="F50" s="321"/>
      <c r="G50" s="261">
        <v>0</v>
      </c>
    </row>
    <row r="51" spans="2:7" ht="15">
      <c r="B51" s="280"/>
      <c r="C51" s="264"/>
      <c r="D51" s="264" t="s">
        <v>109</v>
      </c>
      <c r="E51" s="265"/>
      <c r="F51" s="322"/>
      <c r="G51" s="266">
        <f>238+30</f>
        <v>268</v>
      </c>
    </row>
    <row r="52" spans="2:7" ht="15">
      <c r="B52" s="323">
        <v>12</v>
      </c>
      <c r="C52" s="451" t="s">
        <v>140</v>
      </c>
      <c r="D52" s="451"/>
      <c r="E52" s="269"/>
      <c r="F52" s="324"/>
      <c r="G52" s="345">
        <f>G53+G54</f>
        <v>45</v>
      </c>
    </row>
    <row r="53" spans="2:7" ht="25.5">
      <c r="B53" s="236"/>
      <c r="C53" s="162"/>
      <c r="D53" s="346" t="s">
        <v>110</v>
      </c>
      <c r="E53" s="347"/>
      <c r="F53" s="348"/>
      <c r="G53" s="261">
        <v>0</v>
      </c>
    </row>
    <row r="54" spans="2:7" ht="15">
      <c r="B54" s="236"/>
      <c r="C54" s="162"/>
      <c r="D54" s="162" t="s">
        <v>111</v>
      </c>
      <c r="E54" s="196"/>
      <c r="F54" s="321"/>
      <c r="G54" s="261">
        <v>45</v>
      </c>
    </row>
    <row r="55" spans="2:7" ht="15">
      <c r="B55" s="236"/>
      <c r="C55" s="262"/>
      <c r="D55" s="162"/>
      <c r="E55" s="196"/>
      <c r="F55" s="321"/>
      <c r="G55" s="261"/>
    </row>
    <row r="56" spans="2:7" ht="15">
      <c r="B56" s="257">
        <v>13</v>
      </c>
      <c r="C56" s="430" t="s">
        <v>125</v>
      </c>
      <c r="D56" s="430"/>
      <c r="E56" s="196"/>
      <c r="F56" s="321"/>
      <c r="G56" s="284">
        <f>F26</f>
        <v>-2687</v>
      </c>
    </row>
    <row r="57" spans="2:7" ht="15">
      <c r="B57" s="236"/>
      <c r="C57" s="262"/>
      <c r="D57" s="262"/>
      <c r="E57" s="196"/>
      <c r="F57" s="321"/>
      <c r="G57" s="261"/>
    </row>
    <row r="58" spans="2:7" ht="15">
      <c r="B58" s="257">
        <v>14</v>
      </c>
      <c r="C58" s="433" t="s">
        <v>281</v>
      </c>
      <c r="D58" s="433"/>
      <c r="E58" s="196"/>
      <c r="F58" s="321"/>
      <c r="G58" s="284">
        <f>F30</f>
        <v>0</v>
      </c>
    </row>
    <row r="59" spans="2:7" ht="15">
      <c r="B59" s="236"/>
      <c r="C59" s="262"/>
      <c r="D59" s="162"/>
      <c r="E59" s="196"/>
      <c r="F59" s="321"/>
      <c r="G59" s="261"/>
    </row>
    <row r="60" spans="2:7" ht="12.75">
      <c r="B60" s="259">
        <v>15</v>
      </c>
      <c r="C60" s="432" t="s">
        <v>126</v>
      </c>
      <c r="D60" s="432"/>
      <c r="E60" s="196"/>
      <c r="F60" s="196"/>
      <c r="G60" s="260">
        <v>355</v>
      </c>
    </row>
    <row r="61" spans="2:7" ht="15">
      <c r="B61" s="236"/>
      <c r="C61" s="264"/>
      <c r="D61" s="264"/>
      <c r="E61" s="265"/>
      <c r="F61" s="322"/>
      <c r="G61" s="266"/>
    </row>
    <row r="62" spans="2:7" ht="15">
      <c r="B62" s="244">
        <v>16</v>
      </c>
      <c r="C62" s="275" t="s">
        <v>127</v>
      </c>
      <c r="D62" s="276"/>
      <c r="E62" s="300"/>
      <c r="F62" s="325"/>
      <c r="G62" s="279">
        <f>G37-G48+G56+G58</f>
        <v>-2529</v>
      </c>
    </row>
    <row r="63" spans="2:7" ht="12.75" customHeight="1">
      <c r="B63" s="280">
        <v>17</v>
      </c>
      <c r="C63" s="281" t="s">
        <v>128</v>
      </c>
      <c r="D63" s="281"/>
      <c r="E63" s="265"/>
      <c r="F63" s="322"/>
      <c r="G63" s="338">
        <f>G62-F32</f>
        <v>71</v>
      </c>
    </row>
    <row r="64" spans="2:7" ht="12.75" customHeight="1" thickBot="1">
      <c r="B64" s="332"/>
      <c r="C64" s="332"/>
      <c r="D64" s="333"/>
      <c r="E64" s="334"/>
      <c r="F64" s="334"/>
      <c r="G64" s="335"/>
    </row>
    <row r="65" spans="2:8" ht="26.25" customHeight="1" thickTop="1">
      <c r="B65" s="230"/>
      <c r="C65" s="431" t="s">
        <v>149</v>
      </c>
      <c r="D65" s="431"/>
      <c r="E65" s="319"/>
      <c r="F65" s="319"/>
      <c r="G65" s="320" t="s">
        <v>205</v>
      </c>
      <c r="H65" s="40"/>
    </row>
    <row r="66" spans="2:7" ht="12.75" customHeight="1">
      <c r="B66" s="233">
        <v>18</v>
      </c>
      <c r="C66" s="429" t="s">
        <v>135</v>
      </c>
      <c r="D66" s="429"/>
      <c r="E66" s="196"/>
      <c r="F66" s="196"/>
      <c r="G66" s="258">
        <f>F32*(-1)</f>
        <v>2600</v>
      </c>
    </row>
    <row r="67" spans="2:7" ht="12.75" customHeight="1">
      <c r="B67" s="236"/>
      <c r="C67" s="262"/>
      <c r="D67" s="262"/>
      <c r="E67" s="196"/>
      <c r="F67" s="196"/>
      <c r="G67" s="283"/>
    </row>
    <row r="68" spans="2:7" ht="12.75" customHeight="1">
      <c r="B68" s="257">
        <v>19</v>
      </c>
      <c r="C68" s="271" t="s">
        <v>129</v>
      </c>
      <c r="D68" s="339"/>
      <c r="E68" s="196"/>
      <c r="F68" s="326"/>
      <c r="G68" s="284">
        <f>G69+G70+G73+G76</f>
        <v>604</v>
      </c>
    </row>
    <row r="69" spans="2:7" ht="12.75" customHeight="1">
      <c r="B69" s="236"/>
      <c r="C69" s="240"/>
      <c r="D69" s="162" t="s">
        <v>68</v>
      </c>
      <c r="E69" s="196"/>
      <c r="F69" s="326"/>
      <c r="G69" s="261">
        <f>G60</f>
        <v>355</v>
      </c>
    </row>
    <row r="70" spans="2:7" ht="12.75" customHeight="1">
      <c r="B70" s="236"/>
      <c r="C70" s="262"/>
      <c r="D70" s="162" t="s">
        <v>23</v>
      </c>
      <c r="E70" s="196"/>
      <c r="F70" s="326"/>
      <c r="G70" s="261">
        <f>G71-G72</f>
        <v>26</v>
      </c>
    </row>
    <row r="71" spans="2:7" ht="12.75" customHeight="1">
      <c r="B71" s="236"/>
      <c r="C71" s="262"/>
      <c r="D71" s="162" t="s">
        <v>78</v>
      </c>
      <c r="E71" s="196"/>
      <c r="F71" s="326"/>
      <c r="G71" s="261">
        <v>26</v>
      </c>
    </row>
    <row r="72" spans="2:7" ht="12.75" customHeight="1">
      <c r="B72" s="233"/>
      <c r="C72" s="262"/>
      <c r="D72" s="162" t="s">
        <v>116</v>
      </c>
      <c r="E72" s="196"/>
      <c r="F72" s="326"/>
      <c r="G72" s="261">
        <v>0</v>
      </c>
    </row>
    <row r="73" spans="2:7" ht="12.75" customHeight="1">
      <c r="B73" s="236"/>
      <c r="C73" s="262"/>
      <c r="D73" s="162" t="s">
        <v>24</v>
      </c>
      <c r="E73" s="196"/>
      <c r="F73" s="326"/>
      <c r="G73" s="261">
        <f>G74-G75</f>
        <v>0</v>
      </c>
    </row>
    <row r="74" spans="2:7" ht="12.75" customHeight="1">
      <c r="B74" s="236"/>
      <c r="C74" s="262"/>
      <c r="D74" s="162" t="s">
        <v>117</v>
      </c>
      <c r="E74" s="196"/>
      <c r="F74" s="326"/>
      <c r="G74" s="261">
        <v>0</v>
      </c>
    </row>
    <row r="75" spans="2:7" ht="12.75" customHeight="1">
      <c r="B75" s="236"/>
      <c r="C75" s="262"/>
      <c r="D75" s="162" t="s">
        <v>118</v>
      </c>
      <c r="E75" s="196"/>
      <c r="F75" s="326"/>
      <c r="G75" s="261">
        <v>0</v>
      </c>
    </row>
    <row r="76" spans="2:7" ht="12.75" customHeight="1">
      <c r="B76" s="236"/>
      <c r="C76" s="162"/>
      <c r="D76" s="162" t="s">
        <v>80</v>
      </c>
      <c r="E76" s="196"/>
      <c r="F76" s="326"/>
      <c r="G76" s="261">
        <f>F27</f>
        <v>223</v>
      </c>
    </row>
    <row r="77" spans="2:7" ht="12.75" customHeight="1">
      <c r="B77" s="236"/>
      <c r="C77" s="162"/>
      <c r="D77" s="162"/>
      <c r="E77" s="196"/>
      <c r="F77" s="326"/>
      <c r="G77" s="258"/>
    </row>
    <row r="78" spans="2:7" ht="12.75" customHeight="1">
      <c r="B78" s="257">
        <v>20</v>
      </c>
      <c r="C78" s="430" t="s">
        <v>130</v>
      </c>
      <c r="D78" s="430"/>
      <c r="E78" s="196"/>
      <c r="F78" s="326"/>
      <c r="G78" s="284">
        <f>G79+G80+G83+G84+G85</f>
        <v>-2635</v>
      </c>
    </row>
    <row r="79" spans="2:7" ht="12.75">
      <c r="B79" s="236"/>
      <c r="C79" s="162"/>
      <c r="D79" s="162" t="s">
        <v>81</v>
      </c>
      <c r="E79" s="286"/>
      <c r="F79" s="340"/>
      <c r="G79" s="261">
        <f>F28</f>
        <v>-2910</v>
      </c>
    </row>
    <row r="80" spans="2:7" ht="12.75">
      <c r="B80" s="236"/>
      <c r="C80" s="162"/>
      <c r="D80" s="162" t="s">
        <v>82</v>
      </c>
      <c r="E80" s="196"/>
      <c r="F80" s="326"/>
      <c r="G80" s="261">
        <f>G81+G82</f>
        <v>0</v>
      </c>
    </row>
    <row r="81" spans="2:7" ht="12.75">
      <c r="B81" s="236"/>
      <c r="C81" s="162"/>
      <c r="D81" s="162" t="s">
        <v>95</v>
      </c>
      <c r="E81" s="196"/>
      <c r="F81" s="326"/>
      <c r="G81" s="261">
        <v>0</v>
      </c>
    </row>
    <row r="82" spans="2:7" ht="12.75">
      <c r="B82" s="236"/>
      <c r="C82" s="162"/>
      <c r="D82" s="162" t="s">
        <v>96</v>
      </c>
      <c r="E82" s="196"/>
      <c r="F82" s="326"/>
      <c r="G82" s="261">
        <v>0</v>
      </c>
    </row>
    <row r="83" spans="2:7" ht="12.75">
      <c r="B83" s="236"/>
      <c r="C83" s="162"/>
      <c r="D83" s="162" t="s">
        <v>83</v>
      </c>
      <c r="E83" s="196"/>
      <c r="F83" s="326"/>
      <c r="G83" s="261">
        <v>0</v>
      </c>
    </row>
    <row r="84" spans="2:7" ht="12.75">
      <c r="B84" s="236"/>
      <c r="C84" s="162"/>
      <c r="D84" s="162" t="s">
        <v>84</v>
      </c>
      <c r="E84" s="196"/>
      <c r="F84" s="326"/>
      <c r="G84" s="261">
        <v>0</v>
      </c>
    </row>
    <row r="85" spans="2:7" ht="12.75">
      <c r="B85" s="236"/>
      <c r="C85" s="162"/>
      <c r="D85" s="162" t="s">
        <v>166</v>
      </c>
      <c r="E85" s="196"/>
      <c r="F85" s="326"/>
      <c r="G85" s="261">
        <v>275</v>
      </c>
    </row>
    <row r="86" spans="2:7" ht="12.75">
      <c r="B86" s="236"/>
      <c r="C86" s="162"/>
      <c r="D86" s="162"/>
      <c r="E86" s="196"/>
      <c r="F86" s="326"/>
      <c r="G86" s="261"/>
    </row>
    <row r="87" spans="2:7" ht="12.75">
      <c r="B87" s="257">
        <v>21</v>
      </c>
      <c r="C87" s="430" t="s">
        <v>134</v>
      </c>
      <c r="D87" s="430"/>
      <c r="E87" s="196"/>
      <c r="F87" s="326"/>
      <c r="G87" s="284">
        <f>G88+G89</f>
        <v>-155</v>
      </c>
    </row>
    <row r="88" spans="2:7" ht="12.75">
      <c r="B88" s="236"/>
      <c r="C88" s="162"/>
      <c r="D88" s="162" t="s">
        <v>159</v>
      </c>
      <c r="E88" s="196"/>
      <c r="F88" s="326"/>
      <c r="G88" s="261">
        <f>-G63</f>
        <v>-71</v>
      </c>
    </row>
    <row r="89" spans="2:7" ht="12.75">
      <c r="B89" s="236"/>
      <c r="C89" s="162"/>
      <c r="D89" s="162" t="s">
        <v>160</v>
      </c>
      <c r="E89" s="196"/>
      <c r="F89" s="326"/>
      <c r="G89" s="261">
        <f>G91-(G66+G68+G78)-G88</f>
        <v>-84</v>
      </c>
    </row>
    <row r="90" spans="2:7" ht="12.75">
      <c r="B90" s="236"/>
      <c r="C90" s="162"/>
      <c r="D90" s="162"/>
      <c r="E90" s="196"/>
      <c r="F90" s="326"/>
      <c r="G90" s="261"/>
    </row>
    <row r="91" spans="2:7" ht="12.75">
      <c r="B91" s="244">
        <v>22</v>
      </c>
      <c r="C91" s="275" t="s">
        <v>176</v>
      </c>
      <c r="D91" s="275"/>
      <c r="E91" s="277"/>
      <c r="F91" s="341"/>
      <c r="G91" s="279">
        <v>414</v>
      </c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8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</sheetData>
  <mergeCells count="21">
    <mergeCell ref="C66:D66"/>
    <mergeCell ref="C78:D78"/>
    <mergeCell ref="C87:D87"/>
    <mergeCell ref="C49:D49"/>
    <mergeCell ref="C52:D52"/>
    <mergeCell ref="C56:D56"/>
    <mergeCell ref="C58:D58"/>
    <mergeCell ref="C60:D60"/>
    <mergeCell ref="C65:D65"/>
    <mergeCell ref="C43:D43"/>
    <mergeCell ref="C3:D3"/>
    <mergeCell ref="C4:D4"/>
    <mergeCell ref="C14:D14"/>
    <mergeCell ref="C24:D24"/>
    <mergeCell ref="C26:D26"/>
    <mergeCell ref="C30:D30"/>
    <mergeCell ref="C32:D32"/>
    <mergeCell ref="C33:D33"/>
    <mergeCell ref="C34:D34"/>
    <mergeCell ref="C36:D36"/>
    <mergeCell ref="C38:D38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1"/>
  <rowBreaks count="1" manualBreakCount="1">
    <brk id="51" min="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:N142"/>
  <sheetViews>
    <sheetView showGridLines="0" view="pageBreakPreview" zoomScale="80" zoomScaleSheetLayoutView="80" workbookViewId="0" topLeftCell="B1">
      <selection activeCell="H73" sqref="H73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customWidth="1"/>
    <col min="5" max="5" width="9.8515625" style="40" customWidth="1"/>
    <col min="6" max="6" width="10.421875" style="40" customWidth="1"/>
    <col min="7" max="7" width="10.57421875" style="42" customWidth="1"/>
    <col min="8" max="8" width="33.57421875" style="42" customWidth="1"/>
    <col min="9" max="16384" width="9.140625" style="1" customWidth="1"/>
  </cols>
  <sheetData>
    <row r="1" spans="2:8" s="31" customFormat="1" ht="15">
      <c r="B1" s="289"/>
      <c r="C1" s="290" t="s">
        <v>212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417"/>
      <c r="C3" s="441" t="s">
        <v>136</v>
      </c>
      <c r="D3" s="441"/>
      <c r="E3" s="418" t="s">
        <v>204</v>
      </c>
      <c r="F3" s="418" t="s">
        <v>205</v>
      </c>
      <c r="G3" s="419" t="s">
        <v>206</v>
      </c>
      <c r="H3" s="107"/>
    </row>
    <row r="4" spans="2:8" ht="12.75" customHeight="1">
      <c r="B4" s="233">
        <v>1</v>
      </c>
      <c r="C4" s="429" t="s">
        <v>119</v>
      </c>
      <c r="D4" s="429"/>
      <c r="E4" s="234">
        <f>E5+E6+E12</f>
        <v>6059534</v>
      </c>
      <c r="F4" s="234">
        <f>F5+F6+F12</f>
        <v>6008500</v>
      </c>
      <c r="G4" s="234">
        <f aca="true" t="shared" si="0" ref="G4:G13">F4-E4</f>
        <v>-51034</v>
      </c>
      <c r="H4" s="115"/>
    </row>
    <row r="5" spans="2:8" ht="12.75" customHeight="1">
      <c r="B5" s="236"/>
      <c r="C5" s="406" t="s">
        <v>0</v>
      </c>
      <c r="D5" s="406" t="s">
        <v>29</v>
      </c>
      <c r="E5" s="238">
        <v>4527968</v>
      </c>
      <c r="F5" s="238">
        <v>4436791</v>
      </c>
      <c r="G5" s="261">
        <f t="shared" si="0"/>
        <v>-91177</v>
      </c>
      <c r="H5" s="38"/>
    </row>
    <row r="6" spans="2:8" ht="12.75" customHeight="1">
      <c r="B6" s="236"/>
      <c r="C6" s="406"/>
      <c r="D6" s="406" t="s">
        <v>30</v>
      </c>
      <c r="E6" s="238">
        <f>E7+E8+E9+E10+E11</f>
        <v>14350</v>
      </c>
      <c r="F6" s="238">
        <f>F7+F8+F9+F10+F11</f>
        <v>12709</v>
      </c>
      <c r="G6" s="261">
        <f t="shared" si="0"/>
        <v>-1641</v>
      </c>
      <c r="H6" s="38"/>
    </row>
    <row r="7" spans="2:12" ht="12.75" customHeight="1">
      <c r="B7" s="236"/>
      <c r="C7" s="406"/>
      <c r="D7" s="405" t="s">
        <v>44</v>
      </c>
      <c r="E7" s="238">
        <v>0</v>
      </c>
      <c r="F7" s="238">
        <v>205</v>
      </c>
      <c r="G7" s="261">
        <f t="shared" si="0"/>
        <v>205</v>
      </c>
      <c r="H7" s="38"/>
      <c r="L7" s="2"/>
    </row>
    <row r="8" spans="2:8" ht="12.75" customHeight="1">
      <c r="B8" s="236"/>
      <c r="C8" s="406"/>
      <c r="D8" s="405" t="s">
        <v>40</v>
      </c>
      <c r="E8" s="238">
        <v>6923</v>
      </c>
      <c r="F8" s="238">
        <v>9039</v>
      </c>
      <c r="G8" s="261">
        <f t="shared" si="0"/>
        <v>2116</v>
      </c>
      <c r="H8" s="38"/>
    </row>
    <row r="9" spans="2:8" ht="12.75" customHeight="1">
      <c r="B9" s="236"/>
      <c r="C9" s="406"/>
      <c r="D9" s="405" t="s">
        <v>41</v>
      </c>
      <c r="E9" s="238">
        <v>0</v>
      </c>
      <c r="F9" s="238">
        <v>4</v>
      </c>
      <c r="G9" s="261">
        <f t="shared" si="0"/>
        <v>4</v>
      </c>
      <c r="H9" s="38"/>
    </row>
    <row r="10" spans="2:8" ht="12.75" customHeight="1">
      <c r="B10" s="236"/>
      <c r="C10" s="406"/>
      <c r="D10" s="405" t="s">
        <v>42</v>
      </c>
      <c r="E10" s="238">
        <v>2970</v>
      </c>
      <c r="F10" s="238">
        <v>676</v>
      </c>
      <c r="G10" s="261">
        <f t="shared" si="0"/>
        <v>-2294</v>
      </c>
      <c r="H10" s="38"/>
    </row>
    <row r="11" spans="2:8" ht="12.75" customHeight="1">
      <c r="B11" s="236"/>
      <c r="C11" s="406"/>
      <c r="D11" s="405" t="s">
        <v>43</v>
      </c>
      <c r="E11" s="238">
        <v>4457</v>
      </c>
      <c r="F11" s="238">
        <v>2785</v>
      </c>
      <c r="G11" s="261">
        <f t="shared" si="0"/>
        <v>-1672</v>
      </c>
      <c r="H11" s="38"/>
    </row>
    <row r="12" spans="2:8" ht="12.75" customHeight="1">
      <c r="B12" s="236"/>
      <c r="C12" s="406"/>
      <c r="D12" s="406" t="s">
        <v>67</v>
      </c>
      <c r="E12" s="238">
        <v>1517216</v>
      </c>
      <c r="F12" s="238">
        <f>2502500-943500</f>
        <v>1559000</v>
      </c>
      <c r="G12" s="261">
        <f t="shared" si="0"/>
        <v>41784</v>
      </c>
      <c r="H12" s="38"/>
    </row>
    <row r="13" spans="2:8" ht="51">
      <c r="B13" s="233"/>
      <c r="C13" s="406"/>
      <c r="D13" s="406" t="s">
        <v>267</v>
      </c>
      <c r="E13" s="392">
        <v>75507</v>
      </c>
      <c r="F13" s="392">
        <v>75507</v>
      </c>
      <c r="G13" s="393">
        <f t="shared" si="0"/>
        <v>0</v>
      </c>
      <c r="H13" s="38"/>
    </row>
    <row r="14" spans="2:8" ht="12.75" customHeight="1">
      <c r="B14" s="236"/>
      <c r="C14" s="406"/>
      <c r="D14" s="406"/>
      <c r="E14" s="238"/>
      <c r="F14" s="238"/>
      <c r="G14" s="261"/>
      <c r="H14" s="38"/>
    </row>
    <row r="15" spans="2:8" ht="12.75" customHeight="1">
      <c r="B15" s="233">
        <v>2</v>
      </c>
      <c r="C15" s="429" t="s">
        <v>120</v>
      </c>
      <c r="D15" s="429"/>
      <c r="E15" s="243">
        <f>E16+E22</f>
        <v>6026075</v>
      </c>
      <c r="F15" s="243">
        <f>F16+F22</f>
        <v>5950438</v>
      </c>
      <c r="G15" s="243">
        <f aca="true" t="shared" si="1" ref="G15:G24">F15-E15</f>
        <v>-75637</v>
      </c>
      <c r="H15" s="115"/>
    </row>
    <row r="16" spans="2:8" ht="12.75" customHeight="1">
      <c r="B16" s="236"/>
      <c r="C16" s="406" t="s">
        <v>0</v>
      </c>
      <c r="D16" s="406" t="s">
        <v>32</v>
      </c>
      <c r="E16" s="238">
        <f>E17+E18+E19+E21</f>
        <v>6018680</v>
      </c>
      <c r="F16" s="238">
        <f>F17+F18+F19+F21</f>
        <v>5944690</v>
      </c>
      <c r="G16" s="261">
        <f t="shared" si="1"/>
        <v>-73990</v>
      </c>
      <c r="H16" s="38"/>
    </row>
    <row r="17" spans="2:8" ht="12.75" customHeight="1">
      <c r="B17" s="236"/>
      <c r="C17" s="406"/>
      <c r="D17" s="405" t="s">
        <v>34</v>
      </c>
      <c r="E17" s="238">
        <f>58651+21997</f>
        <v>80648</v>
      </c>
      <c r="F17" s="238">
        <f>57318+22067</f>
        <v>79385</v>
      </c>
      <c r="G17" s="261">
        <f t="shared" si="1"/>
        <v>-1263</v>
      </c>
      <c r="H17" s="38"/>
    </row>
    <row r="18" spans="2:14" ht="12.75" customHeight="1">
      <c r="B18" s="236"/>
      <c r="C18" s="406"/>
      <c r="D18" s="405" t="s">
        <v>35</v>
      </c>
      <c r="E18" s="238">
        <v>47874</v>
      </c>
      <c r="F18" s="238">
        <v>48610</v>
      </c>
      <c r="G18" s="261">
        <f t="shared" si="1"/>
        <v>736</v>
      </c>
      <c r="H18" s="38"/>
      <c r="N18" s="2"/>
    </row>
    <row r="19" spans="2:8" ht="12.75" customHeight="1">
      <c r="B19" s="236"/>
      <c r="C19" s="406"/>
      <c r="D19" s="405" t="s">
        <v>36</v>
      </c>
      <c r="E19" s="238">
        <v>5890158</v>
      </c>
      <c r="F19" s="238">
        <f>6760195-943500</f>
        <v>5816695</v>
      </c>
      <c r="G19" s="261">
        <f t="shared" si="1"/>
        <v>-73463</v>
      </c>
      <c r="H19" s="38"/>
    </row>
    <row r="20" spans="2:8" ht="12.75" customHeight="1">
      <c r="B20" s="236"/>
      <c r="C20" s="406"/>
      <c r="D20" s="405" t="s">
        <v>48</v>
      </c>
      <c r="E20" s="238">
        <v>0</v>
      </c>
      <c r="F20" s="238">
        <f>338785+4436398+39203+808112+150339+1921</f>
        <v>5774758</v>
      </c>
      <c r="G20" s="261">
        <f t="shared" si="1"/>
        <v>5774758</v>
      </c>
      <c r="H20" s="38"/>
    </row>
    <row r="21" spans="2:8" ht="12.75" customHeight="1">
      <c r="B21" s="236"/>
      <c r="C21" s="406"/>
      <c r="D21" s="405" t="s">
        <v>37</v>
      </c>
      <c r="E21" s="238">
        <v>0</v>
      </c>
      <c r="F21" s="238">
        <v>0</v>
      </c>
      <c r="G21" s="261">
        <f t="shared" si="1"/>
        <v>0</v>
      </c>
      <c r="H21" s="38"/>
    </row>
    <row r="22" spans="2:8" ht="12.75" customHeight="1">
      <c r="B22" s="236"/>
      <c r="C22" s="406"/>
      <c r="D22" s="406" t="s">
        <v>33</v>
      </c>
      <c r="E22" s="238">
        <f>E23+E24</f>
        <v>7395</v>
      </c>
      <c r="F22" s="238">
        <f>F23+F24</f>
        <v>5748</v>
      </c>
      <c r="G22" s="261">
        <f t="shared" si="1"/>
        <v>-1647</v>
      </c>
      <c r="H22" s="38"/>
    </row>
    <row r="23" spans="2:8" ht="12.75" customHeight="1">
      <c r="B23" s="233"/>
      <c r="C23" s="406"/>
      <c r="D23" s="405" t="s">
        <v>38</v>
      </c>
      <c r="E23" s="238">
        <v>7395</v>
      </c>
      <c r="F23" s="238">
        <v>5748</v>
      </c>
      <c r="G23" s="261">
        <f t="shared" si="1"/>
        <v>-1647</v>
      </c>
      <c r="H23" s="38"/>
    </row>
    <row r="24" spans="2:8" ht="12.75" customHeight="1">
      <c r="B24" s="236"/>
      <c r="C24" s="406"/>
      <c r="D24" s="405" t="s">
        <v>39</v>
      </c>
      <c r="E24" s="238">
        <v>0</v>
      </c>
      <c r="F24" s="238">
        <v>0</v>
      </c>
      <c r="G24" s="261">
        <f t="shared" si="1"/>
        <v>0</v>
      </c>
      <c r="H24" s="38"/>
    </row>
    <row r="25" spans="2:8" ht="12.75" customHeight="1">
      <c r="B25" s="233"/>
      <c r="C25" s="406"/>
      <c r="D25" s="406"/>
      <c r="E25" s="243"/>
      <c r="F25" s="370"/>
      <c r="G25" s="258"/>
      <c r="H25" s="78"/>
    </row>
    <row r="26" spans="2:8" ht="12.75" customHeight="1">
      <c r="B26" s="244">
        <v>3</v>
      </c>
      <c r="C26" s="434" t="s">
        <v>121</v>
      </c>
      <c r="D26" s="435"/>
      <c r="E26" s="245">
        <f>E4-E15</f>
        <v>33459</v>
      </c>
      <c r="F26" s="245">
        <f>F4-F15</f>
        <v>58062</v>
      </c>
      <c r="G26" s="245">
        <f>F26-E26</f>
        <v>24603</v>
      </c>
      <c r="H26" s="115"/>
    </row>
    <row r="27" spans="2:8" ht="12.75" customHeight="1">
      <c r="B27" s="236"/>
      <c r="C27" s="406"/>
      <c r="D27" s="406"/>
      <c r="E27" s="238"/>
      <c r="F27" s="370"/>
      <c r="G27" s="258"/>
      <c r="H27" s="78"/>
    </row>
    <row r="28" spans="2:8" ht="12.75" customHeight="1">
      <c r="B28" s="233">
        <v>4</v>
      </c>
      <c r="C28" s="430" t="s">
        <v>167</v>
      </c>
      <c r="D28" s="430"/>
      <c r="E28" s="243">
        <f>E29+E30</f>
        <v>8674</v>
      </c>
      <c r="F28" s="243">
        <f>F29+F30+F31</f>
        <v>19652</v>
      </c>
      <c r="G28" s="243">
        <f>F28-E28</f>
        <v>10978</v>
      </c>
      <c r="H28" s="115"/>
    </row>
    <row r="29" spans="2:8" ht="12.75" customHeight="1">
      <c r="B29" s="233"/>
      <c r="C29" s="406" t="s">
        <v>0</v>
      </c>
      <c r="D29" s="406" t="s">
        <v>76</v>
      </c>
      <c r="E29" s="238">
        <v>8674</v>
      </c>
      <c r="F29" s="238">
        <v>7588</v>
      </c>
      <c r="G29" s="261">
        <f aca="true" t="shared" si="2" ref="G29:G31">F29-E29</f>
        <v>-1086</v>
      </c>
      <c r="H29" s="38"/>
    </row>
    <row r="30" spans="2:8" ht="12.75" customHeight="1">
      <c r="B30" s="236"/>
      <c r="C30" s="406"/>
      <c r="D30" s="406" t="s">
        <v>7</v>
      </c>
      <c r="E30" s="238">
        <v>0</v>
      </c>
      <c r="F30" s="238">
        <v>2011</v>
      </c>
      <c r="G30" s="261">
        <f t="shared" si="2"/>
        <v>2011</v>
      </c>
      <c r="H30" s="112"/>
    </row>
    <row r="31" spans="2:8" ht="13.5" customHeight="1">
      <c r="B31" s="233"/>
      <c r="C31" s="406"/>
      <c r="D31" s="406" t="s">
        <v>189</v>
      </c>
      <c r="E31" s="238">
        <v>0</v>
      </c>
      <c r="F31" s="238">
        <v>10053</v>
      </c>
      <c r="G31" s="261">
        <f t="shared" si="2"/>
        <v>10053</v>
      </c>
      <c r="H31" s="47"/>
    </row>
    <row r="32" spans="2:8" ht="12.75" customHeight="1">
      <c r="B32" s="236"/>
      <c r="C32" s="406"/>
      <c r="D32" s="406"/>
      <c r="E32" s="238"/>
      <c r="F32" s="238"/>
      <c r="G32" s="356"/>
      <c r="H32" s="47"/>
    </row>
    <row r="33" spans="2:14" ht="12.75" customHeight="1">
      <c r="B33" s="233">
        <v>5</v>
      </c>
      <c r="C33" s="433" t="s">
        <v>280</v>
      </c>
      <c r="D33" s="433"/>
      <c r="E33" s="243">
        <f>E35</f>
        <v>-35100</v>
      </c>
      <c r="F33" s="243">
        <f>F34+F35</f>
        <v>-10417</v>
      </c>
      <c r="G33" s="243">
        <f>F33-E33</f>
        <v>24683</v>
      </c>
      <c r="H33" s="115"/>
      <c r="I33" s="27"/>
      <c r="J33" s="28"/>
      <c r="K33" s="28"/>
      <c r="L33" s="28"/>
      <c r="M33" s="28"/>
      <c r="N33" s="28"/>
    </row>
    <row r="34" spans="2:8" ht="25.5">
      <c r="B34" s="236"/>
      <c r="C34" s="406"/>
      <c r="D34" s="406" t="s">
        <v>268</v>
      </c>
      <c r="E34" s="261">
        <v>0</v>
      </c>
      <c r="F34" s="238">
        <v>-9252</v>
      </c>
      <c r="G34" s="261">
        <f aca="true" t="shared" si="3" ref="G34:G35">F34-E34</f>
        <v>-9252</v>
      </c>
      <c r="H34" s="47"/>
    </row>
    <row r="35" spans="2:8" ht="25.5">
      <c r="B35" s="236"/>
      <c r="C35" s="406"/>
      <c r="D35" s="394" t="s">
        <v>269</v>
      </c>
      <c r="E35" s="261">
        <v>-35100</v>
      </c>
      <c r="F35" s="238">
        <v>-1165</v>
      </c>
      <c r="G35" s="261">
        <f t="shared" si="3"/>
        <v>33935</v>
      </c>
      <c r="H35" s="112"/>
    </row>
    <row r="36" spans="2:8" ht="12.75" customHeight="1">
      <c r="B36" s="236"/>
      <c r="C36" s="406"/>
      <c r="D36" s="394"/>
      <c r="E36" s="261"/>
      <c r="F36" s="238"/>
      <c r="G36" s="357"/>
      <c r="H36" s="112"/>
    </row>
    <row r="37" spans="2:8" ht="12.75" customHeight="1">
      <c r="B37" s="236"/>
      <c r="C37" s="406"/>
      <c r="D37" s="394"/>
      <c r="E37" s="261"/>
      <c r="F37" s="238"/>
      <c r="G37" s="357"/>
      <c r="H37" s="112"/>
    </row>
    <row r="38" spans="2:8" ht="12.75" customHeight="1">
      <c r="B38" s="244">
        <v>6</v>
      </c>
      <c r="C38" s="434" t="s">
        <v>123</v>
      </c>
      <c r="D38" s="435"/>
      <c r="E38" s="245">
        <f>E26+E28+E33</f>
        <v>7033</v>
      </c>
      <c r="F38" s="245">
        <f>F26+F28+F33</f>
        <v>67297</v>
      </c>
      <c r="G38" s="245">
        <f>F38-E38</f>
        <v>60264</v>
      </c>
      <c r="H38" s="115"/>
    </row>
    <row r="39" spans="2:10" ht="12.75" customHeight="1">
      <c r="B39" s="236"/>
      <c r="C39" s="433" t="s">
        <v>5</v>
      </c>
      <c r="D39" s="433"/>
      <c r="E39" s="238">
        <f>E4+E30+E29</f>
        <v>6068208</v>
      </c>
      <c r="F39" s="238">
        <f>F4+F30+F29</f>
        <v>6018099</v>
      </c>
      <c r="G39" s="261">
        <f aca="true" t="shared" si="4" ref="G39:G40">F39-E39</f>
        <v>-50109</v>
      </c>
      <c r="H39" s="47"/>
      <c r="J39" s="2"/>
    </row>
    <row r="40" spans="2:8" ht="12.75" customHeight="1">
      <c r="B40" s="251"/>
      <c r="C40" s="436" t="s">
        <v>6</v>
      </c>
      <c r="D40" s="436"/>
      <c r="E40" s="252">
        <f>E15-E31-E34-E35</f>
        <v>6061175</v>
      </c>
      <c r="F40" s="252">
        <f>F15-F31-F34-F35</f>
        <v>5950802</v>
      </c>
      <c r="G40" s="261">
        <f t="shared" si="4"/>
        <v>-110373</v>
      </c>
      <c r="H40" s="47"/>
    </row>
    <row r="41" spans="2:9" ht="12.75" customHeight="1" thickBot="1">
      <c r="B41" s="332"/>
      <c r="C41" s="332"/>
      <c r="D41" s="332"/>
      <c r="E41" s="334"/>
      <c r="F41" s="334"/>
      <c r="G41" s="335"/>
      <c r="H41" s="47"/>
      <c r="I41" s="3"/>
    </row>
    <row r="42" spans="2:8" ht="26.25" thickTop="1">
      <c r="B42" s="420"/>
      <c r="C42" s="440" t="s">
        <v>155</v>
      </c>
      <c r="D42" s="440"/>
      <c r="E42" s="415"/>
      <c r="F42" s="415"/>
      <c r="G42" s="416" t="s">
        <v>205</v>
      </c>
      <c r="H42" s="109"/>
    </row>
    <row r="43" spans="2:8" ht="12.75" customHeight="1">
      <c r="B43" s="257">
        <v>7</v>
      </c>
      <c r="C43" s="271" t="s">
        <v>133</v>
      </c>
      <c r="D43" s="271"/>
      <c r="E43" s="196"/>
      <c r="F43" s="321"/>
      <c r="G43" s="284">
        <f>G48-G44+G66</f>
        <v>48810</v>
      </c>
      <c r="H43" s="110"/>
    </row>
    <row r="44" spans="2:8" ht="12.75" customHeight="1">
      <c r="B44" s="259">
        <v>8</v>
      </c>
      <c r="C44" s="432" t="s">
        <v>143</v>
      </c>
      <c r="D44" s="432"/>
      <c r="E44" s="196"/>
      <c r="F44" s="321"/>
      <c r="G44" s="260">
        <f>G45+G46+G47</f>
        <v>99</v>
      </c>
      <c r="H44" s="111"/>
    </row>
    <row r="45" spans="2:8" ht="26.25" customHeight="1">
      <c r="B45" s="236"/>
      <c r="C45" s="404"/>
      <c r="D45" s="346" t="s">
        <v>101</v>
      </c>
      <c r="E45" s="347"/>
      <c r="F45" s="348"/>
      <c r="G45" s="261">
        <v>0</v>
      </c>
      <c r="H45" s="38"/>
    </row>
    <row r="46" spans="2:8" ht="12.75" customHeight="1">
      <c r="B46" s="236"/>
      <c r="C46" s="404"/>
      <c r="D46" s="162" t="s">
        <v>102</v>
      </c>
      <c r="E46" s="196"/>
      <c r="F46" s="321"/>
      <c r="G46" s="261">
        <v>99</v>
      </c>
      <c r="H46" s="38"/>
    </row>
    <row r="47" spans="2:8" ht="26.25" customHeight="1">
      <c r="B47" s="251"/>
      <c r="C47" s="398"/>
      <c r="D47" s="395" t="s">
        <v>114</v>
      </c>
      <c r="E47" s="396"/>
      <c r="F47" s="397"/>
      <c r="G47" s="296">
        <v>0</v>
      </c>
      <c r="H47" s="38"/>
    </row>
    <row r="48" spans="2:8" ht="12.75" customHeight="1">
      <c r="B48" s="323">
        <v>9</v>
      </c>
      <c r="C48" s="451" t="s">
        <v>142</v>
      </c>
      <c r="D48" s="451"/>
      <c r="E48" s="269"/>
      <c r="F48" s="324"/>
      <c r="G48" s="345">
        <f>G49+G50+G51</f>
        <v>44053</v>
      </c>
      <c r="H48" s="111"/>
    </row>
    <row r="49" spans="2:8" ht="12.75" customHeight="1">
      <c r="B49" s="236"/>
      <c r="C49" s="162"/>
      <c r="D49" s="162" t="s">
        <v>22</v>
      </c>
      <c r="E49" s="196"/>
      <c r="F49" s="336"/>
      <c r="G49" s="239">
        <v>0</v>
      </c>
      <c r="H49" s="38"/>
    </row>
    <row r="50" spans="2:8" ht="12.75" customHeight="1">
      <c r="B50" s="236"/>
      <c r="C50" s="162"/>
      <c r="D50" s="162" t="s">
        <v>106</v>
      </c>
      <c r="E50" s="196"/>
      <c r="F50" s="321"/>
      <c r="G50" s="261">
        <v>44053</v>
      </c>
      <c r="H50" s="38"/>
    </row>
    <row r="51" spans="2:8" ht="12.75" customHeight="1">
      <c r="B51" s="236"/>
      <c r="C51" s="162"/>
      <c r="D51" s="162" t="s">
        <v>107</v>
      </c>
      <c r="E51" s="196"/>
      <c r="F51" s="321"/>
      <c r="G51" s="261">
        <v>0</v>
      </c>
      <c r="H51" s="38"/>
    </row>
    <row r="52" spans="2:8" ht="12.75" customHeight="1">
      <c r="B52" s="236"/>
      <c r="C52" s="162"/>
      <c r="D52" s="162"/>
      <c r="E52" s="196"/>
      <c r="F52" s="321"/>
      <c r="G52" s="261"/>
      <c r="H52" s="38"/>
    </row>
    <row r="53" spans="2:8" ht="12.75" customHeight="1">
      <c r="B53" s="257">
        <v>10</v>
      </c>
      <c r="C53" s="271" t="s">
        <v>124</v>
      </c>
      <c r="D53" s="271"/>
      <c r="E53" s="196"/>
      <c r="F53" s="321"/>
      <c r="G53" s="284">
        <f>G54-G58</f>
        <v>0</v>
      </c>
      <c r="H53" s="110"/>
    </row>
    <row r="54" spans="2:8" ht="12.75" customHeight="1">
      <c r="B54" s="259">
        <v>11</v>
      </c>
      <c r="C54" s="432" t="s">
        <v>141</v>
      </c>
      <c r="D54" s="432"/>
      <c r="E54" s="196"/>
      <c r="F54" s="321"/>
      <c r="G54" s="260">
        <f>G55+G56</f>
        <v>0</v>
      </c>
      <c r="H54" s="111"/>
    </row>
    <row r="55" spans="2:8" ht="12.75" customHeight="1">
      <c r="B55" s="259"/>
      <c r="C55" s="162"/>
      <c r="D55" s="162" t="s">
        <v>115</v>
      </c>
      <c r="E55" s="196"/>
      <c r="F55" s="321"/>
      <c r="G55" s="261">
        <v>0</v>
      </c>
      <c r="H55" s="38"/>
    </row>
    <row r="56" spans="2:8" ht="12.75" customHeight="1">
      <c r="B56" s="259"/>
      <c r="C56" s="162"/>
      <c r="D56" s="162" t="s">
        <v>109</v>
      </c>
      <c r="E56" s="196"/>
      <c r="F56" s="321"/>
      <c r="G56" s="261">
        <v>0</v>
      </c>
      <c r="H56" s="38"/>
    </row>
    <row r="57" spans="2:8" ht="12.75" customHeight="1">
      <c r="B57" s="259"/>
      <c r="C57" s="162"/>
      <c r="D57" s="162"/>
      <c r="E57" s="196"/>
      <c r="F57" s="321"/>
      <c r="G57" s="261"/>
      <c r="H57" s="38"/>
    </row>
    <row r="58" spans="2:8" ht="12.75" customHeight="1">
      <c r="B58" s="259">
        <v>12</v>
      </c>
      <c r="C58" s="432" t="s">
        <v>140</v>
      </c>
      <c r="D58" s="432"/>
      <c r="E58" s="196"/>
      <c r="F58" s="321"/>
      <c r="G58" s="260">
        <f>G59+G60</f>
        <v>0</v>
      </c>
      <c r="H58" s="111"/>
    </row>
    <row r="59" spans="2:8" ht="26.25" customHeight="1">
      <c r="B59" s="236"/>
      <c r="C59" s="162"/>
      <c r="D59" s="346" t="s">
        <v>110</v>
      </c>
      <c r="E59" s="347"/>
      <c r="F59" s="348"/>
      <c r="G59" s="261">
        <v>0</v>
      </c>
      <c r="H59" s="38"/>
    </row>
    <row r="60" spans="2:8" ht="12.75" customHeight="1">
      <c r="B60" s="236"/>
      <c r="C60" s="162"/>
      <c r="D60" s="162" t="s">
        <v>111</v>
      </c>
      <c r="E60" s="196"/>
      <c r="F60" s="321"/>
      <c r="G60" s="261">
        <v>0</v>
      </c>
      <c r="H60" s="38"/>
    </row>
    <row r="61" spans="2:8" ht="12.75" customHeight="1">
      <c r="B61" s="236"/>
      <c r="C61" s="404"/>
      <c r="D61" s="162"/>
      <c r="E61" s="196"/>
      <c r="F61" s="321"/>
      <c r="G61" s="261"/>
      <c r="H61" s="38"/>
    </row>
    <row r="62" spans="2:8" ht="12.75" customHeight="1">
      <c r="B62" s="257">
        <v>13</v>
      </c>
      <c r="C62" s="430" t="s">
        <v>125</v>
      </c>
      <c r="D62" s="430"/>
      <c r="E62" s="196"/>
      <c r="F62" s="321"/>
      <c r="G62" s="284">
        <f>F28</f>
        <v>19652</v>
      </c>
      <c r="H62" s="110"/>
    </row>
    <row r="63" spans="2:8" ht="12.75" customHeight="1">
      <c r="B63" s="236"/>
      <c r="C63" s="404"/>
      <c r="D63" s="404"/>
      <c r="E63" s="196"/>
      <c r="F63" s="321"/>
      <c r="G63" s="261"/>
      <c r="H63" s="65"/>
    </row>
    <row r="64" spans="2:8" ht="12.75" customHeight="1">
      <c r="B64" s="257">
        <v>14</v>
      </c>
      <c r="C64" s="433" t="s">
        <v>280</v>
      </c>
      <c r="D64" s="433"/>
      <c r="E64" s="196"/>
      <c r="F64" s="321"/>
      <c r="G64" s="284">
        <f>F35</f>
        <v>-1165</v>
      </c>
      <c r="H64" s="110"/>
    </row>
    <row r="65" spans="2:8" ht="12.75" customHeight="1">
      <c r="B65" s="236"/>
      <c r="C65" s="404"/>
      <c r="D65" s="162"/>
      <c r="E65" s="196"/>
      <c r="F65" s="321"/>
      <c r="G65" s="261"/>
      <c r="H65" s="38"/>
    </row>
    <row r="66" spans="2:8" ht="12.75" customHeight="1">
      <c r="B66" s="259">
        <v>15</v>
      </c>
      <c r="C66" s="432" t="s">
        <v>126</v>
      </c>
      <c r="D66" s="432"/>
      <c r="E66" s="196"/>
      <c r="F66" s="196"/>
      <c r="G66" s="260">
        <v>4856</v>
      </c>
      <c r="H66" s="111"/>
    </row>
    <row r="67" spans="2:8" ht="12.75" customHeight="1">
      <c r="B67" s="236"/>
      <c r="C67" s="264"/>
      <c r="D67" s="264"/>
      <c r="E67" s="265"/>
      <c r="F67" s="322"/>
      <c r="G67" s="266"/>
      <c r="H67" s="38"/>
    </row>
    <row r="68" spans="2:8" ht="12.75" customHeight="1">
      <c r="B68" s="244">
        <v>16</v>
      </c>
      <c r="C68" s="275" t="s">
        <v>127</v>
      </c>
      <c r="D68" s="276"/>
      <c r="E68" s="300"/>
      <c r="F68" s="325"/>
      <c r="G68" s="279">
        <f>G43-G53+G62+G64</f>
        <v>67297</v>
      </c>
      <c r="H68" s="78"/>
    </row>
    <row r="69" spans="2:8" ht="12.75" customHeight="1">
      <c r="B69" s="280">
        <v>17</v>
      </c>
      <c r="C69" s="281" t="s">
        <v>128</v>
      </c>
      <c r="D69" s="281"/>
      <c r="E69" s="265"/>
      <c r="F69" s="322"/>
      <c r="G69" s="338">
        <f>G68-F38</f>
        <v>0</v>
      </c>
      <c r="H69" s="111"/>
    </row>
    <row r="70" spans="2:8" ht="12.75" customHeight="1" thickBot="1">
      <c r="B70" s="332"/>
      <c r="C70" s="332"/>
      <c r="D70" s="332"/>
      <c r="E70" s="334"/>
      <c r="F70" s="334"/>
      <c r="G70" s="335"/>
      <c r="H70" s="47"/>
    </row>
    <row r="71" spans="2:9" ht="26.25" customHeight="1" thickTop="1">
      <c r="B71" s="420"/>
      <c r="C71" s="440" t="s">
        <v>149</v>
      </c>
      <c r="D71" s="440"/>
      <c r="E71" s="415"/>
      <c r="F71" s="415"/>
      <c r="G71" s="416" t="s">
        <v>205</v>
      </c>
      <c r="H71" s="109"/>
      <c r="I71" s="40"/>
    </row>
    <row r="72" spans="2:8" ht="12.75" customHeight="1">
      <c r="B72" s="233">
        <v>18</v>
      </c>
      <c r="C72" s="429" t="s">
        <v>135</v>
      </c>
      <c r="D72" s="429"/>
      <c r="E72" s="196"/>
      <c r="F72" s="196"/>
      <c r="G72" s="258">
        <f>F38*(-1)</f>
        <v>-67297</v>
      </c>
      <c r="H72" s="78"/>
    </row>
    <row r="73" spans="2:8" ht="12.75" customHeight="1">
      <c r="B73" s="236"/>
      <c r="C73" s="404"/>
      <c r="D73" s="404"/>
      <c r="E73" s="196"/>
      <c r="F73" s="196"/>
      <c r="G73" s="283"/>
      <c r="H73" s="79"/>
    </row>
    <row r="74" spans="2:8" ht="12.75" customHeight="1">
      <c r="B74" s="257">
        <v>19</v>
      </c>
      <c r="C74" s="271" t="s">
        <v>129</v>
      </c>
      <c r="D74" s="339"/>
      <c r="E74" s="196"/>
      <c r="F74" s="326"/>
      <c r="G74" s="284">
        <f>G75+G76+G80+G83</f>
        <v>57244</v>
      </c>
      <c r="H74" s="110"/>
    </row>
    <row r="75" spans="2:8" ht="12.75" customHeight="1">
      <c r="B75" s="236"/>
      <c r="C75" s="405"/>
      <c r="D75" s="162" t="s">
        <v>68</v>
      </c>
      <c r="E75" s="196"/>
      <c r="F75" s="326"/>
      <c r="G75" s="261">
        <f>G66</f>
        <v>4856</v>
      </c>
      <c r="H75" s="65"/>
    </row>
    <row r="76" spans="2:8" ht="12.75" customHeight="1">
      <c r="B76" s="236"/>
      <c r="C76" s="404"/>
      <c r="D76" s="162" t="s">
        <v>23</v>
      </c>
      <c r="E76" s="196"/>
      <c r="F76" s="326"/>
      <c r="G76" s="261">
        <f>G77-G78-G79</f>
        <v>42789</v>
      </c>
      <c r="H76" s="65"/>
    </row>
    <row r="77" spans="2:8" ht="12.75" customHeight="1">
      <c r="B77" s="236"/>
      <c r="C77" s="404"/>
      <c r="D77" s="162" t="s">
        <v>78</v>
      </c>
      <c r="E77" s="196"/>
      <c r="F77" s="326"/>
      <c r="G77" s="261">
        <f>G50</f>
        <v>44053</v>
      </c>
      <c r="H77" s="38"/>
    </row>
    <row r="78" spans="2:9" ht="12.75" customHeight="1">
      <c r="B78" s="233"/>
      <c r="C78" s="404"/>
      <c r="D78" s="162" t="s">
        <v>116</v>
      </c>
      <c r="E78" s="196"/>
      <c r="F78" s="326"/>
      <c r="G78" s="261">
        <f>G46</f>
        <v>99</v>
      </c>
      <c r="H78" s="38"/>
      <c r="I78" s="2"/>
    </row>
    <row r="79" spans="2:9" ht="24" customHeight="1">
      <c r="B79" s="233"/>
      <c r="C79" s="404"/>
      <c r="D79" s="346" t="s">
        <v>190</v>
      </c>
      <c r="E79" s="347"/>
      <c r="F79" s="401"/>
      <c r="G79" s="261">
        <f>-G64</f>
        <v>1165</v>
      </c>
      <c r="H79" s="38"/>
      <c r="I79" s="2"/>
    </row>
    <row r="80" spans="2:8" ht="12.75" customHeight="1">
      <c r="B80" s="236"/>
      <c r="C80" s="404"/>
      <c r="D80" s="162" t="s">
        <v>24</v>
      </c>
      <c r="E80" s="196"/>
      <c r="F80" s="326"/>
      <c r="G80" s="261">
        <f>G81-G82</f>
        <v>0</v>
      </c>
      <c r="H80" s="65"/>
    </row>
    <row r="81" spans="2:8" ht="12.75" customHeight="1">
      <c r="B81" s="236"/>
      <c r="C81" s="404"/>
      <c r="D81" s="162" t="s">
        <v>117</v>
      </c>
      <c r="E81" s="196"/>
      <c r="F81" s="326"/>
      <c r="G81" s="261">
        <v>0</v>
      </c>
      <c r="H81" s="38"/>
    </row>
    <row r="82" spans="2:8" ht="12.75" customHeight="1">
      <c r="B82" s="236"/>
      <c r="C82" s="404"/>
      <c r="D82" s="162" t="s">
        <v>118</v>
      </c>
      <c r="E82" s="196"/>
      <c r="F82" s="326"/>
      <c r="G82" s="261">
        <v>0</v>
      </c>
      <c r="H82" s="38"/>
    </row>
    <row r="83" spans="2:9" ht="12.75" customHeight="1">
      <c r="B83" s="236"/>
      <c r="C83" s="162"/>
      <c r="D83" s="162" t="s">
        <v>80</v>
      </c>
      <c r="E83" s="196"/>
      <c r="F83" s="326"/>
      <c r="G83" s="261">
        <f>F30+F29</f>
        <v>9599</v>
      </c>
      <c r="H83" s="65"/>
      <c r="I83" s="2"/>
    </row>
    <row r="84" spans="2:8" ht="12.75" customHeight="1">
      <c r="B84" s="236"/>
      <c r="C84" s="162"/>
      <c r="D84" s="162"/>
      <c r="E84" s="196"/>
      <c r="F84" s="326"/>
      <c r="G84" s="258"/>
      <c r="H84" s="78"/>
    </row>
    <row r="85" spans="2:8" ht="12.75" customHeight="1">
      <c r="B85" s="257">
        <v>20</v>
      </c>
      <c r="C85" s="430" t="s">
        <v>130</v>
      </c>
      <c r="D85" s="430"/>
      <c r="E85" s="196"/>
      <c r="F85" s="326"/>
      <c r="G85" s="284">
        <f>G86+G87+G90+G91+G92</f>
        <v>10053</v>
      </c>
      <c r="H85" s="110"/>
    </row>
    <row r="86" spans="2:8" ht="12.75" customHeight="1">
      <c r="B86" s="236"/>
      <c r="C86" s="162"/>
      <c r="D86" s="162" t="s">
        <v>81</v>
      </c>
      <c r="E86" s="286"/>
      <c r="F86" s="340"/>
      <c r="G86" s="261">
        <f>F31</f>
        <v>10053</v>
      </c>
      <c r="H86" s="38"/>
    </row>
    <row r="87" spans="2:8" ht="12.75" customHeight="1">
      <c r="B87" s="236"/>
      <c r="C87" s="162"/>
      <c r="D87" s="162" t="s">
        <v>82</v>
      </c>
      <c r="E87" s="196"/>
      <c r="F87" s="326"/>
      <c r="G87" s="261">
        <f>G88+G89</f>
        <v>0</v>
      </c>
      <c r="H87" s="65"/>
    </row>
    <row r="88" spans="2:8" ht="12.75" customHeight="1">
      <c r="B88" s="236"/>
      <c r="C88" s="162"/>
      <c r="D88" s="162" t="s">
        <v>95</v>
      </c>
      <c r="E88" s="196"/>
      <c r="F88" s="326"/>
      <c r="G88" s="261">
        <v>0</v>
      </c>
      <c r="H88" s="38"/>
    </row>
    <row r="89" spans="2:8" ht="12.75" customHeight="1">
      <c r="B89" s="236"/>
      <c r="C89" s="162"/>
      <c r="D89" s="162" t="s">
        <v>96</v>
      </c>
      <c r="E89" s="196"/>
      <c r="F89" s="326"/>
      <c r="G89" s="261">
        <v>0</v>
      </c>
      <c r="H89" s="38"/>
    </row>
    <row r="90" spans="2:8" ht="12.75" customHeight="1">
      <c r="B90" s="236"/>
      <c r="C90" s="162"/>
      <c r="D90" s="162" t="s">
        <v>83</v>
      </c>
      <c r="E90" s="196"/>
      <c r="F90" s="326"/>
      <c r="G90" s="261">
        <v>0</v>
      </c>
      <c r="H90" s="65"/>
    </row>
    <row r="91" spans="2:8" ht="12.75" customHeight="1">
      <c r="B91" s="236"/>
      <c r="C91" s="162"/>
      <c r="D91" s="162" t="s">
        <v>84</v>
      </c>
      <c r="E91" s="196"/>
      <c r="F91" s="326"/>
      <c r="G91" s="261">
        <v>0</v>
      </c>
      <c r="H91" s="65"/>
    </row>
    <row r="92" spans="2:8" ht="12.75" customHeight="1">
      <c r="B92" s="236"/>
      <c r="C92" s="162"/>
      <c r="D92" s="162" t="s">
        <v>166</v>
      </c>
      <c r="E92" s="196"/>
      <c r="F92" s="326"/>
      <c r="G92" s="261"/>
      <c r="H92" s="38"/>
    </row>
    <row r="93" spans="2:8" ht="12.75" customHeight="1">
      <c r="B93" s="236"/>
      <c r="C93" s="162"/>
      <c r="D93" s="162"/>
      <c r="E93" s="196"/>
      <c r="F93" s="326"/>
      <c r="G93" s="261"/>
      <c r="H93" s="38"/>
    </row>
    <row r="94" spans="2:8" ht="12.75" customHeight="1">
      <c r="B94" s="257">
        <v>21</v>
      </c>
      <c r="C94" s="430" t="s">
        <v>134</v>
      </c>
      <c r="D94" s="430"/>
      <c r="E94" s="196"/>
      <c r="F94" s="326"/>
      <c r="G94" s="284">
        <f>G95+G96</f>
        <v>0</v>
      </c>
      <c r="H94" s="110"/>
    </row>
    <row r="95" spans="2:8" ht="12.75" customHeight="1">
      <c r="B95" s="236"/>
      <c r="C95" s="162"/>
      <c r="D95" s="162" t="s">
        <v>159</v>
      </c>
      <c r="E95" s="196"/>
      <c r="F95" s="326"/>
      <c r="G95" s="261">
        <f>-G69</f>
        <v>0</v>
      </c>
      <c r="H95" s="38"/>
    </row>
    <row r="96" spans="2:8" ht="12.75" customHeight="1">
      <c r="B96" s="236"/>
      <c r="C96" s="162"/>
      <c r="D96" s="162" t="s">
        <v>160</v>
      </c>
      <c r="E96" s="196"/>
      <c r="F96" s="326"/>
      <c r="G96" s="261">
        <f>G98-(G72+G74+G85)-G95</f>
        <v>0</v>
      </c>
      <c r="H96" s="38"/>
    </row>
    <row r="97" spans="2:8" ht="12.75" customHeight="1">
      <c r="B97" s="236"/>
      <c r="C97" s="162"/>
      <c r="D97" s="162"/>
      <c r="E97" s="196"/>
      <c r="F97" s="326"/>
      <c r="G97" s="261"/>
      <c r="H97" s="65"/>
    </row>
    <row r="98" spans="2:8" ht="12.75" customHeight="1">
      <c r="B98" s="244">
        <v>22</v>
      </c>
      <c r="C98" s="275" t="s">
        <v>176</v>
      </c>
      <c r="D98" s="275"/>
      <c r="E98" s="277"/>
      <c r="F98" s="341"/>
      <c r="G98" s="279">
        <v>0</v>
      </c>
      <c r="H98" s="78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5:8" ht="12.75" customHeight="1">
      <c r="E121" s="1"/>
      <c r="F121" s="1"/>
      <c r="G121" s="1"/>
      <c r="H121" s="1"/>
    </row>
    <row r="122" spans="5:8" ht="12.75" customHeight="1">
      <c r="E122" s="1"/>
      <c r="F122" s="1"/>
      <c r="G122" s="1"/>
      <c r="H122" s="1"/>
    </row>
    <row r="123" spans="5:8" ht="12.75" customHeight="1">
      <c r="E123" s="1"/>
      <c r="F123" s="1"/>
      <c r="G123" s="1"/>
      <c r="H123" s="1"/>
    </row>
    <row r="124" spans="5:8" ht="12.75" customHeight="1">
      <c r="E124" s="1"/>
      <c r="F124" s="1"/>
      <c r="G124" s="1"/>
      <c r="H124" s="1"/>
    </row>
    <row r="125" spans="5:8" ht="12.75" customHeight="1">
      <c r="E125" s="1"/>
      <c r="F125" s="1"/>
      <c r="G125" s="1"/>
      <c r="H125" s="1"/>
    </row>
    <row r="126" spans="5:8" ht="12.75" customHeight="1">
      <c r="E126" s="1"/>
      <c r="F126" s="1"/>
      <c r="G126" s="1"/>
      <c r="H126" s="1"/>
    </row>
    <row r="127" spans="5:8" ht="12.75" customHeight="1">
      <c r="E127" s="1"/>
      <c r="F127" s="1"/>
      <c r="G127" s="1"/>
      <c r="H127" s="1"/>
    </row>
    <row r="128" spans="5:8" ht="12.75" customHeight="1">
      <c r="E128" s="1"/>
      <c r="F128" s="1"/>
      <c r="G128" s="1"/>
      <c r="H128" s="1"/>
    </row>
    <row r="129" spans="5:8" ht="12.75" customHeight="1">
      <c r="E129" s="1"/>
      <c r="F129" s="1"/>
      <c r="G129" s="1"/>
      <c r="H129" s="1"/>
    </row>
    <row r="130" spans="5:8" ht="12.75" customHeight="1">
      <c r="E130" s="1"/>
      <c r="F130" s="1"/>
      <c r="G130" s="1"/>
      <c r="H130" s="1"/>
    </row>
    <row r="131" spans="5:8" ht="12.75" customHeight="1">
      <c r="E131" s="1"/>
      <c r="F131" s="1"/>
      <c r="G131" s="1"/>
      <c r="H131" s="1"/>
    </row>
    <row r="132" spans="5:8" ht="12.75" customHeight="1">
      <c r="E132" s="1"/>
      <c r="F132" s="1"/>
      <c r="G132" s="1"/>
      <c r="H132" s="1"/>
    </row>
    <row r="133" spans="5:8" ht="12.75" customHeight="1">
      <c r="E133" s="1"/>
      <c r="F133" s="1"/>
      <c r="G133" s="1"/>
      <c r="H133" s="1"/>
    </row>
    <row r="134" spans="5:8" ht="12.75" customHeight="1">
      <c r="E134" s="1"/>
      <c r="F134" s="1"/>
      <c r="G134" s="1"/>
      <c r="H134" s="1"/>
    </row>
    <row r="135" spans="5:8" ht="12.75">
      <c r="E135" s="1"/>
      <c r="F135" s="1"/>
      <c r="G135" s="1"/>
      <c r="H135" s="1"/>
    </row>
    <row r="136" spans="5:8" ht="12.75">
      <c r="E136" s="1"/>
      <c r="F136" s="1"/>
      <c r="G136" s="1"/>
      <c r="H136" s="1"/>
    </row>
    <row r="137" spans="5:8" ht="12.75">
      <c r="E137" s="1"/>
      <c r="F137" s="1"/>
      <c r="G137" s="1"/>
      <c r="H137" s="1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  <row r="140" spans="5:8" ht="12.75">
      <c r="E140" s="1"/>
      <c r="F140" s="1"/>
      <c r="G140" s="1"/>
      <c r="H140" s="1"/>
    </row>
    <row r="141" spans="5:8" ht="12.75">
      <c r="E141" s="1"/>
      <c r="F141" s="1"/>
      <c r="G141" s="1"/>
      <c r="H141" s="1"/>
    </row>
    <row r="142" spans="5:8" ht="12.75">
      <c r="E142" s="1"/>
      <c r="F142" s="1"/>
      <c r="G142" s="1"/>
      <c r="H142" s="1"/>
    </row>
  </sheetData>
  <mergeCells count="21">
    <mergeCell ref="C64:D64"/>
    <mergeCell ref="C62:D62"/>
    <mergeCell ref="C94:D94"/>
    <mergeCell ref="C66:D66"/>
    <mergeCell ref="C71:D71"/>
    <mergeCell ref="C72:D72"/>
    <mergeCell ref="C85:D85"/>
    <mergeCell ref="C33:D33"/>
    <mergeCell ref="C44:D44"/>
    <mergeCell ref="C58:D58"/>
    <mergeCell ref="C39:D39"/>
    <mergeCell ref="C40:D40"/>
    <mergeCell ref="C38:D38"/>
    <mergeCell ref="C54:D54"/>
    <mergeCell ref="C42:D42"/>
    <mergeCell ref="C48:D48"/>
    <mergeCell ref="C3:D3"/>
    <mergeCell ref="C4:D4"/>
    <mergeCell ref="C15:D15"/>
    <mergeCell ref="C26:D26"/>
    <mergeCell ref="C28:D28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3"/>
  <rowBreaks count="1" manualBreakCount="1">
    <brk id="47" min="1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3"/>
  <sheetViews>
    <sheetView showGridLines="0" view="pageBreakPreview" zoomScale="80" zoomScaleSheetLayoutView="80" workbookViewId="0" topLeftCell="A1">
      <selection activeCell="G7" sqref="G7"/>
    </sheetView>
  </sheetViews>
  <sheetFormatPr defaultColWidth="9.140625" defaultRowHeight="12.75"/>
  <cols>
    <col min="1" max="1" width="4.140625" style="1" bestFit="1" customWidth="1"/>
    <col min="2" max="2" width="9.140625" style="1" customWidth="1"/>
    <col min="3" max="3" width="43.421875" style="1" bestFit="1" customWidth="1"/>
    <col min="4" max="4" width="9.8515625" style="40" customWidth="1"/>
    <col min="5" max="5" width="10.57421875" style="40" customWidth="1"/>
    <col min="6" max="6" width="10.57421875" style="42" customWidth="1"/>
    <col min="7" max="7" width="9.8515625" style="40" customWidth="1"/>
    <col min="8" max="9" width="9.8515625" style="1" bestFit="1" customWidth="1"/>
    <col min="10" max="16384" width="9.140625" style="1" customWidth="1"/>
  </cols>
  <sheetData>
    <row r="1" spans="1:7" s="31" customFormat="1" ht="17.25">
      <c r="A1" s="289"/>
      <c r="B1" s="290" t="s">
        <v>285</v>
      </c>
      <c r="C1" s="289"/>
      <c r="D1" s="312"/>
      <c r="E1" s="312"/>
      <c r="F1" s="292"/>
      <c r="G1" s="36"/>
    </row>
    <row r="2" spans="1:6" ht="12.75" customHeight="1" thickBot="1">
      <c r="A2" s="306"/>
      <c r="B2" s="307"/>
      <c r="C2" s="306"/>
      <c r="D2" s="308"/>
      <c r="E2" s="308"/>
      <c r="F2" s="308" t="s">
        <v>199</v>
      </c>
    </row>
    <row r="3" spans="1:6" ht="39" thickTop="1">
      <c r="A3" s="309"/>
      <c r="B3" s="437" t="s">
        <v>136</v>
      </c>
      <c r="C3" s="437"/>
      <c r="D3" s="231" t="s">
        <v>204</v>
      </c>
      <c r="E3" s="231" t="s">
        <v>205</v>
      </c>
      <c r="F3" s="232" t="s">
        <v>206</v>
      </c>
    </row>
    <row r="4" spans="1:6" ht="12.75" customHeight="1">
      <c r="A4" s="233">
        <v>1</v>
      </c>
      <c r="B4" s="429" t="s">
        <v>119</v>
      </c>
      <c r="C4" s="429"/>
      <c r="D4" s="234">
        <f>D5+D6+D12</f>
        <v>3559928</v>
      </c>
      <c r="E4" s="234">
        <f>E5+E6+E12</f>
        <v>2639635</v>
      </c>
      <c r="F4" s="234">
        <f aca="true" t="shared" si="0" ref="F4:F12">E4-D4</f>
        <v>-920293</v>
      </c>
    </row>
    <row r="5" spans="1:8" ht="12.75" customHeight="1">
      <c r="A5" s="236"/>
      <c r="B5" s="237" t="s">
        <v>0</v>
      </c>
      <c r="C5" s="237" t="s">
        <v>29</v>
      </c>
      <c r="D5" s="238">
        <v>3544699</v>
      </c>
      <c r="E5" s="238">
        <f>2716768-92165</f>
        <v>2624603</v>
      </c>
      <c r="F5" s="261">
        <f t="shared" si="0"/>
        <v>-920096</v>
      </c>
      <c r="H5" s="2"/>
    </row>
    <row r="6" spans="1:6" ht="12.75" customHeight="1">
      <c r="A6" s="236"/>
      <c r="B6" s="237"/>
      <c r="C6" s="237" t="s">
        <v>30</v>
      </c>
      <c r="D6" s="238">
        <f>D7+D8+D9+D10+D11</f>
        <v>15030</v>
      </c>
      <c r="E6" s="238">
        <f>E7+E8+E9+E10+E11</f>
        <v>14905</v>
      </c>
      <c r="F6" s="261">
        <f t="shared" si="0"/>
        <v>-125</v>
      </c>
    </row>
    <row r="7" spans="1:6" ht="12.75" customHeight="1">
      <c r="A7" s="236"/>
      <c r="B7" s="237"/>
      <c r="C7" s="240" t="s">
        <v>44</v>
      </c>
      <c r="D7" s="238">
        <v>66</v>
      </c>
      <c r="E7" s="238">
        <v>45</v>
      </c>
      <c r="F7" s="261">
        <f t="shared" si="0"/>
        <v>-21</v>
      </c>
    </row>
    <row r="8" spans="1:6" ht="12.75" customHeight="1">
      <c r="A8" s="236"/>
      <c r="B8" s="237"/>
      <c r="C8" s="240" t="s">
        <v>40</v>
      </c>
      <c r="D8" s="238">
        <v>8103</v>
      </c>
      <c r="E8" s="238">
        <v>9643</v>
      </c>
      <c r="F8" s="261">
        <f t="shared" si="0"/>
        <v>1540</v>
      </c>
    </row>
    <row r="9" spans="1:6" ht="12.75" customHeight="1">
      <c r="A9" s="236"/>
      <c r="B9" s="237"/>
      <c r="C9" s="240" t="s">
        <v>41</v>
      </c>
      <c r="D9" s="238">
        <v>79</v>
      </c>
      <c r="E9" s="238">
        <v>0</v>
      </c>
      <c r="F9" s="261">
        <f t="shared" si="0"/>
        <v>-79</v>
      </c>
    </row>
    <row r="10" spans="1:6" ht="12.75" customHeight="1">
      <c r="A10" s="236"/>
      <c r="B10" s="237"/>
      <c r="C10" s="240" t="s">
        <v>42</v>
      </c>
      <c r="D10" s="238">
        <v>1581</v>
      </c>
      <c r="E10" s="238">
        <v>155</v>
      </c>
      <c r="F10" s="261">
        <f t="shared" si="0"/>
        <v>-1426</v>
      </c>
    </row>
    <row r="11" spans="1:6" ht="12.75" customHeight="1">
      <c r="A11" s="236"/>
      <c r="B11" s="237"/>
      <c r="C11" s="240" t="s">
        <v>43</v>
      </c>
      <c r="D11" s="238">
        <v>5201</v>
      </c>
      <c r="E11" s="238">
        <v>5062</v>
      </c>
      <c r="F11" s="261">
        <f t="shared" si="0"/>
        <v>-139</v>
      </c>
    </row>
    <row r="12" spans="1:6" ht="12.75" customHeight="1">
      <c r="A12" s="236"/>
      <c r="B12" s="237"/>
      <c r="C12" s="237" t="s">
        <v>31</v>
      </c>
      <c r="D12" s="238">
        <v>199</v>
      </c>
      <c r="E12" s="238">
        <v>127</v>
      </c>
      <c r="F12" s="261">
        <f t="shared" si="0"/>
        <v>-72</v>
      </c>
    </row>
    <row r="13" spans="1:6" ht="12.75" customHeight="1">
      <c r="A13" s="233"/>
      <c r="B13" s="237"/>
      <c r="C13" s="237"/>
      <c r="D13" s="238"/>
      <c r="E13" s="238"/>
      <c r="F13" s="258"/>
    </row>
    <row r="14" spans="1:6" ht="12.75" customHeight="1">
      <c r="A14" s="233">
        <v>2</v>
      </c>
      <c r="B14" s="429" t="s">
        <v>120</v>
      </c>
      <c r="C14" s="429"/>
      <c r="D14" s="243">
        <f>D15+D20</f>
        <v>3575770</v>
      </c>
      <c r="E14" s="243">
        <f>E15+E20</f>
        <v>2646899</v>
      </c>
      <c r="F14" s="243">
        <f aca="true" t="shared" si="1" ref="F14:F22">E14-D14</f>
        <v>-928871</v>
      </c>
    </row>
    <row r="15" spans="1:6" ht="12.75" customHeight="1">
      <c r="A15" s="236"/>
      <c r="B15" s="237" t="s">
        <v>0</v>
      </c>
      <c r="C15" s="237" t="s">
        <v>32</v>
      </c>
      <c r="D15" s="238">
        <f>D16+D17+D18+D19</f>
        <v>3575667</v>
      </c>
      <c r="E15" s="238">
        <f>E16+E17+E18+E19</f>
        <v>2638884</v>
      </c>
      <c r="F15" s="261">
        <f t="shared" si="1"/>
        <v>-936783</v>
      </c>
    </row>
    <row r="16" spans="1:6" ht="12.75" customHeight="1">
      <c r="A16" s="236"/>
      <c r="B16" s="237"/>
      <c r="C16" s="240" t="s">
        <v>34</v>
      </c>
      <c r="D16" s="238">
        <f>33580+13088</f>
        <v>46668</v>
      </c>
      <c r="E16" s="238">
        <f>31129+11945</f>
        <v>43074</v>
      </c>
      <c r="F16" s="261">
        <f t="shared" si="1"/>
        <v>-3594</v>
      </c>
    </row>
    <row r="17" spans="1:6" ht="12.75" customHeight="1">
      <c r="A17" s="236"/>
      <c r="B17" s="237"/>
      <c r="C17" s="240" t="s">
        <v>35</v>
      </c>
      <c r="D17" s="238">
        <v>3501944</v>
      </c>
      <c r="E17" s="238">
        <f>2667255-92165</f>
        <v>2575090</v>
      </c>
      <c r="F17" s="261">
        <f t="shared" si="1"/>
        <v>-926854</v>
      </c>
    </row>
    <row r="18" spans="1:6" ht="12.75" customHeight="1">
      <c r="A18" s="236"/>
      <c r="B18" s="237"/>
      <c r="C18" s="240" t="s">
        <v>36</v>
      </c>
      <c r="D18" s="238">
        <v>27055</v>
      </c>
      <c r="E18" s="238">
        <v>20720</v>
      </c>
      <c r="F18" s="261">
        <f t="shared" si="1"/>
        <v>-6335</v>
      </c>
    </row>
    <row r="19" spans="1:6" ht="12.75" customHeight="1">
      <c r="A19" s="236"/>
      <c r="B19" s="237"/>
      <c r="C19" s="240" t="s">
        <v>37</v>
      </c>
      <c r="D19" s="238">
        <v>0</v>
      </c>
      <c r="E19" s="238">
        <v>0</v>
      </c>
      <c r="F19" s="261">
        <f t="shared" si="1"/>
        <v>0</v>
      </c>
    </row>
    <row r="20" spans="1:6" ht="12.75" customHeight="1">
      <c r="A20" s="236"/>
      <c r="B20" s="237"/>
      <c r="C20" s="237" t="s">
        <v>33</v>
      </c>
      <c r="D20" s="238">
        <f>D21+D22</f>
        <v>103</v>
      </c>
      <c r="E20" s="238">
        <f>E21+E22</f>
        <v>8015</v>
      </c>
      <c r="F20" s="261">
        <f t="shared" si="1"/>
        <v>7912</v>
      </c>
    </row>
    <row r="21" spans="1:6" ht="12.75" customHeight="1">
      <c r="A21" s="236"/>
      <c r="B21" s="237"/>
      <c r="C21" s="240" t="s">
        <v>38</v>
      </c>
      <c r="D21" s="238">
        <v>103</v>
      </c>
      <c r="E21" s="238">
        <v>8015</v>
      </c>
      <c r="F21" s="261">
        <f t="shared" si="1"/>
        <v>7912</v>
      </c>
    </row>
    <row r="22" spans="1:6" ht="12.75" customHeight="1">
      <c r="A22" s="236"/>
      <c r="B22" s="237"/>
      <c r="C22" s="240" t="s">
        <v>39</v>
      </c>
      <c r="D22" s="238">
        <v>0</v>
      </c>
      <c r="E22" s="238">
        <v>0</v>
      </c>
      <c r="F22" s="261">
        <f t="shared" si="1"/>
        <v>0</v>
      </c>
    </row>
    <row r="23" spans="1:6" ht="12.75" customHeight="1">
      <c r="A23" s="233"/>
      <c r="B23" s="237"/>
      <c r="C23" s="237"/>
      <c r="D23" s="370"/>
      <c r="E23" s="238"/>
      <c r="F23" s="261"/>
    </row>
    <row r="24" spans="1:6" ht="12.75" customHeight="1">
      <c r="A24" s="244">
        <v>3</v>
      </c>
      <c r="B24" s="434" t="s">
        <v>121</v>
      </c>
      <c r="C24" s="435"/>
      <c r="D24" s="245">
        <f>D4-D14</f>
        <v>-15842</v>
      </c>
      <c r="E24" s="245">
        <f>E4-E14</f>
        <v>-7264</v>
      </c>
      <c r="F24" s="245">
        <f>E24-D24</f>
        <v>8578</v>
      </c>
    </row>
    <row r="25" spans="1:9" ht="12.75" customHeight="1">
      <c r="A25" s="233"/>
      <c r="B25" s="247"/>
      <c r="C25" s="247"/>
      <c r="D25" s="238"/>
      <c r="E25" s="243"/>
      <c r="F25" s="258"/>
      <c r="I25" s="2"/>
    </row>
    <row r="26" spans="1:6" ht="12.75" customHeight="1">
      <c r="A26" s="233">
        <v>4</v>
      </c>
      <c r="B26" s="430" t="s">
        <v>167</v>
      </c>
      <c r="C26" s="430"/>
      <c r="D26" s="243">
        <f>D27+D28+D29</f>
        <v>13857</v>
      </c>
      <c r="E26" s="243">
        <f>E27+E28+E29</f>
        <v>-49901</v>
      </c>
      <c r="F26" s="243">
        <f>E26-D26</f>
        <v>-63758</v>
      </c>
    </row>
    <row r="27" spans="1:6" ht="12.75" customHeight="1">
      <c r="A27" s="236"/>
      <c r="B27" s="237" t="s">
        <v>0</v>
      </c>
      <c r="C27" s="240" t="s">
        <v>286</v>
      </c>
      <c r="D27" s="238">
        <v>13857</v>
      </c>
      <c r="E27" s="238">
        <v>12626</v>
      </c>
      <c r="F27" s="261">
        <f aca="true" t="shared" si="2" ref="F27:F29">E27-D27</f>
        <v>-1231</v>
      </c>
    </row>
    <row r="28" spans="1:6" ht="12.75" customHeight="1">
      <c r="A28" s="236"/>
      <c r="B28" s="237"/>
      <c r="C28" s="240" t="s">
        <v>287</v>
      </c>
      <c r="D28" s="238">
        <v>0</v>
      </c>
      <c r="E28" s="238">
        <v>-17465</v>
      </c>
      <c r="F28" s="261">
        <f t="shared" si="2"/>
        <v>-17465</v>
      </c>
    </row>
    <row r="29" spans="1:6" ht="12.75" customHeight="1">
      <c r="A29" s="233"/>
      <c r="B29" s="237"/>
      <c r="C29" s="240" t="s">
        <v>288</v>
      </c>
      <c r="D29" s="238">
        <v>0</v>
      </c>
      <c r="E29" s="238">
        <v>-45062</v>
      </c>
      <c r="F29" s="261">
        <f t="shared" si="2"/>
        <v>-45062</v>
      </c>
    </row>
    <row r="30" spans="1:6" ht="12.75" customHeight="1">
      <c r="A30" s="236"/>
      <c r="B30" s="237"/>
      <c r="C30" s="240"/>
      <c r="D30" s="238"/>
      <c r="E30" s="238"/>
      <c r="F30" s="243"/>
    </row>
    <row r="31" spans="1:6" ht="12.75" customHeight="1">
      <c r="A31" s="233">
        <v>5</v>
      </c>
      <c r="B31" s="433" t="s">
        <v>280</v>
      </c>
      <c r="C31" s="433"/>
      <c r="D31" s="243">
        <v>0</v>
      </c>
      <c r="E31" s="243">
        <f>SUM(E32:E38)</f>
        <v>-34815</v>
      </c>
      <c r="F31" s="261">
        <f aca="true" t="shared" si="3" ref="F31:F38">E31-D31</f>
        <v>-34815</v>
      </c>
    </row>
    <row r="32" spans="1:6" ht="12.75" customHeight="1">
      <c r="A32" s="233"/>
      <c r="B32" s="237"/>
      <c r="C32" s="240" t="s">
        <v>289</v>
      </c>
      <c r="D32" s="238">
        <v>0</v>
      </c>
      <c r="E32" s="238">
        <f>898382</f>
        <v>898382</v>
      </c>
      <c r="F32" s="261">
        <f t="shared" si="3"/>
        <v>898382</v>
      </c>
    </row>
    <row r="33" spans="1:6" ht="12.75" customHeight="1">
      <c r="A33" s="233"/>
      <c r="B33" s="237"/>
      <c r="C33" s="240" t="s">
        <v>290</v>
      </c>
      <c r="D33" s="238">
        <v>0</v>
      </c>
      <c r="E33" s="238">
        <v>-789691</v>
      </c>
      <c r="F33" s="261">
        <f t="shared" si="3"/>
        <v>-789691</v>
      </c>
    </row>
    <row r="34" spans="1:6" ht="26.25" customHeight="1">
      <c r="A34" s="233"/>
      <c r="B34" s="237"/>
      <c r="C34" s="240" t="s">
        <v>291</v>
      </c>
      <c r="D34" s="238">
        <v>0</v>
      </c>
      <c r="E34" s="238">
        <v>0</v>
      </c>
      <c r="F34" s="261">
        <f t="shared" si="3"/>
        <v>0</v>
      </c>
    </row>
    <row r="35" spans="1:8" ht="25.5">
      <c r="A35" s="233"/>
      <c r="B35" s="237"/>
      <c r="C35" s="240" t="s">
        <v>292</v>
      </c>
      <c r="D35" s="238">
        <v>0</v>
      </c>
      <c r="E35" s="238">
        <v>688</v>
      </c>
      <c r="F35" s="261">
        <f t="shared" si="3"/>
        <v>688</v>
      </c>
      <c r="H35" s="2"/>
    </row>
    <row r="36" spans="1:6" ht="25.5">
      <c r="A36" s="233"/>
      <c r="B36" s="237"/>
      <c r="C36" s="240" t="s">
        <v>293</v>
      </c>
      <c r="D36" s="238">
        <v>0</v>
      </c>
      <c r="E36" s="238">
        <v>6537</v>
      </c>
      <c r="F36" s="261">
        <f t="shared" si="3"/>
        <v>6537</v>
      </c>
    </row>
    <row r="37" spans="1:6" ht="25.5">
      <c r="A37" s="233"/>
      <c r="B37" s="237"/>
      <c r="C37" s="240" t="s">
        <v>294</v>
      </c>
      <c r="D37" s="238">
        <v>0</v>
      </c>
      <c r="E37" s="238">
        <v>-113848</v>
      </c>
      <c r="F37" s="261">
        <f t="shared" si="3"/>
        <v>-113848</v>
      </c>
    </row>
    <row r="38" spans="1:6" ht="25.5" customHeight="1">
      <c r="A38" s="233"/>
      <c r="B38" s="237"/>
      <c r="C38" s="394" t="s">
        <v>177</v>
      </c>
      <c r="D38" s="238">
        <v>0</v>
      </c>
      <c r="E38" s="238">
        <v>-36883</v>
      </c>
      <c r="F38" s="261">
        <f t="shared" si="3"/>
        <v>-36883</v>
      </c>
    </row>
    <row r="39" spans="1:6" ht="12.75" customHeight="1">
      <c r="A39" s="236"/>
      <c r="B39" s="237"/>
      <c r="C39" s="240"/>
      <c r="D39" s="243"/>
      <c r="E39" s="238"/>
      <c r="F39" s="258"/>
    </row>
    <row r="40" spans="1:8" ht="12.75" customHeight="1">
      <c r="A40" s="244">
        <v>6</v>
      </c>
      <c r="B40" s="434" t="s">
        <v>123</v>
      </c>
      <c r="C40" s="435"/>
      <c r="D40" s="245">
        <f>D24+D26</f>
        <v>-1985</v>
      </c>
      <c r="E40" s="245">
        <f>E24+E26+E31</f>
        <v>-91980</v>
      </c>
      <c r="F40" s="245">
        <f>E40-D40</f>
        <v>-89995</v>
      </c>
      <c r="G40" s="43"/>
      <c r="H40" s="2"/>
    </row>
    <row r="41" spans="1:7" ht="12.75" customHeight="1">
      <c r="A41" s="236"/>
      <c r="B41" s="433" t="s">
        <v>5</v>
      </c>
      <c r="C41" s="433"/>
      <c r="D41" s="238">
        <f>D4+D28+D27+D34+D36</f>
        <v>3573785</v>
      </c>
      <c r="E41" s="238">
        <f>E4+E28+E27+E32+E34+E36</f>
        <v>3539715</v>
      </c>
      <c r="F41" s="261">
        <f aca="true" t="shared" si="4" ref="F41:F42">E41-D41</f>
        <v>-34070</v>
      </c>
      <c r="G41" s="43"/>
    </row>
    <row r="42" spans="1:6" ht="12.75" customHeight="1">
      <c r="A42" s="251"/>
      <c r="B42" s="436" t="s">
        <v>6</v>
      </c>
      <c r="C42" s="436"/>
      <c r="D42" s="252">
        <f>D14-D29-D35-D37-D38</f>
        <v>3575770</v>
      </c>
      <c r="E42" s="252">
        <f>E14-E29-E33-E35-E37-E38</f>
        <v>3631695</v>
      </c>
      <c r="F42" s="261">
        <f t="shared" si="4"/>
        <v>55925</v>
      </c>
    </row>
    <row r="43" spans="1:7" ht="12.75" customHeight="1" thickBot="1">
      <c r="A43" s="332"/>
      <c r="B43" s="332"/>
      <c r="C43" s="332"/>
      <c r="D43" s="371"/>
      <c r="E43" s="334"/>
      <c r="F43" s="335"/>
      <c r="G43" s="47"/>
    </row>
    <row r="44" spans="1:6" ht="26.25" thickTop="1">
      <c r="A44" s="230"/>
      <c r="B44" s="431" t="s">
        <v>155</v>
      </c>
      <c r="C44" s="431"/>
      <c r="D44" s="319"/>
      <c r="E44" s="319"/>
      <c r="F44" s="320" t="s">
        <v>205</v>
      </c>
    </row>
    <row r="45" spans="1:6" ht="12.75" customHeight="1">
      <c r="A45" s="257">
        <v>7</v>
      </c>
      <c r="B45" s="271" t="s">
        <v>133</v>
      </c>
      <c r="C45" s="271"/>
      <c r="D45" s="196"/>
      <c r="E45" s="321"/>
      <c r="F45" s="284">
        <f>F51-F46+F70</f>
        <v>65232</v>
      </c>
    </row>
    <row r="46" spans="1:6" ht="12.75" customHeight="1">
      <c r="A46" s="259">
        <v>8</v>
      </c>
      <c r="B46" s="432" t="s">
        <v>143</v>
      </c>
      <c r="C46" s="432"/>
      <c r="D46" s="196"/>
      <c r="E46" s="321"/>
      <c r="F46" s="260">
        <f>F47+F48+F49</f>
        <v>0</v>
      </c>
    </row>
    <row r="47" spans="1:6" ht="28.5" customHeight="1">
      <c r="A47" s="236"/>
      <c r="B47" s="262"/>
      <c r="C47" s="346" t="s">
        <v>101</v>
      </c>
      <c r="D47" s="347"/>
      <c r="E47" s="348"/>
      <c r="F47" s="261">
        <v>0</v>
      </c>
    </row>
    <row r="48" spans="1:6" ht="12.75" customHeight="1">
      <c r="A48" s="251"/>
      <c r="B48" s="398"/>
      <c r="C48" s="264" t="s">
        <v>102</v>
      </c>
      <c r="D48" s="265"/>
      <c r="E48" s="322"/>
      <c r="F48" s="266">
        <v>0</v>
      </c>
    </row>
    <row r="49" spans="1:6" ht="28.5" customHeight="1">
      <c r="A49" s="267"/>
      <c r="B49" s="399"/>
      <c r="C49" s="352" t="s">
        <v>114</v>
      </c>
      <c r="D49" s="353"/>
      <c r="E49" s="354"/>
      <c r="F49" s="270">
        <v>0</v>
      </c>
    </row>
    <row r="50" spans="1:6" ht="12.75" customHeight="1">
      <c r="A50" s="236"/>
      <c r="B50" s="162"/>
      <c r="C50" s="162"/>
      <c r="D50" s="196"/>
      <c r="E50" s="321"/>
      <c r="F50" s="261"/>
    </row>
    <row r="51" spans="1:6" ht="12.75" customHeight="1">
      <c r="A51" s="259">
        <v>9</v>
      </c>
      <c r="B51" s="432" t="s">
        <v>142</v>
      </c>
      <c r="C51" s="432"/>
      <c r="D51" s="196"/>
      <c r="E51" s="321"/>
      <c r="F51" s="260">
        <f>F52+F53+F54</f>
        <v>0</v>
      </c>
    </row>
    <row r="52" spans="1:6" ht="12.75" customHeight="1">
      <c r="A52" s="236"/>
      <c r="B52" s="162"/>
      <c r="C52" s="162" t="s">
        <v>22</v>
      </c>
      <c r="D52" s="196"/>
      <c r="E52" s="321"/>
      <c r="F52" s="261">
        <v>0</v>
      </c>
    </row>
    <row r="53" spans="1:6" ht="12.75" customHeight="1">
      <c r="A53" s="236"/>
      <c r="B53" s="162"/>
      <c r="C53" s="162" t="s">
        <v>106</v>
      </c>
      <c r="D53" s="196"/>
      <c r="E53" s="321"/>
      <c r="F53" s="261">
        <v>0</v>
      </c>
    </row>
    <row r="54" spans="1:6" ht="12.75" customHeight="1">
      <c r="A54" s="236"/>
      <c r="B54" s="162"/>
      <c r="C54" s="162" t="s">
        <v>107</v>
      </c>
      <c r="D54" s="196"/>
      <c r="E54" s="321"/>
      <c r="F54" s="261">
        <v>0</v>
      </c>
    </row>
    <row r="55" spans="1:6" ht="12.75" customHeight="1">
      <c r="A55" s="236"/>
      <c r="B55" s="162"/>
      <c r="C55" s="162"/>
      <c r="D55" s="196"/>
      <c r="E55" s="321"/>
      <c r="F55" s="261"/>
    </row>
    <row r="56" spans="1:6" ht="12.75" customHeight="1">
      <c r="A56" s="257">
        <v>10</v>
      </c>
      <c r="B56" s="271" t="s">
        <v>124</v>
      </c>
      <c r="C56" s="271"/>
      <c r="D56" s="196"/>
      <c r="E56" s="321"/>
      <c r="F56" s="284">
        <f>F57-F62</f>
        <v>0</v>
      </c>
    </row>
    <row r="57" spans="1:6" ht="12.75" customHeight="1">
      <c r="A57" s="259">
        <v>11</v>
      </c>
      <c r="B57" s="432" t="s">
        <v>141</v>
      </c>
      <c r="C57" s="432"/>
      <c r="D57" s="196"/>
      <c r="E57" s="321"/>
      <c r="F57" s="260">
        <f>SUM(F58:F60)</f>
        <v>0</v>
      </c>
    </row>
    <row r="58" spans="1:6" ht="12.75" customHeight="1">
      <c r="A58" s="259"/>
      <c r="B58" s="162"/>
      <c r="C58" s="162" t="s">
        <v>115</v>
      </c>
      <c r="D58" s="196"/>
      <c r="E58" s="321"/>
      <c r="F58" s="261">
        <v>0</v>
      </c>
    </row>
    <row r="59" spans="1:6" ht="12.75" customHeight="1">
      <c r="A59" s="259"/>
      <c r="B59" s="162"/>
      <c r="C59" s="162" t="s">
        <v>109</v>
      </c>
      <c r="D59" s="196"/>
      <c r="E59" s="321"/>
      <c r="F59" s="261">
        <v>0</v>
      </c>
    </row>
    <row r="60" spans="1:6" ht="12.75" customHeight="1">
      <c r="A60" s="236"/>
      <c r="B60" s="162"/>
      <c r="C60" s="162" t="s">
        <v>250</v>
      </c>
      <c r="D60" s="196"/>
      <c r="E60" s="321"/>
      <c r="F60" s="261">
        <v>0</v>
      </c>
    </row>
    <row r="61" spans="1:6" ht="12.75" customHeight="1">
      <c r="A61" s="259"/>
      <c r="B61" s="162"/>
      <c r="C61" s="162"/>
      <c r="D61" s="196"/>
      <c r="E61" s="321"/>
      <c r="F61" s="261"/>
    </row>
    <row r="62" spans="1:6" ht="12.75" customHeight="1">
      <c r="A62" s="259">
        <v>12</v>
      </c>
      <c r="B62" s="432" t="s">
        <v>140</v>
      </c>
      <c r="C62" s="432"/>
      <c r="D62" s="196"/>
      <c r="E62" s="321"/>
      <c r="F62" s="260">
        <f>F63+F64</f>
        <v>0</v>
      </c>
    </row>
    <row r="63" spans="1:6" ht="26.25" customHeight="1">
      <c r="A63" s="236"/>
      <c r="B63" s="162"/>
      <c r="C63" s="346" t="s">
        <v>110</v>
      </c>
      <c r="D63" s="347"/>
      <c r="E63" s="348"/>
      <c r="F63" s="261">
        <v>0</v>
      </c>
    </row>
    <row r="64" spans="1:6" ht="12.75" customHeight="1">
      <c r="A64" s="236"/>
      <c r="B64" s="162"/>
      <c r="C64" s="162" t="s">
        <v>111</v>
      </c>
      <c r="D64" s="196"/>
      <c r="E64" s="321"/>
      <c r="F64" s="261">
        <v>0</v>
      </c>
    </row>
    <row r="65" spans="1:6" ht="12.75" customHeight="1">
      <c r="A65" s="236"/>
      <c r="B65" s="262"/>
      <c r="C65" s="162"/>
      <c r="D65" s="196"/>
      <c r="E65" s="321"/>
      <c r="F65" s="261"/>
    </row>
    <row r="66" spans="1:6" ht="12.75" customHeight="1">
      <c r="A66" s="257">
        <v>13</v>
      </c>
      <c r="B66" s="430" t="s">
        <v>125</v>
      </c>
      <c r="C66" s="430"/>
      <c r="D66" s="196"/>
      <c r="E66" s="321"/>
      <c r="F66" s="284">
        <f>E26</f>
        <v>-49901</v>
      </c>
    </row>
    <row r="67" spans="1:6" ht="12.75" customHeight="1">
      <c r="A67" s="236"/>
      <c r="B67" s="262"/>
      <c r="C67" s="262"/>
      <c r="D67" s="196"/>
      <c r="E67" s="321"/>
      <c r="F67" s="261"/>
    </row>
    <row r="68" spans="1:6" ht="12.75" customHeight="1">
      <c r="A68" s="257">
        <v>14</v>
      </c>
      <c r="B68" s="433" t="s">
        <v>280</v>
      </c>
      <c r="C68" s="433"/>
      <c r="D68" s="196"/>
      <c r="E68" s="321"/>
      <c r="F68" s="284">
        <f>E36+E37+F47</f>
        <v>-107311</v>
      </c>
    </row>
    <row r="69" spans="1:6" ht="12.75" customHeight="1">
      <c r="A69" s="236"/>
      <c r="B69" s="262"/>
      <c r="C69" s="162"/>
      <c r="D69" s="196"/>
      <c r="E69" s="321"/>
      <c r="F69" s="261"/>
    </row>
    <row r="70" spans="1:6" ht="12.75" customHeight="1">
      <c r="A70" s="259">
        <v>15</v>
      </c>
      <c r="B70" s="432" t="s">
        <v>169</v>
      </c>
      <c r="C70" s="432"/>
      <c r="D70" s="196"/>
      <c r="E70" s="196"/>
      <c r="F70" s="260">
        <v>65232</v>
      </c>
    </row>
    <row r="71" spans="1:7" s="7" customFormat="1" ht="12.75" customHeight="1">
      <c r="A71" s="236"/>
      <c r="B71" s="264"/>
      <c r="C71" s="264"/>
      <c r="D71" s="265"/>
      <c r="E71" s="322"/>
      <c r="F71" s="266"/>
      <c r="G71" s="41"/>
    </row>
    <row r="72" spans="1:6" ht="12.75" customHeight="1">
      <c r="A72" s="244">
        <v>16</v>
      </c>
      <c r="B72" s="275" t="s">
        <v>127</v>
      </c>
      <c r="C72" s="276"/>
      <c r="D72" s="300"/>
      <c r="E72" s="325"/>
      <c r="F72" s="279">
        <f>F45-F56+F66+F68</f>
        <v>-91980</v>
      </c>
    </row>
    <row r="73" spans="1:6" ht="12.75" customHeight="1">
      <c r="A73" s="280">
        <v>17</v>
      </c>
      <c r="B73" s="281" t="s">
        <v>128</v>
      </c>
      <c r="C73" s="281"/>
      <c r="D73" s="265"/>
      <c r="E73" s="322"/>
      <c r="F73" s="338">
        <f>F72-E40</f>
        <v>0</v>
      </c>
    </row>
    <row r="74" spans="1:6" ht="12.75" customHeight="1" thickBot="1">
      <c r="A74" s="332"/>
      <c r="B74" s="332"/>
      <c r="C74" s="333"/>
      <c r="D74" s="334"/>
      <c r="E74" s="334"/>
      <c r="F74" s="335"/>
    </row>
    <row r="75" spans="1:6" ht="26.25" customHeight="1" thickTop="1">
      <c r="A75" s="230"/>
      <c r="B75" s="431" t="s">
        <v>149</v>
      </c>
      <c r="C75" s="431"/>
      <c r="D75" s="319"/>
      <c r="E75" s="319"/>
      <c r="F75" s="320" t="s">
        <v>205</v>
      </c>
    </row>
    <row r="76" spans="1:6" ht="12.75" customHeight="1">
      <c r="A76" s="233">
        <v>18</v>
      </c>
      <c r="B76" s="429" t="s">
        <v>135</v>
      </c>
      <c r="C76" s="429"/>
      <c r="D76" s="196"/>
      <c r="E76" s="196"/>
      <c r="F76" s="258">
        <f>E40*(-1)</f>
        <v>91980</v>
      </c>
    </row>
    <row r="77" spans="1:6" ht="12.75" customHeight="1">
      <c r="A77" s="236"/>
      <c r="B77" s="262"/>
      <c r="C77" s="262"/>
      <c r="D77" s="196"/>
      <c r="E77" s="196"/>
      <c r="F77" s="283"/>
    </row>
    <row r="78" spans="1:6" ht="12.75" customHeight="1">
      <c r="A78" s="257">
        <v>19</v>
      </c>
      <c r="B78" s="271" t="s">
        <v>129</v>
      </c>
      <c r="C78" s="339"/>
      <c r="D78" s="196"/>
      <c r="E78" s="326"/>
      <c r="F78" s="284">
        <f>F79+F80+F83+F86</f>
        <v>66930</v>
      </c>
    </row>
    <row r="79" spans="1:6" ht="12.75" customHeight="1">
      <c r="A79" s="236"/>
      <c r="B79" s="240"/>
      <c r="C79" s="162" t="s">
        <v>68</v>
      </c>
      <c r="D79" s="196"/>
      <c r="E79" s="326"/>
      <c r="F79" s="261">
        <f>F70</f>
        <v>65232</v>
      </c>
    </row>
    <row r="80" spans="1:6" ht="12.75" customHeight="1">
      <c r="A80" s="236"/>
      <c r="B80" s="262"/>
      <c r="C80" s="162" t="s">
        <v>23</v>
      </c>
      <c r="D80" s="196"/>
      <c r="E80" s="326"/>
      <c r="F80" s="261">
        <f>F81-F82</f>
        <v>0</v>
      </c>
    </row>
    <row r="81" spans="1:6" ht="12.75" customHeight="1">
      <c r="A81" s="236"/>
      <c r="B81" s="262"/>
      <c r="C81" s="162" t="s">
        <v>78</v>
      </c>
      <c r="D81" s="196"/>
      <c r="E81" s="326"/>
      <c r="F81" s="261">
        <v>0</v>
      </c>
    </row>
    <row r="82" spans="1:6" ht="12.75" customHeight="1">
      <c r="A82" s="233"/>
      <c r="B82" s="262"/>
      <c r="C82" s="162" t="s">
        <v>116</v>
      </c>
      <c r="D82" s="196"/>
      <c r="E82" s="326"/>
      <c r="F82" s="261">
        <v>0</v>
      </c>
    </row>
    <row r="83" spans="1:6" ht="12.75" customHeight="1">
      <c r="A83" s="236"/>
      <c r="B83" s="262"/>
      <c r="C83" s="162" t="s">
        <v>24</v>
      </c>
      <c r="D83" s="196"/>
      <c r="E83" s="326"/>
      <c r="F83" s="261">
        <f>F84-F85</f>
        <v>0</v>
      </c>
    </row>
    <row r="84" spans="1:6" ht="12.75" customHeight="1">
      <c r="A84" s="236"/>
      <c r="B84" s="262"/>
      <c r="C84" s="162" t="s">
        <v>117</v>
      </c>
      <c r="D84" s="196"/>
      <c r="E84" s="326"/>
      <c r="F84" s="261">
        <v>0</v>
      </c>
    </row>
    <row r="85" spans="1:6" ht="12.75" customHeight="1">
      <c r="A85" s="236"/>
      <c r="B85" s="262"/>
      <c r="C85" s="162" t="s">
        <v>118</v>
      </c>
      <c r="D85" s="196"/>
      <c r="E85" s="326"/>
      <c r="F85" s="261">
        <v>0</v>
      </c>
    </row>
    <row r="86" spans="1:6" ht="12.75" customHeight="1">
      <c r="A86" s="236"/>
      <c r="B86" s="162"/>
      <c r="C86" s="162" t="s">
        <v>80</v>
      </c>
      <c r="D86" s="196"/>
      <c r="E86" s="326"/>
      <c r="F86" s="261">
        <f>E27+E28+E36</f>
        <v>1698</v>
      </c>
    </row>
    <row r="87" spans="1:6" ht="12.75" customHeight="1">
      <c r="A87" s="236"/>
      <c r="B87" s="162"/>
      <c r="C87" s="162"/>
      <c r="D87" s="196"/>
      <c r="E87" s="326"/>
      <c r="F87" s="258"/>
    </row>
    <row r="88" spans="1:6" ht="12.75" customHeight="1">
      <c r="A88" s="257">
        <v>20</v>
      </c>
      <c r="B88" s="430" t="s">
        <v>130</v>
      </c>
      <c r="C88" s="430"/>
      <c r="D88" s="196"/>
      <c r="E88" s="326"/>
      <c r="F88" s="284">
        <f>F89+F90+F93+F94+F95</f>
        <v>-158910</v>
      </c>
    </row>
    <row r="89" spans="1:6" ht="12.75" customHeight="1">
      <c r="A89" s="236"/>
      <c r="B89" s="162"/>
      <c r="C89" s="162" t="s">
        <v>81</v>
      </c>
      <c r="D89" s="286"/>
      <c r="E89" s="340"/>
      <c r="F89" s="261">
        <f>E29+E37-F60</f>
        <v>-158910</v>
      </c>
    </row>
    <row r="90" spans="1:6" ht="12.75" customHeight="1">
      <c r="A90" s="236"/>
      <c r="B90" s="162"/>
      <c r="C90" s="162" t="s">
        <v>82</v>
      </c>
      <c r="D90" s="196"/>
      <c r="E90" s="326"/>
      <c r="F90" s="261">
        <f>F91+F92</f>
        <v>0</v>
      </c>
    </row>
    <row r="91" spans="1:6" ht="12.75" customHeight="1">
      <c r="A91" s="236"/>
      <c r="B91" s="162"/>
      <c r="C91" s="162" t="s">
        <v>95</v>
      </c>
      <c r="D91" s="196"/>
      <c r="E91" s="326"/>
      <c r="F91" s="261">
        <v>0</v>
      </c>
    </row>
    <row r="92" spans="1:6" ht="12.75" customHeight="1">
      <c r="A92" s="236"/>
      <c r="B92" s="162"/>
      <c r="C92" s="162" t="s">
        <v>96</v>
      </c>
      <c r="D92" s="196"/>
      <c r="E92" s="326"/>
      <c r="F92" s="261">
        <v>0</v>
      </c>
    </row>
    <row r="93" spans="1:6" ht="12.75" customHeight="1">
      <c r="A93" s="236"/>
      <c r="B93" s="162"/>
      <c r="C93" s="162" t="s">
        <v>83</v>
      </c>
      <c r="D93" s="196"/>
      <c r="E93" s="326"/>
      <c r="F93" s="261">
        <v>0</v>
      </c>
    </row>
    <row r="94" spans="1:6" ht="12.75" customHeight="1">
      <c r="A94" s="236"/>
      <c r="B94" s="162"/>
      <c r="C94" s="162" t="s">
        <v>84</v>
      </c>
      <c r="D94" s="196"/>
      <c r="E94" s="326"/>
      <c r="F94" s="261">
        <v>0</v>
      </c>
    </row>
    <row r="95" spans="1:6" ht="12.75" customHeight="1">
      <c r="A95" s="236"/>
      <c r="B95" s="162"/>
      <c r="C95" s="162" t="s">
        <v>166</v>
      </c>
      <c r="D95" s="196"/>
      <c r="E95" s="326"/>
      <c r="F95" s="261">
        <v>0</v>
      </c>
    </row>
    <row r="96" spans="1:6" ht="12.75" customHeight="1">
      <c r="A96" s="236"/>
      <c r="B96" s="162"/>
      <c r="C96" s="162"/>
      <c r="D96" s="196"/>
      <c r="E96" s="326"/>
      <c r="F96" s="261"/>
    </row>
    <row r="97" spans="1:6" ht="12.75" customHeight="1">
      <c r="A97" s="257">
        <v>21</v>
      </c>
      <c r="B97" s="430" t="s">
        <v>134</v>
      </c>
      <c r="C97" s="430"/>
      <c r="D97" s="196"/>
      <c r="E97" s="326"/>
      <c r="F97" s="284">
        <f>F98+F99</f>
        <v>0</v>
      </c>
    </row>
    <row r="98" spans="1:6" ht="12.75" customHeight="1">
      <c r="A98" s="236"/>
      <c r="B98" s="162"/>
      <c r="C98" s="162" t="s">
        <v>159</v>
      </c>
      <c r="D98" s="196"/>
      <c r="E98" s="326"/>
      <c r="F98" s="261">
        <f>-F73</f>
        <v>0</v>
      </c>
    </row>
    <row r="99" spans="1:6" ht="12.75" customHeight="1">
      <c r="A99" s="236"/>
      <c r="B99" s="162"/>
      <c r="C99" s="162" t="s">
        <v>160</v>
      </c>
      <c r="D99" s="196"/>
      <c r="E99" s="326"/>
      <c r="F99" s="261">
        <f>F101-(F76+F78+F88)-F98</f>
        <v>0</v>
      </c>
    </row>
    <row r="100" spans="1:6" ht="12.75" customHeight="1">
      <c r="A100" s="236"/>
      <c r="B100" s="162"/>
      <c r="C100" s="162"/>
      <c r="D100" s="196"/>
      <c r="E100" s="326"/>
      <c r="F100" s="261"/>
    </row>
    <row r="101" spans="1:6" ht="12.75" customHeight="1">
      <c r="A101" s="244">
        <v>22</v>
      </c>
      <c r="B101" s="275" t="s">
        <v>176</v>
      </c>
      <c r="C101" s="275"/>
      <c r="D101" s="277"/>
      <c r="E101" s="341"/>
      <c r="F101" s="279">
        <v>0</v>
      </c>
    </row>
    <row r="102" spans="1:7" ht="26.25" customHeight="1">
      <c r="A102" s="400" t="s">
        <v>295</v>
      </c>
      <c r="B102" s="326"/>
      <c r="C102" s="326"/>
      <c r="D102" s="326"/>
      <c r="E102" s="326"/>
      <c r="F102" s="326"/>
      <c r="G102" s="1"/>
    </row>
    <row r="103" spans="1:7" ht="12.75" customHeight="1">
      <c r="A103" s="40"/>
      <c r="D103" s="1"/>
      <c r="E103" s="1"/>
      <c r="F103" s="1"/>
      <c r="G103" s="1"/>
    </row>
    <row r="104" spans="1:7" ht="12.75" customHeight="1">
      <c r="A104" s="40"/>
      <c r="D104" s="1"/>
      <c r="E104" s="1"/>
      <c r="F104" s="1"/>
      <c r="G104" s="1"/>
    </row>
    <row r="105" spans="1:7" ht="12.75" customHeight="1">
      <c r="A105" s="40"/>
      <c r="D105" s="1"/>
      <c r="E105" s="1"/>
      <c r="F105" s="1"/>
      <c r="G105" s="1"/>
    </row>
    <row r="106" spans="1:7" ht="12.75" customHeight="1">
      <c r="A106" s="40"/>
      <c r="D106" s="1"/>
      <c r="E106" s="1"/>
      <c r="F106" s="1"/>
      <c r="G106" s="1"/>
    </row>
    <row r="107" spans="1:7" ht="12.75" customHeight="1">
      <c r="A107" s="40"/>
      <c r="D107" s="1"/>
      <c r="E107" s="1"/>
      <c r="F107" s="1"/>
      <c r="G107" s="1"/>
    </row>
    <row r="108" spans="1:7" ht="12.75" customHeight="1">
      <c r="A108" s="40"/>
      <c r="D108" s="1"/>
      <c r="E108" s="1"/>
      <c r="F108" s="1"/>
      <c r="G108" s="1"/>
    </row>
    <row r="109" spans="1:7" ht="12.75" customHeight="1">
      <c r="A109" s="40"/>
      <c r="D109" s="1"/>
      <c r="E109" s="1"/>
      <c r="F109" s="1"/>
      <c r="G109" s="1"/>
    </row>
    <row r="110" spans="1:7" ht="12.75" customHeight="1">
      <c r="A110" s="40"/>
      <c r="D110" s="1"/>
      <c r="E110" s="1"/>
      <c r="F110" s="1"/>
      <c r="G110" s="1"/>
    </row>
    <row r="111" spans="1:7" ht="12.75" customHeight="1">
      <c r="A111" s="40"/>
      <c r="D111" s="1"/>
      <c r="E111" s="1"/>
      <c r="F111" s="1"/>
      <c r="G111" s="1"/>
    </row>
    <row r="112" spans="1:7" ht="12.75" customHeight="1">
      <c r="A112" s="40"/>
      <c r="D112" s="1"/>
      <c r="E112" s="1"/>
      <c r="F112" s="1"/>
      <c r="G112" s="1"/>
    </row>
    <row r="113" spans="1:7" ht="12.75" customHeight="1">
      <c r="A113" s="40"/>
      <c r="D113" s="1"/>
      <c r="E113" s="1"/>
      <c r="F113" s="1"/>
      <c r="G113" s="1"/>
    </row>
    <row r="114" spans="1:7" ht="12.75" customHeight="1">
      <c r="A114" s="40"/>
      <c r="D114" s="1"/>
      <c r="E114" s="1"/>
      <c r="F114" s="1"/>
      <c r="G114" s="1"/>
    </row>
    <row r="115" spans="1:7" ht="12.75" customHeight="1">
      <c r="A115" s="40"/>
      <c r="D115" s="1"/>
      <c r="E115" s="1"/>
      <c r="F115" s="1"/>
      <c r="G115" s="1"/>
    </row>
    <row r="116" spans="1:7" ht="12.75" customHeight="1">
      <c r="A116" s="40"/>
      <c r="D116" s="1"/>
      <c r="E116" s="1"/>
      <c r="F116" s="1"/>
      <c r="G116" s="1"/>
    </row>
    <row r="117" spans="1:7" ht="12.75" customHeight="1">
      <c r="A117" s="40"/>
      <c r="D117" s="1"/>
      <c r="E117" s="1"/>
      <c r="F117" s="1"/>
      <c r="G117" s="1"/>
    </row>
    <row r="118" spans="1:7" ht="12.75" customHeight="1">
      <c r="A118" s="40"/>
      <c r="D118" s="1"/>
      <c r="E118" s="1"/>
      <c r="F118" s="1"/>
      <c r="G118" s="1"/>
    </row>
    <row r="119" spans="1:7" ht="12.75" customHeight="1">
      <c r="A119" s="40"/>
      <c r="D119" s="1"/>
      <c r="E119" s="1"/>
      <c r="F119" s="1"/>
      <c r="G119" s="1"/>
    </row>
    <row r="120" spans="1:7" ht="12.75" customHeight="1">
      <c r="A120" s="40"/>
      <c r="D120" s="1"/>
      <c r="E120" s="1"/>
      <c r="F120" s="1"/>
      <c r="G120" s="1"/>
    </row>
    <row r="121" spans="1:7" ht="12.75" customHeight="1">
      <c r="A121" s="40"/>
      <c r="D121" s="1"/>
      <c r="E121" s="1"/>
      <c r="F121" s="1"/>
      <c r="G121" s="1"/>
    </row>
    <row r="122" spans="1:7" ht="12.75" customHeight="1">
      <c r="A122" s="40"/>
      <c r="D122" s="1"/>
      <c r="E122" s="1"/>
      <c r="F122" s="1"/>
      <c r="G122" s="1"/>
    </row>
    <row r="123" spans="1:7" ht="12.75" customHeight="1">
      <c r="A123" s="40"/>
      <c r="D123" s="1"/>
      <c r="E123" s="1"/>
      <c r="F123" s="1"/>
      <c r="G123" s="1"/>
    </row>
    <row r="124" spans="1:7" ht="12.75" customHeight="1">
      <c r="A124" s="40"/>
      <c r="D124" s="1"/>
      <c r="E124" s="1"/>
      <c r="F124" s="1"/>
      <c r="G124" s="1"/>
    </row>
    <row r="125" spans="1:7" ht="12.75" customHeight="1">
      <c r="A125" s="40"/>
      <c r="D125" s="1"/>
      <c r="E125" s="1"/>
      <c r="F125" s="1"/>
      <c r="G125" s="1"/>
    </row>
    <row r="126" spans="1:7" ht="12.75" customHeight="1">
      <c r="A126" s="40"/>
      <c r="D126" s="1"/>
      <c r="E126" s="1"/>
      <c r="F126" s="1"/>
      <c r="G126" s="1"/>
    </row>
    <row r="127" ht="12.75" customHeight="1">
      <c r="F127" s="40"/>
    </row>
    <row r="128" ht="12.75" customHeight="1">
      <c r="F128" s="40"/>
    </row>
    <row r="129" ht="12.75" customHeight="1">
      <c r="F129" s="40"/>
    </row>
    <row r="130" ht="12.75" customHeight="1">
      <c r="F130" s="40"/>
    </row>
    <row r="131" ht="12.75" customHeight="1">
      <c r="F131" s="40"/>
    </row>
    <row r="132" ht="12.75" customHeight="1">
      <c r="F132" s="40"/>
    </row>
    <row r="133" ht="12.75" customHeight="1">
      <c r="F133" s="40"/>
    </row>
    <row r="134" ht="12.75" customHeight="1">
      <c r="F134" s="40"/>
    </row>
    <row r="135" ht="12.75" customHeight="1">
      <c r="F135" s="40"/>
    </row>
    <row r="136" ht="12.75" customHeight="1">
      <c r="F136" s="40"/>
    </row>
    <row r="137" ht="12.75" customHeight="1">
      <c r="F137" s="40"/>
    </row>
    <row r="138" ht="12.75" customHeight="1">
      <c r="F138" s="40"/>
    </row>
    <row r="139" ht="12.75" customHeight="1">
      <c r="F139" s="40"/>
    </row>
    <row r="140" ht="12.75" customHeight="1">
      <c r="F140" s="40"/>
    </row>
    <row r="141" ht="12.75" customHeight="1">
      <c r="F141" s="40"/>
    </row>
    <row r="142" ht="12.75" customHeight="1">
      <c r="F142" s="40"/>
    </row>
    <row r="143" ht="12.75">
      <c r="F143" s="40"/>
    </row>
  </sheetData>
  <mergeCells count="21">
    <mergeCell ref="B97:C97"/>
    <mergeCell ref="B76:C76"/>
    <mergeCell ref="B31:C31"/>
    <mergeCell ref="B42:C42"/>
    <mergeCell ref="B40:C40"/>
    <mergeCell ref="B68:C68"/>
    <mergeCell ref="B44:C44"/>
    <mergeCell ref="B62:C62"/>
    <mergeCell ref="B66:C66"/>
    <mergeCell ref="B75:C75"/>
    <mergeCell ref="B88:C88"/>
    <mergeCell ref="B70:C70"/>
    <mergeCell ref="B41:C41"/>
    <mergeCell ref="B3:C3"/>
    <mergeCell ref="B51:C51"/>
    <mergeCell ref="B57:C57"/>
    <mergeCell ref="B4:C4"/>
    <mergeCell ref="B14:C14"/>
    <mergeCell ref="B46:C46"/>
    <mergeCell ref="B26:C26"/>
    <mergeCell ref="B24:C2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1"/>
  <rowBreaks count="2" manualBreakCount="2">
    <brk id="48" max="16383" man="1"/>
    <brk id="10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BQ71"/>
  <sheetViews>
    <sheetView showGridLines="0" view="pageBreakPreview" zoomScaleSheetLayoutView="100" workbookViewId="0" topLeftCell="H1">
      <selection activeCell="T9" sqref="T9"/>
    </sheetView>
  </sheetViews>
  <sheetFormatPr defaultColWidth="9.140625" defaultRowHeight="12.75"/>
  <cols>
    <col min="1" max="1" width="16.7109375" style="123" customWidth="1"/>
    <col min="2" max="28" width="7.7109375" style="123" customWidth="1"/>
    <col min="29" max="29" width="7.8515625" style="123" customWidth="1"/>
    <col min="30" max="30" width="10.57421875" style="124" bestFit="1" customWidth="1"/>
    <col min="31" max="32" width="9.140625" style="124" customWidth="1"/>
    <col min="33" max="33" width="29.7109375" style="124" bestFit="1" customWidth="1"/>
    <col min="34" max="35" width="12.8515625" style="124" customWidth="1"/>
    <col min="36" max="36" width="12.7109375" style="124" customWidth="1"/>
    <col min="37" max="37" width="12.8515625" style="124" customWidth="1"/>
    <col min="38" max="38" width="9.140625" style="124" customWidth="1"/>
    <col min="39" max="39" width="11.00390625" style="180" bestFit="1" customWidth="1"/>
    <col min="40" max="259" width="9.140625" style="124" customWidth="1"/>
    <col min="260" max="260" width="16.7109375" style="124" customWidth="1"/>
    <col min="261" max="284" width="7.7109375" style="124" customWidth="1"/>
    <col min="285" max="285" width="7.8515625" style="124" customWidth="1"/>
    <col min="286" max="286" width="9.7109375" style="124" bestFit="1" customWidth="1"/>
    <col min="287" max="515" width="9.140625" style="124" customWidth="1"/>
    <col min="516" max="516" width="16.7109375" style="124" customWidth="1"/>
    <col min="517" max="540" width="7.7109375" style="124" customWidth="1"/>
    <col min="541" max="541" width="7.8515625" style="124" customWidth="1"/>
    <col min="542" max="542" width="9.7109375" style="124" bestFit="1" customWidth="1"/>
    <col min="543" max="771" width="9.140625" style="124" customWidth="1"/>
    <col min="772" max="772" width="16.7109375" style="124" customWidth="1"/>
    <col min="773" max="796" width="7.7109375" style="124" customWidth="1"/>
    <col min="797" max="797" width="7.8515625" style="124" customWidth="1"/>
    <col min="798" max="798" width="9.7109375" style="124" bestFit="1" customWidth="1"/>
    <col min="799" max="1027" width="9.140625" style="124" customWidth="1"/>
    <col min="1028" max="1028" width="16.7109375" style="124" customWidth="1"/>
    <col min="1029" max="1052" width="7.7109375" style="124" customWidth="1"/>
    <col min="1053" max="1053" width="7.8515625" style="124" customWidth="1"/>
    <col min="1054" max="1054" width="9.7109375" style="124" bestFit="1" customWidth="1"/>
    <col min="1055" max="1283" width="9.140625" style="124" customWidth="1"/>
    <col min="1284" max="1284" width="16.7109375" style="124" customWidth="1"/>
    <col min="1285" max="1308" width="7.7109375" style="124" customWidth="1"/>
    <col min="1309" max="1309" width="7.8515625" style="124" customWidth="1"/>
    <col min="1310" max="1310" width="9.7109375" style="124" bestFit="1" customWidth="1"/>
    <col min="1311" max="1539" width="9.140625" style="124" customWidth="1"/>
    <col min="1540" max="1540" width="16.7109375" style="124" customWidth="1"/>
    <col min="1541" max="1564" width="7.7109375" style="124" customWidth="1"/>
    <col min="1565" max="1565" width="7.8515625" style="124" customWidth="1"/>
    <col min="1566" max="1566" width="9.7109375" style="124" bestFit="1" customWidth="1"/>
    <col min="1567" max="1795" width="9.140625" style="124" customWidth="1"/>
    <col min="1796" max="1796" width="16.7109375" style="124" customWidth="1"/>
    <col min="1797" max="1820" width="7.7109375" style="124" customWidth="1"/>
    <col min="1821" max="1821" width="7.8515625" style="124" customWidth="1"/>
    <col min="1822" max="1822" width="9.7109375" style="124" bestFit="1" customWidth="1"/>
    <col min="1823" max="2051" width="9.140625" style="124" customWidth="1"/>
    <col min="2052" max="2052" width="16.7109375" style="124" customWidth="1"/>
    <col min="2053" max="2076" width="7.7109375" style="124" customWidth="1"/>
    <col min="2077" max="2077" width="7.8515625" style="124" customWidth="1"/>
    <col min="2078" max="2078" width="9.7109375" style="124" bestFit="1" customWidth="1"/>
    <col min="2079" max="2307" width="9.140625" style="124" customWidth="1"/>
    <col min="2308" max="2308" width="16.7109375" style="124" customWidth="1"/>
    <col min="2309" max="2332" width="7.7109375" style="124" customWidth="1"/>
    <col min="2333" max="2333" width="7.8515625" style="124" customWidth="1"/>
    <col min="2334" max="2334" width="9.7109375" style="124" bestFit="1" customWidth="1"/>
    <col min="2335" max="2563" width="9.140625" style="124" customWidth="1"/>
    <col min="2564" max="2564" width="16.7109375" style="124" customWidth="1"/>
    <col min="2565" max="2588" width="7.7109375" style="124" customWidth="1"/>
    <col min="2589" max="2589" width="7.8515625" style="124" customWidth="1"/>
    <col min="2590" max="2590" width="9.7109375" style="124" bestFit="1" customWidth="1"/>
    <col min="2591" max="2819" width="9.140625" style="124" customWidth="1"/>
    <col min="2820" max="2820" width="16.7109375" style="124" customWidth="1"/>
    <col min="2821" max="2844" width="7.7109375" style="124" customWidth="1"/>
    <col min="2845" max="2845" width="7.8515625" style="124" customWidth="1"/>
    <col min="2846" max="2846" width="9.7109375" style="124" bestFit="1" customWidth="1"/>
    <col min="2847" max="3075" width="9.140625" style="124" customWidth="1"/>
    <col min="3076" max="3076" width="16.7109375" style="124" customWidth="1"/>
    <col min="3077" max="3100" width="7.7109375" style="124" customWidth="1"/>
    <col min="3101" max="3101" width="7.8515625" style="124" customWidth="1"/>
    <col min="3102" max="3102" width="9.7109375" style="124" bestFit="1" customWidth="1"/>
    <col min="3103" max="3331" width="9.140625" style="124" customWidth="1"/>
    <col min="3332" max="3332" width="16.7109375" style="124" customWidth="1"/>
    <col min="3333" max="3356" width="7.7109375" style="124" customWidth="1"/>
    <col min="3357" max="3357" width="7.8515625" style="124" customWidth="1"/>
    <col min="3358" max="3358" width="9.7109375" style="124" bestFit="1" customWidth="1"/>
    <col min="3359" max="3587" width="9.140625" style="124" customWidth="1"/>
    <col min="3588" max="3588" width="16.7109375" style="124" customWidth="1"/>
    <col min="3589" max="3612" width="7.7109375" style="124" customWidth="1"/>
    <col min="3613" max="3613" width="7.8515625" style="124" customWidth="1"/>
    <col min="3614" max="3614" width="9.7109375" style="124" bestFit="1" customWidth="1"/>
    <col min="3615" max="3843" width="9.140625" style="124" customWidth="1"/>
    <col min="3844" max="3844" width="16.7109375" style="124" customWidth="1"/>
    <col min="3845" max="3868" width="7.7109375" style="124" customWidth="1"/>
    <col min="3869" max="3869" width="7.8515625" style="124" customWidth="1"/>
    <col min="3870" max="3870" width="9.7109375" style="124" bestFit="1" customWidth="1"/>
    <col min="3871" max="4099" width="9.140625" style="124" customWidth="1"/>
    <col min="4100" max="4100" width="16.7109375" style="124" customWidth="1"/>
    <col min="4101" max="4124" width="7.7109375" style="124" customWidth="1"/>
    <col min="4125" max="4125" width="7.8515625" style="124" customWidth="1"/>
    <col min="4126" max="4126" width="9.7109375" style="124" bestFit="1" customWidth="1"/>
    <col min="4127" max="4355" width="9.140625" style="124" customWidth="1"/>
    <col min="4356" max="4356" width="16.7109375" style="124" customWidth="1"/>
    <col min="4357" max="4380" width="7.7109375" style="124" customWidth="1"/>
    <col min="4381" max="4381" width="7.8515625" style="124" customWidth="1"/>
    <col min="4382" max="4382" width="9.7109375" style="124" bestFit="1" customWidth="1"/>
    <col min="4383" max="4611" width="9.140625" style="124" customWidth="1"/>
    <col min="4612" max="4612" width="16.7109375" style="124" customWidth="1"/>
    <col min="4613" max="4636" width="7.7109375" style="124" customWidth="1"/>
    <col min="4637" max="4637" width="7.8515625" style="124" customWidth="1"/>
    <col min="4638" max="4638" width="9.7109375" style="124" bestFit="1" customWidth="1"/>
    <col min="4639" max="4867" width="9.140625" style="124" customWidth="1"/>
    <col min="4868" max="4868" width="16.7109375" style="124" customWidth="1"/>
    <col min="4869" max="4892" width="7.7109375" style="124" customWidth="1"/>
    <col min="4893" max="4893" width="7.8515625" style="124" customWidth="1"/>
    <col min="4894" max="4894" width="9.7109375" style="124" bestFit="1" customWidth="1"/>
    <col min="4895" max="5123" width="9.140625" style="124" customWidth="1"/>
    <col min="5124" max="5124" width="16.7109375" style="124" customWidth="1"/>
    <col min="5125" max="5148" width="7.7109375" style="124" customWidth="1"/>
    <col min="5149" max="5149" width="7.8515625" style="124" customWidth="1"/>
    <col min="5150" max="5150" width="9.7109375" style="124" bestFit="1" customWidth="1"/>
    <col min="5151" max="5379" width="9.140625" style="124" customWidth="1"/>
    <col min="5380" max="5380" width="16.7109375" style="124" customWidth="1"/>
    <col min="5381" max="5404" width="7.7109375" style="124" customWidth="1"/>
    <col min="5405" max="5405" width="7.8515625" style="124" customWidth="1"/>
    <col min="5406" max="5406" width="9.7109375" style="124" bestFit="1" customWidth="1"/>
    <col min="5407" max="5635" width="9.140625" style="124" customWidth="1"/>
    <col min="5636" max="5636" width="16.7109375" style="124" customWidth="1"/>
    <col min="5637" max="5660" width="7.7109375" style="124" customWidth="1"/>
    <col min="5661" max="5661" width="7.8515625" style="124" customWidth="1"/>
    <col min="5662" max="5662" width="9.7109375" style="124" bestFit="1" customWidth="1"/>
    <col min="5663" max="5891" width="9.140625" style="124" customWidth="1"/>
    <col min="5892" max="5892" width="16.7109375" style="124" customWidth="1"/>
    <col min="5893" max="5916" width="7.7109375" style="124" customWidth="1"/>
    <col min="5917" max="5917" width="7.8515625" style="124" customWidth="1"/>
    <col min="5918" max="5918" width="9.7109375" style="124" bestFit="1" customWidth="1"/>
    <col min="5919" max="6147" width="9.140625" style="124" customWidth="1"/>
    <col min="6148" max="6148" width="16.7109375" style="124" customWidth="1"/>
    <col min="6149" max="6172" width="7.7109375" style="124" customWidth="1"/>
    <col min="6173" max="6173" width="7.8515625" style="124" customWidth="1"/>
    <col min="6174" max="6174" width="9.7109375" style="124" bestFit="1" customWidth="1"/>
    <col min="6175" max="6403" width="9.140625" style="124" customWidth="1"/>
    <col min="6404" max="6404" width="16.7109375" style="124" customWidth="1"/>
    <col min="6405" max="6428" width="7.7109375" style="124" customWidth="1"/>
    <col min="6429" max="6429" width="7.8515625" style="124" customWidth="1"/>
    <col min="6430" max="6430" width="9.7109375" style="124" bestFit="1" customWidth="1"/>
    <col min="6431" max="6659" width="9.140625" style="124" customWidth="1"/>
    <col min="6660" max="6660" width="16.7109375" style="124" customWidth="1"/>
    <col min="6661" max="6684" width="7.7109375" style="124" customWidth="1"/>
    <col min="6685" max="6685" width="7.8515625" style="124" customWidth="1"/>
    <col min="6686" max="6686" width="9.7109375" style="124" bestFit="1" customWidth="1"/>
    <col min="6687" max="6915" width="9.140625" style="124" customWidth="1"/>
    <col min="6916" max="6916" width="16.7109375" style="124" customWidth="1"/>
    <col min="6917" max="6940" width="7.7109375" style="124" customWidth="1"/>
    <col min="6941" max="6941" width="7.8515625" style="124" customWidth="1"/>
    <col min="6942" max="6942" width="9.7109375" style="124" bestFit="1" customWidth="1"/>
    <col min="6943" max="7171" width="9.140625" style="124" customWidth="1"/>
    <col min="7172" max="7172" width="16.7109375" style="124" customWidth="1"/>
    <col min="7173" max="7196" width="7.7109375" style="124" customWidth="1"/>
    <col min="7197" max="7197" width="7.8515625" style="124" customWidth="1"/>
    <col min="7198" max="7198" width="9.7109375" style="124" bestFit="1" customWidth="1"/>
    <col min="7199" max="7427" width="9.140625" style="124" customWidth="1"/>
    <col min="7428" max="7428" width="16.7109375" style="124" customWidth="1"/>
    <col min="7429" max="7452" width="7.7109375" style="124" customWidth="1"/>
    <col min="7453" max="7453" width="7.8515625" style="124" customWidth="1"/>
    <col min="7454" max="7454" width="9.7109375" style="124" bestFit="1" customWidth="1"/>
    <col min="7455" max="7683" width="9.140625" style="124" customWidth="1"/>
    <col min="7684" max="7684" width="16.7109375" style="124" customWidth="1"/>
    <col min="7685" max="7708" width="7.7109375" style="124" customWidth="1"/>
    <col min="7709" max="7709" width="7.8515625" style="124" customWidth="1"/>
    <col min="7710" max="7710" width="9.7109375" style="124" bestFit="1" customWidth="1"/>
    <col min="7711" max="7939" width="9.140625" style="124" customWidth="1"/>
    <col min="7940" max="7940" width="16.7109375" style="124" customWidth="1"/>
    <col min="7941" max="7964" width="7.7109375" style="124" customWidth="1"/>
    <col min="7965" max="7965" width="7.8515625" style="124" customWidth="1"/>
    <col min="7966" max="7966" width="9.7109375" style="124" bestFit="1" customWidth="1"/>
    <col min="7967" max="8195" width="9.140625" style="124" customWidth="1"/>
    <col min="8196" max="8196" width="16.7109375" style="124" customWidth="1"/>
    <col min="8197" max="8220" width="7.7109375" style="124" customWidth="1"/>
    <col min="8221" max="8221" width="7.8515625" style="124" customWidth="1"/>
    <col min="8222" max="8222" width="9.7109375" style="124" bestFit="1" customWidth="1"/>
    <col min="8223" max="8451" width="9.140625" style="124" customWidth="1"/>
    <col min="8452" max="8452" width="16.7109375" style="124" customWidth="1"/>
    <col min="8453" max="8476" width="7.7109375" style="124" customWidth="1"/>
    <col min="8477" max="8477" width="7.8515625" style="124" customWidth="1"/>
    <col min="8478" max="8478" width="9.7109375" style="124" bestFit="1" customWidth="1"/>
    <col min="8479" max="8707" width="9.140625" style="124" customWidth="1"/>
    <col min="8708" max="8708" width="16.7109375" style="124" customWidth="1"/>
    <col min="8709" max="8732" width="7.7109375" style="124" customWidth="1"/>
    <col min="8733" max="8733" width="7.8515625" style="124" customWidth="1"/>
    <col min="8734" max="8734" width="9.7109375" style="124" bestFit="1" customWidth="1"/>
    <col min="8735" max="8963" width="9.140625" style="124" customWidth="1"/>
    <col min="8964" max="8964" width="16.7109375" style="124" customWidth="1"/>
    <col min="8965" max="8988" width="7.7109375" style="124" customWidth="1"/>
    <col min="8989" max="8989" width="7.8515625" style="124" customWidth="1"/>
    <col min="8990" max="8990" width="9.7109375" style="124" bestFit="1" customWidth="1"/>
    <col min="8991" max="9219" width="9.140625" style="124" customWidth="1"/>
    <col min="9220" max="9220" width="16.7109375" style="124" customWidth="1"/>
    <col min="9221" max="9244" width="7.7109375" style="124" customWidth="1"/>
    <col min="9245" max="9245" width="7.8515625" style="124" customWidth="1"/>
    <col min="9246" max="9246" width="9.7109375" style="124" bestFit="1" customWidth="1"/>
    <col min="9247" max="9475" width="9.140625" style="124" customWidth="1"/>
    <col min="9476" max="9476" width="16.7109375" style="124" customWidth="1"/>
    <col min="9477" max="9500" width="7.7109375" style="124" customWidth="1"/>
    <col min="9501" max="9501" width="7.8515625" style="124" customWidth="1"/>
    <col min="9502" max="9502" width="9.7109375" style="124" bestFit="1" customWidth="1"/>
    <col min="9503" max="9731" width="9.140625" style="124" customWidth="1"/>
    <col min="9732" max="9732" width="16.7109375" style="124" customWidth="1"/>
    <col min="9733" max="9756" width="7.7109375" style="124" customWidth="1"/>
    <col min="9757" max="9757" width="7.8515625" style="124" customWidth="1"/>
    <col min="9758" max="9758" width="9.7109375" style="124" bestFit="1" customWidth="1"/>
    <col min="9759" max="9987" width="9.140625" style="124" customWidth="1"/>
    <col min="9988" max="9988" width="16.7109375" style="124" customWidth="1"/>
    <col min="9989" max="10012" width="7.7109375" style="124" customWidth="1"/>
    <col min="10013" max="10013" width="7.8515625" style="124" customWidth="1"/>
    <col min="10014" max="10014" width="9.7109375" style="124" bestFit="1" customWidth="1"/>
    <col min="10015" max="10243" width="9.140625" style="124" customWidth="1"/>
    <col min="10244" max="10244" width="16.7109375" style="124" customWidth="1"/>
    <col min="10245" max="10268" width="7.7109375" style="124" customWidth="1"/>
    <col min="10269" max="10269" width="7.8515625" style="124" customWidth="1"/>
    <col min="10270" max="10270" width="9.7109375" style="124" bestFit="1" customWidth="1"/>
    <col min="10271" max="10499" width="9.140625" style="124" customWidth="1"/>
    <col min="10500" max="10500" width="16.7109375" style="124" customWidth="1"/>
    <col min="10501" max="10524" width="7.7109375" style="124" customWidth="1"/>
    <col min="10525" max="10525" width="7.8515625" style="124" customWidth="1"/>
    <col min="10526" max="10526" width="9.7109375" style="124" bestFit="1" customWidth="1"/>
    <col min="10527" max="10755" width="9.140625" style="124" customWidth="1"/>
    <col min="10756" max="10756" width="16.7109375" style="124" customWidth="1"/>
    <col min="10757" max="10780" width="7.7109375" style="124" customWidth="1"/>
    <col min="10781" max="10781" width="7.8515625" style="124" customWidth="1"/>
    <col min="10782" max="10782" width="9.7109375" style="124" bestFit="1" customWidth="1"/>
    <col min="10783" max="11011" width="9.140625" style="124" customWidth="1"/>
    <col min="11012" max="11012" width="16.7109375" style="124" customWidth="1"/>
    <col min="11013" max="11036" width="7.7109375" style="124" customWidth="1"/>
    <col min="11037" max="11037" width="7.8515625" style="124" customWidth="1"/>
    <col min="11038" max="11038" width="9.7109375" style="124" bestFit="1" customWidth="1"/>
    <col min="11039" max="11267" width="9.140625" style="124" customWidth="1"/>
    <col min="11268" max="11268" width="16.7109375" style="124" customWidth="1"/>
    <col min="11269" max="11292" width="7.7109375" style="124" customWidth="1"/>
    <col min="11293" max="11293" width="7.8515625" style="124" customWidth="1"/>
    <col min="11294" max="11294" width="9.7109375" style="124" bestFit="1" customWidth="1"/>
    <col min="11295" max="11523" width="9.140625" style="124" customWidth="1"/>
    <col min="11524" max="11524" width="16.7109375" style="124" customWidth="1"/>
    <col min="11525" max="11548" width="7.7109375" style="124" customWidth="1"/>
    <col min="11549" max="11549" width="7.8515625" style="124" customWidth="1"/>
    <col min="11550" max="11550" width="9.7109375" style="124" bestFit="1" customWidth="1"/>
    <col min="11551" max="11779" width="9.140625" style="124" customWidth="1"/>
    <col min="11780" max="11780" width="16.7109375" style="124" customWidth="1"/>
    <col min="11781" max="11804" width="7.7109375" style="124" customWidth="1"/>
    <col min="11805" max="11805" width="7.8515625" style="124" customWidth="1"/>
    <col min="11806" max="11806" width="9.7109375" style="124" bestFit="1" customWidth="1"/>
    <col min="11807" max="12035" width="9.140625" style="124" customWidth="1"/>
    <col min="12036" max="12036" width="16.7109375" style="124" customWidth="1"/>
    <col min="12037" max="12060" width="7.7109375" style="124" customWidth="1"/>
    <col min="12061" max="12061" width="7.8515625" style="124" customWidth="1"/>
    <col min="12062" max="12062" width="9.7109375" style="124" bestFit="1" customWidth="1"/>
    <col min="12063" max="12291" width="9.140625" style="124" customWidth="1"/>
    <col min="12292" max="12292" width="16.7109375" style="124" customWidth="1"/>
    <col min="12293" max="12316" width="7.7109375" style="124" customWidth="1"/>
    <col min="12317" max="12317" width="7.8515625" style="124" customWidth="1"/>
    <col min="12318" max="12318" width="9.7109375" style="124" bestFit="1" customWidth="1"/>
    <col min="12319" max="12547" width="9.140625" style="124" customWidth="1"/>
    <col min="12548" max="12548" width="16.7109375" style="124" customWidth="1"/>
    <col min="12549" max="12572" width="7.7109375" style="124" customWidth="1"/>
    <col min="12573" max="12573" width="7.8515625" style="124" customWidth="1"/>
    <col min="12574" max="12574" width="9.7109375" style="124" bestFit="1" customWidth="1"/>
    <col min="12575" max="12803" width="9.140625" style="124" customWidth="1"/>
    <col min="12804" max="12804" width="16.7109375" style="124" customWidth="1"/>
    <col min="12805" max="12828" width="7.7109375" style="124" customWidth="1"/>
    <col min="12829" max="12829" width="7.8515625" style="124" customWidth="1"/>
    <col min="12830" max="12830" width="9.7109375" style="124" bestFit="1" customWidth="1"/>
    <col min="12831" max="13059" width="9.140625" style="124" customWidth="1"/>
    <col min="13060" max="13060" width="16.7109375" style="124" customWidth="1"/>
    <col min="13061" max="13084" width="7.7109375" style="124" customWidth="1"/>
    <col min="13085" max="13085" width="7.8515625" style="124" customWidth="1"/>
    <col min="13086" max="13086" width="9.7109375" style="124" bestFit="1" customWidth="1"/>
    <col min="13087" max="13315" width="9.140625" style="124" customWidth="1"/>
    <col min="13316" max="13316" width="16.7109375" style="124" customWidth="1"/>
    <col min="13317" max="13340" width="7.7109375" style="124" customWidth="1"/>
    <col min="13341" max="13341" width="7.8515625" style="124" customWidth="1"/>
    <col min="13342" max="13342" width="9.7109375" style="124" bestFit="1" customWidth="1"/>
    <col min="13343" max="13571" width="9.140625" style="124" customWidth="1"/>
    <col min="13572" max="13572" width="16.7109375" style="124" customWidth="1"/>
    <col min="13573" max="13596" width="7.7109375" style="124" customWidth="1"/>
    <col min="13597" max="13597" width="7.8515625" style="124" customWidth="1"/>
    <col min="13598" max="13598" width="9.7109375" style="124" bestFit="1" customWidth="1"/>
    <col min="13599" max="13827" width="9.140625" style="124" customWidth="1"/>
    <col min="13828" max="13828" width="16.7109375" style="124" customWidth="1"/>
    <col min="13829" max="13852" width="7.7109375" style="124" customWidth="1"/>
    <col min="13853" max="13853" width="7.8515625" style="124" customWidth="1"/>
    <col min="13854" max="13854" width="9.7109375" style="124" bestFit="1" customWidth="1"/>
    <col min="13855" max="14083" width="9.140625" style="124" customWidth="1"/>
    <col min="14084" max="14084" width="16.7109375" style="124" customWidth="1"/>
    <col min="14085" max="14108" width="7.7109375" style="124" customWidth="1"/>
    <col min="14109" max="14109" width="7.8515625" style="124" customWidth="1"/>
    <col min="14110" max="14110" width="9.7109375" style="124" bestFit="1" customWidth="1"/>
    <col min="14111" max="14339" width="9.140625" style="124" customWidth="1"/>
    <col min="14340" max="14340" width="16.7109375" style="124" customWidth="1"/>
    <col min="14341" max="14364" width="7.7109375" style="124" customWidth="1"/>
    <col min="14365" max="14365" width="7.8515625" style="124" customWidth="1"/>
    <col min="14366" max="14366" width="9.7109375" style="124" bestFit="1" customWidth="1"/>
    <col min="14367" max="14595" width="9.140625" style="124" customWidth="1"/>
    <col min="14596" max="14596" width="16.7109375" style="124" customWidth="1"/>
    <col min="14597" max="14620" width="7.7109375" style="124" customWidth="1"/>
    <col min="14621" max="14621" width="7.8515625" style="124" customWidth="1"/>
    <col min="14622" max="14622" width="9.7109375" style="124" bestFit="1" customWidth="1"/>
    <col min="14623" max="14851" width="9.140625" style="124" customWidth="1"/>
    <col min="14852" max="14852" width="16.7109375" style="124" customWidth="1"/>
    <col min="14853" max="14876" width="7.7109375" style="124" customWidth="1"/>
    <col min="14877" max="14877" width="7.8515625" style="124" customWidth="1"/>
    <col min="14878" max="14878" width="9.7109375" style="124" bestFit="1" customWidth="1"/>
    <col min="14879" max="15107" width="9.140625" style="124" customWidth="1"/>
    <col min="15108" max="15108" width="16.7109375" style="124" customWidth="1"/>
    <col min="15109" max="15132" width="7.7109375" style="124" customWidth="1"/>
    <col min="15133" max="15133" width="7.8515625" style="124" customWidth="1"/>
    <col min="15134" max="15134" width="9.7109375" style="124" bestFit="1" customWidth="1"/>
    <col min="15135" max="15363" width="9.140625" style="124" customWidth="1"/>
    <col min="15364" max="15364" width="16.7109375" style="124" customWidth="1"/>
    <col min="15365" max="15388" width="7.7109375" style="124" customWidth="1"/>
    <col min="15389" max="15389" width="7.8515625" style="124" customWidth="1"/>
    <col min="15390" max="15390" width="9.7109375" style="124" bestFit="1" customWidth="1"/>
    <col min="15391" max="15619" width="9.140625" style="124" customWidth="1"/>
    <col min="15620" max="15620" width="16.7109375" style="124" customWidth="1"/>
    <col min="15621" max="15644" width="7.7109375" style="124" customWidth="1"/>
    <col min="15645" max="15645" width="7.8515625" style="124" customWidth="1"/>
    <col min="15646" max="15646" width="9.7109375" style="124" bestFit="1" customWidth="1"/>
    <col min="15647" max="15875" width="9.140625" style="124" customWidth="1"/>
    <col min="15876" max="15876" width="16.7109375" style="124" customWidth="1"/>
    <col min="15877" max="15900" width="7.7109375" style="124" customWidth="1"/>
    <col min="15901" max="15901" width="7.8515625" style="124" customWidth="1"/>
    <col min="15902" max="15902" width="9.7109375" style="124" bestFit="1" customWidth="1"/>
    <col min="15903" max="16131" width="9.140625" style="124" customWidth="1"/>
    <col min="16132" max="16132" width="16.7109375" style="124" customWidth="1"/>
    <col min="16133" max="16156" width="7.7109375" style="124" customWidth="1"/>
    <col min="16157" max="16157" width="7.8515625" style="124" customWidth="1"/>
    <col min="16158" max="16158" width="9.7109375" style="124" bestFit="1" customWidth="1"/>
    <col min="16159" max="16384" width="9.140625" style="124" customWidth="1"/>
  </cols>
  <sheetData>
    <row r="1" spans="27:28" ht="15.75" customHeight="1">
      <c r="AA1" s="462" t="s">
        <v>297</v>
      </c>
      <c r="AB1" s="462"/>
    </row>
    <row r="2" spans="1:39" ht="12.75">
      <c r="A2" s="460" t="s">
        <v>245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125"/>
      <c r="AF2" s="193"/>
      <c r="AG2" s="193"/>
      <c r="AH2" s="193"/>
      <c r="AI2" s="193"/>
      <c r="AJ2" s="193"/>
      <c r="AK2" s="193"/>
      <c r="AL2" s="193"/>
      <c r="AM2" s="194"/>
    </row>
    <row r="3" spans="26:39" ht="12" customHeight="1" thickBot="1">
      <c r="Z3" s="126"/>
      <c r="AA3" s="126"/>
      <c r="AB3" s="402" t="s">
        <v>200</v>
      </c>
      <c r="AC3" s="126"/>
      <c r="AF3" s="193"/>
      <c r="AG3" s="66"/>
      <c r="AH3" s="66"/>
      <c r="AI3" s="66"/>
      <c r="AJ3" s="66"/>
      <c r="AK3" s="201"/>
      <c r="AL3" s="193"/>
      <c r="AM3" s="194"/>
    </row>
    <row r="4" spans="1:69" s="131" customFormat="1" ht="45.75" thickBot="1">
      <c r="A4" s="127" t="s">
        <v>213</v>
      </c>
      <c r="B4" s="128" t="s">
        <v>17</v>
      </c>
      <c r="C4" s="128" t="s">
        <v>187</v>
      </c>
      <c r="D4" s="128" t="s">
        <v>214</v>
      </c>
      <c r="E4" s="128" t="s">
        <v>215</v>
      </c>
      <c r="F4" s="128" t="s">
        <v>216</v>
      </c>
      <c r="G4" s="128" t="s">
        <v>246</v>
      </c>
      <c r="H4" s="128" t="s">
        <v>217</v>
      </c>
      <c r="I4" s="128" t="s">
        <v>18</v>
      </c>
      <c r="J4" s="128" t="s">
        <v>218</v>
      </c>
      <c r="K4" s="128" t="s">
        <v>2</v>
      </c>
      <c r="L4" s="128" t="s">
        <v>219</v>
      </c>
      <c r="M4" s="128" t="s">
        <v>220</v>
      </c>
      <c r="N4" s="128" t="s">
        <v>66</v>
      </c>
      <c r="O4" s="128" t="s">
        <v>221</v>
      </c>
      <c r="P4" s="128" t="s">
        <v>158</v>
      </c>
      <c r="Q4" s="128" t="s">
        <v>188</v>
      </c>
      <c r="R4" s="128" t="s">
        <v>249</v>
      </c>
      <c r="S4" s="128" t="s">
        <v>222</v>
      </c>
      <c r="T4" s="128" t="s">
        <v>223</v>
      </c>
      <c r="U4" s="128" t="s">
        <v>19</v>
      </c>
      <c r="V4" s="128" t="s">
        <v>224</v>
      </c>
      <c r="W4" s="128" t="s">
        <v>1</v>
      </c>
      <c r="X4" s="128" t="s">
        <v>248</v>
      </c>
      <c r="Y4" s="128" t="s">
        <v>271</v>
      </c>
      <c r="Z4" s="127" t="s">
        <v>225</v>
      </c>
      <c r="AA4" s="127" t="s">
        <v>226</v>
      </c>
      <c r="AB4" s="127" t="s">
        <v>227</v>
      </c>
      <c r="AC4" s="129"/>
      <c r="AD4" s="130"/>
      <c r="AF4" s="195"/>
      <c r="AG4" s="202"/>
      <c r="AH4" s="203"/>
      <c r="AI4" s="203"/>
      <c r="AJ4" s="202"/>
      <c r="AK4" s="204"/>
      <c r="AL4" s="193"/>
      <c r="AM4" s="194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</row>
    <row r="5" spans="1:39" s="135" customFormat="1" ht="13.5" customHeight="1">
      <c r="A5" s="132" t="s">
        <v>228</v>
      </c>
      <c r="B5" s="133">
        <f>SUM(B6:B8)</f>
        <v>10900863</v>
      </c>
      <c r="C5" s="133">
        <f aca="true" t="shared" si="0" ref="C5:Y5">SUM(C6:C8)</f>
        <v>89737</v>
      </c>
      <c r="D5" s="133">
        <f t="shared" si="0"/>
        <v>185903</v>
      </c>
      <c r="E5" s="133">
        <f t="shared" si="0"/>
        <v>546055</v>
      </c>
      <c r="F5" s="133">
        <f t="shared" si="0"/>
        <v>20040</v>
      </c>
      <c r="G5" s="133">
        <f t="shared" si="0"/>
        <v>7059</v>
      </c>
      <c r="H5" s="133">
        <f t="shared" si="0"/>
        <v>366763</v>
      </c>
      <c r="I5" s="133">
        <f t="shared" si="0"/>
        <v>696717</v>
      </c>
      <c r="J5" s="133">
        <f>SUM(J6:J8)</f>
        <v>15397</v>
      </c>
      <c r="K5" s="133">
        <f t="shared" si="0"/>
        <v>1626</v>
      </c>
      <c r="L5" s="133">
        <f t="shared" si="0"/>
        <v>649</v>
      </c>
      <c r="M5" s="133">
        <f>SUM(M6:M8)</f>
        <v>72041</v>
      </c>
      <c r="N5" s="133">
        <f>SUM(N6:N8)</f>
        <v>30180</v>
      </c>
      <c r="O5" s="133">
        <f>SUM(O6:O8)</f>
        <v>3613</v>
      </c>
      <c r="P5" s="133">
        <f aca="true" t="shared" si="1" ref="P5:R5">SUM(P6:P8)</f>
        <v>791</v>
      </c>
      <c r="Q5" s="133">
        <f t="shared" si="1"/>
        <v>4665</v>
      </c>
      <c r="R5" s="133">
        <f t="shared" si="1"/>
        <v>7397</v>
      </c>
      <c r="S5" s="133">
        <f t="shared" si="0"/>
        <v>1029547</v>
      </c>
      <c r="T5" s="133">
        <f t="shared" si="0"/>
        <v>291707</v>
      </c>
      <c r="U5" s="133">
        <f t="shared" si="0"/>
        <v>3287033</v>
      </c>
      <c r="V5" s="133">
        <f t="shared" si="0"/>
        <v>166288</v>
      </c>
      <c r="W5" s="133">
        <f t="shared" si="0"/>
        <v>6008500</v>
      </c>
      <c r="X5" s="133">
        <f t="shared" si="0"/>
        <v>2639635</v>
      </c>
      <c r="Y5" s="133">
        <f t="shared" si="0"/>
        <v>849153</v>
      </c>
      <c r="Z5" s="132">
        <f>SUM(B5:Y5)</f>
        <v>27221359</v>
      </c>
      <c r="AA5" s="132">
        <f>SUM(AA6:AA8)</f>
        <v>5469310</v>
      </c>
      <c r="AB5" s="132">
        <f>SUM(AB6:AB8)</f>
        <v>21752049</v>
      </c>
      <c r="AC5" s="134"/>
      <c r="AF5" s="196"/>
      <c r="AG5" s="205"/>
      <c r="AH5" s="205"/>
      <c r="AI5" s="205"/>
      <c r="AJ5" s="205"/>
      <c r="AK5" s="205"/>
      <c r="AL5" s="193"/>
      <c r="AM5" s="194"/>
    </row>
    <row r="6" spans="1:39" s="135" customFormat="1" ht="13.5" customHeight="1">
      <c r="A6" s="137" t="s">
        <v>229</v>
      </c>
      <c r="B6" s="138">
        <f>ŠR!F5</f>
        <v>7962242</v>
      </c>
      <c r="C6" s="138">
        <v>0</v>
      </c>
      <c r="D6" s="139">
        <f>Envir!F5</f>
        <v>1183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f>STV!F5</f>
        <v>53316</v>
      </c>
      <c r="N6" s="139">
        <f>SRo!F5</f>
        <v>22782</v>
      </c>
      <c r="O6" s="139">
        <f>RTVS!F6</f>
        <v>0</v>
      </c>
      <c r="P6" s="139">
        <f>UDVA!F5</f>
        <v>0</v>
      </c>
      <c r="Q6" s="139">
        <f>TASR!F5</f>
        <v>0</v>
      </c>
      <c r="R6" s="139">
        <f>AVF!F5</f>
        <v>0</v>
      </c>
      <c r="S6" s="139">
        <f>VÚC!F5</f>
        <v>451432</v>
      </c>
      <c r="T6" s="139">
        <v>0</v>
      </c>
      <c r="U6" s="139">
        <f>Obce!F5</f>
        <v>1421927</v>
      </c>
      <c r="V6" s="139">
        <v>0</v>
      </c>
      <c r="W6" s="139">
        <f>SoPo!F5</f>
        <v>4436791</v>
      </c>
      <c r="X6" s="139">
        <f>ZdPo!E5</f>
        <v>2624603</v>
      </c>
      <c r="Y6" s="139">
        <f>MRÚ!F5+0</f>
        <v>157097</v>
      </c>
      <c r="Z6" s="140">
        <f>SUM(B6:Y6)</f>
        <v>17131373</v>
      </c>
      <c r="AA6" s="140">
        <v>0</v>
      </c>
      <c r="AB6" s="140">
        <f>Z6-AA6</f>
        <v>17131373</v>
      </c>
      <c r="AC6" s="134"/>
      <c r="AF6" s="196"/>
      <c r="AG6" s="206"/>
      <c r="AH6" s="197"/>
      <c r="AI6" s="197"/>
      <c r="AJ6" s="197"/>
      <c r="AK6" s="197"/>
      <c r="AL6" s="193"/>
      <c r="AM6" s="186"/>
    </row>
    <row r="7" spans="1:39" s="135" customFormat="1" ht="13.5" customHeight="1">
      <c r="A7" s="137" t="s">
        <v>230</v>
      </c>
      <c r="B7" s="138">
        <f>ŠR!F6</f>
        <v>692872</v>
      </c>
      <c r="C7" s="138">
        <f>ŠFA!F5</f>
        <v>113</v>
      </c>
      <c r="D7" s="139">
        <f>NJF!F5+ŠFRB!F5+Envir!F6</f>
        <v>129717</v>
      </c>
      <c r="E7" s="139">
        <f>FNM!F5</f>
        <v>546055</v>
      </c>
      <c r="F7" s="139">
        <f>SPF!F5</f>
        <v>20040</v>
      </c>
      <c r="G7" s="139">
        <f>SKA!F5</f>
        <v>7059</v>
      </c>
      <c r="H7" s="139">
        <f>POŠ!F5</f>
        <v>126616</v>
      </c>
      <c r="I7" s="139">
        <f>VVŠ!F5</f>
        <v>133201</v>
      </c>
      <c r="J7" s="139">
        <f>ÚDZS!F5</f>
        <v>1006</v>
      </c>
      <c r="K7" s="139">
        <f>ÚPN!F5</f>
        <v>26</v>
      </c>
      <c r="L7" s="139">
        <f>SNSĽP!F5</f>
        <v>0</v>
      </c>
      <c r="M7" s="139">
        <f>STV!F6</f>
        <v>6152</v>
      </c>
      <c r="N7" s="139">
        <f>SRo!F6</f>
        <v>2896</v>
      </c>
      <c r="O7" s="139">
        <f>RTVS!F7</f>
        <v>0</v>
      </c>
      <c r="P7" s="139">
        <f>UDVA!F6</f>
        <v>526</v>
      </c>
      <c r="Q7" s="139">
        <f>TASR!F6</f>
        <v>2322</v>
      </c>
      <c r="R7" s="139">
        <f>AVF!F6</f>
        <v>2646</v>
      </c>
      <c r="S7" s="139">
        <f>VÚC!F6</f>
        <v>71205</v>
      </c>
      <c r="T7" s="139">
        <f>POvúc!F5</f>
        <v>39212</v>
      </c>
      <c r="U7" s="139">
        <f>Obce!F6</f>
        <v>439305</v>
      </c>
      <c r="V7" s="139">
        <f>POO!E5</f>
        <v>25911</v>
      </c>
      <c r="W7" s="139">
        <f>SoPo!F6</f>
        <v>12709</v>
      </c>
      <c r="X7" s="139">
        <f>ZdPo!E6</f>
        <v>14905</v>
      </c>
      <c r="Y7" s="139">
        <f>MRÚ!F6+NOO!F5</f>
        <v>425041</v>
      </c>
      <c r="Z7" s="140">
        <f>SUM(B7:Y7)</f>
        <v>2699535</v>
      </c>
      <c r="AA7" s="140">
        <v>43436</v>
      </c>
      <c r="AB7" s="140">
        <f>Z7-AA7</f>
        <v>2656099</v>
      </c>
      <c r="AC7" s="134"/>
      <c r="AF7" s="196"/>
      <c r="AG7" s="207"/>
      <c r="AH7" s="208"/>
      <c r="AI7" s="208"/>
      <c r="AJ7" s="208"/>
      <c r="AK7" s="208"/>
      <c r="AL7" s="193"/>
      <c r="AM7" s="187"/>
    </row>
    <row r="8" spans="1:39" s="135" customFormat="1" ht="13.5" customHeight="1">
      <c r="A8" s="137" t="s">
        <v>231</v>
      </c>
      <c r="B8" s="138">
        <f>ŠR!F12</f>
        <v>2245749</v>
      </c>
      <c r="C8" s="138">
        <f>ŠFA!F11</f>
        <v>89624</v>
      </c>
      <c r="D8" s="139">
        <f>NJF!F11+ŠFRB!F11+Envir!F12</f>
        <v>55003</v>
      </c>
      <c r="E8" s="139">
        <f>FNM!F11</f>
        <v>0</v>
      </c>
      <c r="F8" s="139">
        <f>SPF!F11</f>
        <v>0</v>
      </c>
      <c r="G8" s="139">
        <f>SKA!F11</f>
        <v>0</v>
      </c>
      <c r="H8" s="139">
        <f>POŠ!F11</f>
        <v>240147</v>
      </c>
      <c r="I8" s="139">
        <f>VVŠ!F11</f>
        <v>563516</v>
      </c>
      <c r="J8" s="139">
        <f>ÚDZS!F11</f>
        <v>14391</v>
      </c>
      <c r="K8" s="139">
        <f>ÚPN!F11</f>
        <v>1600</v>
      </c>
      <c r="L8" s="139">
        <f>SNSĽP!F11</f>
        <v>649</v>
      </c>
      <c r="M8" s="139">
        <f>STV!F12</f>
        <v>12573</v>
      </c>
      <c r="N8" s="139">
        <f>SRo!F12</f>
        <v>4502</v>
      </c>
      <c r="O8" s="139">
        <f>RTVS!F13</f>
        <v>3613</v>
      </c>
      <c r="P8" s="139">
        <f>UDVA!F12</f>
        <v>265</v>
      </c>
      <c r="Q8" s="139">
        <f>TASR!F12</f>
        <v>2343</v>
      </c>
      <c r="R8" s="139">
        <f>AVF!F12</f>
        <v>4751</v>
      </c>
      <c r="S8" s="139">
        <f>VÚC!F12</f>
        <v>506910</v>
      </c>
      <c r="T8" s="139">
        <f>POvúc!F11</f>
        <v>252495</v>
      </c>
      <c r="U8" s="139">
        <f>Obce!F12</f>
        <v>1425801</v>
      </c>
      <c r="V8" s="139">
        <f>POO!E11</f>
        <v>140377</v>
      </c>
      <c r="W8" s="139">
        <f>SoPo!F12</f>
        <v>1559000</v>
      </c>
      <c r="X8" s="139">
        <f>ZdPo!E12</f>
        <v>127</v>
      </c>
      <c r="Y8" s="139">
        <f>MRÚ!F12+NOO!F11</f>
        <v>267015</v>
      </c>
      <c r="Z8" s="140">
        <f>SUM(B8:Y8)</f>
        <v>7390451</v>
      </c>
      <c r="AA8" s="140">
        <f>4758318+667556</f>
        <v>5425874</v>
      </c>
      <c r="AB8" s="140">
        <f>Z8-AA8</f>
        <v>1964577</v>
      </c>
      <c r="AC8" s="134"/>
      <c r="AF8" s="196"/>
      <c r="AG8" s="207"/>
      <c r="AH8" s="208"/>
      <c r="AI8" s="208"/>
      <c r="AJ8" s="208"/>
      <c r="AK8" s="208"/>
      <c r="AL8" s="193"/>
      <c r="AM8" s="187"/>
    </row>
    <row r="9" spans="1:39" s="135" customFormat="1" ht="13.5" customHeight="1">
      <c r="A9" s="141" t="s">
        <v>232</v>
      </c>
      <c r="B9" s="142">
        <f>SUM(B10:B11)</f>
        <v>15337011</v>
      </c>
      <c r="C9" s="142">
        <f aca="true" t="shared" si="2" ref="C9:Y9">SUM(C10:C11)</f>
        <v>75513</v>
      </c>
      <c r="D9" s="142">
        <f t="shared" si="2"/>
        <v>100552</v>
      </c>
      <c r="E9" s="142">
        <f t="shared" si="2"/>
        <v>633786</v>
      </c>
      <c r="F9" s="142">
        <f t="shared" si="2"/>
        <v>18329</v>
      </c>
      <c r="G9" s="142">
        <f t="shared" si="2"/>
        <v>19982</v>
      </c>
      <c r="H9" s="142">
        <f t="shared" si="2"/>
        <v>370433</v>
      </c>
      <c r="I9" s="142">
        <f t="shared" si="2"/>
        <v>708228</v>
      </c>
      <c r="J9" s="142">
        <f>SUM(J10:J11)</f>
        <v>16189</v>
      </c>
      <c r="K9" s="142">
        <f t="shared" si="2"/>
        <v>1658</v>
      </c>
      <c r="L9" s="142">
        <f t="shared" si="2"/>
        <v>643</v>
      </c>
      <c r="M9" s="142">
        <f>SUM(M10:M11)</f>
        <v>71260</v>
      </c>
      <c r="N9" s="142">
        <f>SUM(N10:N11)</f>
        <v>29647</v>
      </c>
      <c r="O9" s="142">
        <f>SUM(O10:O11)</f>
        <v>3794</v>
      </c>
      <c r="P9" s="142">
        <f aca="true" t="shared" si="3" ref="P9:R9">SUM(P10:P11)</f>
        <v>626</v>
      </c>
      <c r="Q9" s="142">
        <f t="shared" si="3"/>
        <v>4577</v>
      </c>
      <c r="R9" s="142">
        <f t="shared" si="3"/>
        <v>4993</v>
      </c>
      <c r="S9" s="142">
        <f t="shared" si="2"/>
        <v>1051064</v>
      </c>
      <c r="T9" s="142">
        <f t="shared" si="2"/>
        <v>291104</v>
      </c>
      <c r="U9" s="142">
        <f t="shared" si="2"/>
        <v>3683362</v>
      </c>
      <c r="V9" s="142">
        <f t="shared" si="2"/>
        <v>167602</v>
      </c>
      <c r="W9" s="142">
        <f t="shared" si="2"/>
        <v>5950438</v>
      </c>
      <c r="X9" s="142">
        <f t="shared" si="2"/>
        <v>2646899</v>
      </c>
      <c r="Y9" s="142">
        <f t="shared" si="2"/>
        <v>846423</v>
      </c>
      <c r="Z9" s="141">
        <f aca="true" t="shared" si="4" ref="Z9:Z22">SUM(B9:Y9)</f>
        <v>32034113</v>
      </c>
      <c r="AA9" s="141">
        <f>SUM(AA10:AA11)</f>
        <v>5469310</v>
      </c>
      <c r="AB9" s="141">
        <f>SUM(AB10:AB11)</f>
        <v>26564803</v>
      </c>
      <c r="AC9" s="134"/>
      <c r="AF9" s="198"/>
      <c r="AG9" s="207"/>
      <c r="AH9" s="208"/>
      <c r="AI9" s="208"/>
      <c r="AJ9" s="208"/>
      <c r="AK9" s="208"/>
      <c r="AL9" s="193"/>
      <c r="AM9" s="187"/>
    </row>
    <row r="10" spans="1:39" s="135" customFormat="1" ht="13.5" customHeight="1">
      <c r="A10" s="137" t="s">
        <v>233</v>
      </c>
      <c r="B10" s="138">
        <f>ŠR!F15</f>
        <v>12968403</v>
      </c>
      <c r="C10" s="139">
        <f>ŠFA!F15</f>
        <v>75513</v>
      </c>
      <c r="D10" s="139">
        <f>NJF!F15+ŠFRB!F15+Envir!F15</f>
        <v>58401</v>
      </c>
      <c r="E10" s="139">
        <f>FNM!F15</f>
        <v>633723</v>
      </c>
      <c r="F10" s="139">
        <f>SPF!F15</f>
        <v>18081</v>
      </c>
      <c r="G10" s="139">
        <f>SKA!F15</f>
        <v>19836</v>
      </c>
      <c r="H10" s="139">
        <f>POŠ!F15</f>
        <v>306964</v>
      </c>
      <c r="I10" s="139">
        <f>VVŠ!F15</f>
        <v>565780</v>
      </c>
      <c r="J10" s="139">
        <f>ÚDZS!F15</f>
        <v>14712</v>
      </c>
      <c r="K10" s="139">
        <f>ÚPN!F15</f>
        <v>1656</v>
      </c>
      <c r="L10" s="139">
        <f>SNSĽP!F15</f>
        <v>643</v>
      </c>
      <c r="M10" s="139">
        <f>STV!F15</f>
        <v>70226</v>
      </c>
      <c r="N10" s="139">
        <f>SRo!F15</f>
        <v>27904</v>
      </c>
      <c r="O10" s="139">
        <f>RTVS!F16</f>
        <v>3794</v>
      </c>
      <c r="P10" s="139">
        <f>UDVA!F15</f>
        <v>621</v>
      </c>
      <c r="Q10" s="139">
        <f>TASR!F15</f>
        <v>4429</v>
      </c>
      <c r="R10" s="139">
        <f>AVF!F15</f>
        <v>4978</v>
      </c>
      <c r="S10" s="139">
        <f>VÚC!F15</f>
        <v>942183</v>
      </c>
      <c r="T10" s="139">
        <f>POvúc!F15</f>
        <v>281553</v>
      </c>
      <c r="U10" s="139">
        <f>Obce!F15</f>
        <v>2577978</v>
      </c>
      <c r="V10" s="139">
        <f>POO!E15</f>
        <v>110897</v>
      </c>
      <c r="W10" s="139">
        <f>SoPo!F16</f>
        <v>5944690</v>
      </c>
      <c r="X10" s="139">
        <f>ZdPo!E15</f>
        <v>2638884</v>
      </c>
      <c r="Y10" s="139">
        <f>MRÚ!F15+NOO!F15</f>
        <v>790579</v>
      </c>
      <c r="Z10" s="140">
        <f t="shared" si="4"/>
        <v>28062428</v>
      </c>
      <c r="AA10" s="140">
        <v>4801754</v>
      </c>
      <c r="AB10" s="140">
        <f>Z10-AA10</f>
        <v>23260674</v>
      </c>
      <c r="AC10" s="134"/>
      <c r="AF10" s="198"/>
      <c r="AG10" s="206"/>
      <c r="AH10" s="197"/>
      <c r="AI10" s="197"/>
      <c r="AJ10" s="197"/>
      <c r="AK10" s="197"/>
      <c r="AL10" s="193"/>
      <c r="AM10" s="186"/>
    </row>
    <row r="11" spans="1:39" s="135" customFormat="1" ht="13.5" customHeight="1" thickBot="1">
      <c r="A11" s="137" t="s">
        <v>234</v>
      </c>
      <c r="B11" s="138">
        <f>ŠR!F20</f>
        <v>2368608</v>
      </c>
      <c r="C11" s="139">
        <f>ŠFA!F20</f>
        <v>0</v>
      </c>
      <c r="D11" s="139">
        <f>NJF!F20+ŠFRB!F20+Envir!F20</f>
        <v>42151</v>
      </c>
      <c r="E11" s="139">
        <f>FNM!F20</f>
        <v>63</v>
      </c>
      <c r="F11" s="139">
        <f>SPF!F20</f>
        <v>248</v>
      </c>
      <c r="G11" s="139">
        <f>SKA!F20</f>
        <v>146</v>
      </c>
      <c r="H11" s="139">
        <f>POŠ!F20</f>
        <v>63469</v>
      </c>
      <c r="I11" s="139">
        <f>VVŠ!F20</f>
        <v>142448</v>
      </c>
      <c r="J11" s="139">
        <f>ÚDZS!F20</f>
        <v>1477</v>
      </c>
      <c r="K11" s="139">
        <f>ÚPN!F20</f>
        <v>2</v>
      </c>
      <c r="L11" s="139">
        <f>SNSĽP!F20</f>
        <v>0</v>
      </c>
      <c r="M11" s="139">
        <f>STV!F20</f>
        <v>1034</v>
      </c>
      <c r="N11" s="139">
        <f>SRo!F20</f>
        <v>1743</v>
      </c>
      <c r="O11" s="139">
        <f>RTVS!F21</f>
        <v>0</v>
      </c>
      <c r="P11" s="139">
        <f>UDVA!F20</f>
        <v>5</v>
      </c>
      <c r="Q11" s="139">
        <f>TASR!F20</f>
        <v>148</v>
      </c>
      <c r="R11" s="139">
        <f>AVF!F20</f>
        <v>15</v>
      </c>
      <c r="S11" s="139">
        <f>VÚC!F20</f>
        <v>108881</v>
      </c>
      <c r="T11" s="139">
        <f>POvúc!F20</f>
        <v>9551</v>
      </c>
      <c r="U11" s="139">
        <f>Obce!F20</f>
        <v>1105384</v>
      </c>
      <c r="V11" s="139">
        <f>POO!E20</f>
        <v>56705</v>
      </c>
      <c r="W11" s="139">
        <f>SoPo!F22</f>
        <v>5748</v>
      </c>
      <c r="X11" s="139">
        <f>ZdPo!E20</f>
        <v>8015</v>
      </c>
      <c r="Y11" s="139">
        <f>MRÚ!F20+NOO!F20</f>
        <v>55844</v>
      </c>
      <c r="Z11" s="140">
        <f t="shared" si="4"/>
        <v>3971685</v>
      </c>
      <c r="AA11" s="140">
        <v>667556</v>
      </c>
      <c r="AB11" s="140">
        <f>Z11-AA11</f>
        <v>3304129</v>
      </c>
      <c r="AC11" s="134"/>
      <c r="AF11" s="198"/>
      <c r="AG11" s="207"/>
      <c r="AH11" s="208"/>
      <c r="AI11" s="208"/>
      <c r="AJ11" s="208"/>
      <c r="AK11" s="208"/>
      <c r="AL11" s="193"/>
      <c r="AM11" s="187"/>
    </row>
    <row r="12" spans="1:39" s="148" customFormat="1" ht="19.5" thickBot="1" thickTop="1">
      <c r="A12" s="143" t="s">
        <v>235</v>
      </c>
      <c r="B12" s="144">
        <f aca="true" t="shared" si="5" ref="B12:AA12">B5-B9</f>
        <v>-4436148</v>
      </c>
      <c r="C12" s="144">
        <f t="shared" si="5"/>
        <v>14224</v>
      </c>
      <c r="D12" s="144">
        <f t="shared" si="5"/>
        <v>85351</v>
      </c>
      <c r="E12" s="144">
        <f t="shared" si="5"/>
        <v>-87731</v>
      </c>
      <c r="F12" s="144">
        <f t="shared" si="5"/>
        <v>1711</v>
      </c>
      <c r="G12" s="144">
        <f t="shared" si="5"/>
        <v>-12923</v>
      </c>
      <c r="H12" s="144">
        <f t="shared" si="5"/>
        <v>-3670</v>
      </c>
      <c r="I12" s="144">
        <f t="shared" si="5"/>
        <v>-11511</v>
      </c>
      <c r="J12" s="144">
        <f>J5-J9</f>
        <v>-792</v>
      </c>
      <c r="K12" s="144">
        <f t="shared" si="5"/>
        <v>-32</v>
      </c>
      <c r="L12" s="144">
        <f t="shared" si="5"/>
        <v>6</v>
      </c>
      <c r="M12" s="144">
        <f>M5-M9</f>
        <v>781</v>
      </c>
      <c r="N12" s="144">
        <f>N5-N9</f>
        <v>533</v>
      </c>
      <c r="O12" s="144">
        <f>O5-O9</f>
        <v>-181</v>
      </c>
      <c r="P12" s="144">
        <f aca="true" t="shared" si="6" ref="P12:R12">P5-P9</f>
        <v>165</v>
      </c>
      <c r="Q12" s="144">
        <f t="shared" si="6"/>
        <v>88</v>
      </c>
      <c r="R12" s="144">
        <f t="shared" si="6"/>
        <v>2404</v>
      </c>
      <c r="S12" s="144">
        <f t="shared" si="5"/>
        <v>-21517</v>
      </c>
      <c r="T12" s="144">
        <f t="shared" si="5"/>
        <v>603</v>
      </c>
      <c r="U12" s="144">
        <f t="shared" si="5"/>
        <v>-396329</v>
      </c>
      <c r="V12" s="144">
        <f t="shared" si="5"/>
        <v>-1314</v>
      </c>
      <c r="W12" s="144">
        <f t="shared" si="5"/>
        <v>58062</v>
      </c>
      <c r="X12" s="144">
        <f t="shared" si="5"/>
        <v>-7264</v>
      </c>
      <c r="Y12" s="144">
        <f t="shared" si="5"/>
        <v>2730</v>
      </c>
      <c r="Z12" s="145">
        <f t="shared" si="4"/>
        <v>-4812754</v>
      </c>
      <c r="AA12" s="144">
        <f t="shared" si="5"/>
        <v>0</v>
      </c>
      <c r="AB12" s="145">
        <f>Z12-AA12</f>
        <v>-4812754</v>
      </c>
      <c r="AC12" s="146"/>
      <c r="AD12" s="147"/>
      <c r="AF12" s="199"/>
      <c r="AG12" s="207"/>
      <c r="AH12" s="208"/>
      <c r="AI12" s="208"/>
      <c r="AJ12" s="208"/>
      <c r="AK12" s="208"/>
      <c r="AL12" s="193"/>
      <c r="AM12" s="187"/>
    </row>
    <row r="13" spans="1:39" s="135" customFormat="1" ht="13.5" customHeight="1" thickTop="1">
      <c r="A13" s="140" t="s">
        <v>236</v>
      </c>
      <c r="B13" s="138">
        <f>ŠR!F26</f>
        <v>190529</v>
      </c>
      <c r="C13" s="139">
        <v>0</v>
      </c>
      <c r="D13" s="139">
        <f>NJF!F26+ŠFRB!F26+Envir!F26</f>
        <v>13553</v>
      </c>
      <c r="E13" s="139">
        <f>FNM!F27</f>
        <v>873</v>
      </c>
      <c r="F13" s="139">
        <f>SPF!F26</f>
        <v>547</v>
      </c>
      <c r="G13" s="139">
        <f>SKA!F26</f>
        <v>-36</v>
      </c>
      <c r="H13" s="139">
        <f>POŠ!F26</f>
        <v>-5065</v>
      </c>
      <c r="I13" s="139">
        <f>VVŠ!F26</f>
        <v>-12606</v>
      </c>
      <c r="J13" s="139">
        <f>ÚDZS!F26</f>
        <v>1103</v>
      </c>
      <c r="K13" s="139">
        <f>ÚPN!F26</f>
        <v>1</v>
      </c>
      <c r="L13" s="139">
        <f>SNSĽP!F26</f>
        <v>122</v>
      </c>
      <c r="M13" s="139">
        <f>STV!F26</f>
        <v>-15759</v>
      </c>
      <c r="N13" s="139">
        <f>SRo!F26</f>
        <v>559</v>
      </c>
      <c r="O13" s="139">
        <f>RTVS!F27</f>
        <v>158</v>
      </c>
      <c r="P13" s="139">
        <f>UDVA!F26</f>
        <v>-7</v>
      </c>
      <c r="Q13" s="139">
        <f>TASR!F26</f>
        <v>42</v>
      </c>
      <c r="R13" s="139">
        <f>AVF!F26</f>
        <v>-1023</v>
      </c>
      <c r="S13" s="139">
        <f>VÚC!F26</f>
        <v>-4087</v>
      </c>
      <c r="T13" s="139">
        <f>POvúc!F26</f>
        <v>1106</v>
      </c>
      <c r="U13" s="139">
        <f>Obce!F26</f>
        <v>-145187</v>
      </c>
      <c r="V13" s="139">
        <f>POO!E26</f>
        <v>-17605</v>
      </c>
      <c r="W13" s="139">
        <f>SoPo!F28</f>
        <v>19652</v>
      </c>
      <c r="X13" s="139">
        <f>ZdPo!E26</f>
        <v>-49901</v>
      </c>
      <c r="Y13" s="139">
        <f>MRÚ!F26+NOO!F26</f>
        <v>-2687</v>
      </c>
      <c r="Z13" s="140">
        <f t="shared" si="4"/>
        <v>-25718</v>
      </c>
      <c r="AA13" s="140">
        <v>0</v>
      </c>
      <c r="AB13" s="149">
        <f>Z13-AA13</f>
        <v>-25718</v>
      </c>
      <c r="AC13" s="134"/>
      <c r="AF13" s="198"/>
      <c r="AG13" s="206"/>
      <c r="AH13" s="197"/>
      <c r="AI13" s="197"/>
      <c r="AJ13" s="197"/>
      <c r="AK13" s="197"/>
      <c r="AL13" s="193"/>
      <c r="AM13" s="186"/>
    </row>
    <row r="14" spans="1:39" s="135" customFormat="1" ht="13.5" customHeight="1">
      <c r="A14" s="140" t="s">
        <v>237</v>
      </c>
      <c r="B14" s="138">
        <f>ŠR!F37</f>
        <v>-99380</v>
      </c>
      <c r="C14" s="138">
        <f>ŠFA!F26</f>
        <v>-88806</v>
      </c>
      <c r="D14" s="138">
        <f>NJF!F30+ŠFRB!F30+Envir!F30</f>
        <v>0</v>
      </c>
      <c r="E14" s="138">
        <f>FNM!F31</f>
        <v>-126412</v>
      </c>
      <c r="F14" s="138">
        <f>SPF!F30</f>
        <v>0</v>
      </c>
      <c r="G14" s="138">
        <f>SKA!F30</f>
        <v>438</v>
      </c>
      <c r="H14" s="138">
        <f>POŠ!F30</f>
        <v>-13</v>
      </c>
      <c r="I14" s="138">
        <f>VVŠ!F30</f>
        <v>0</v>
      </c>
      <c r="J14" s="138">
        <f>ÚDZS!F30</f>
        <v>0</v>
      </c>
      <c r="K14" s="138">
        <f>ÚPN!F30</f>
        <v>0</v>
      </c>
      <c r="L14" s="138">
        <f>SNSĽP!F30</f>
        <v>-121</v>
      </c>
      <c r="M14" s="138">
        <f>STV!F30</f>
        <v>-182</v>
      </c>
      <c r="N14" s="138">
        <f>SRo!F30</f>
        <v>0</v>
      </c>
      <c r="O14" s="138">
        <f>RTVS!F31</f>
        <v>0</v>
      </c>
      <c r="P14" s="138">
        <f>UDVA!F30</f>
        <v>0</v>
      </c>
      <c r="Q14" s="138">
        <f>TASR!F30</f>
        <v>0</v>
      </c>
      <c r="R14" s="138">
        <f>AVF!F30</f>
        <v>0</v>
      </c>
      <c r="S14" s="138">
        <f>VÚC!F31</f>
        <v>446</v>
      </c>
      <c r="T14" s="138">
        <f>POvúc!F30</f>
        <v>-29</v>
      </c>
      <c r="U14" s="138">
        <f>Obce!F30</f>
        <v>-438</v>
      </c>
      <c r="V14" s="138">
        <f>POO!E30</f>
        <v>-162</v>
      </c>
      <c r="W14" s="138">
        <f>SoPo!F33</f>
        <v>-10417</v>
      </c>
      <c r="X14" s="138">
        <f>ZdPo!E31</f>
        <v>-34815</v>
      </c>
      <c r="Y14" s="138">
        <f>MRÚ!F30+NOO!F30</f>
        <v>-8688</v>
      </c>
      <c r="Z14" s="140">
        <f t="shared" si="4"/>
        <v>-368579</v>
      </c>
      <c r="AA14" s="140">
        <v>0</v>
      </c>
      <c r="AB14" s="149">
        <f>Z14-AA14</f>
        <v>-368579</v>
      </c>
      <c r="AC14" s="134"/>
      <c r="AE14" s="136"/>
      <c r="AF14" s="198"/>
      <c r="AG14" s="461"/>
      <c r="AH14" s="461"/>
      <c r="AI14" s="461"/>
      <c r="AJ14" s="461"/>
      <c r="AK14" s="461"/>
      <c r="AL14" s="193"/>
      <c r="AM14" s="209"/>
    </row>
    <row r="15" spans="1:39" s="135" customFormat="1" ht="13.5" customHeight="1">
      <c r="A15" s="150" t="s">
        <v>238</v>
      </c>
      <c r="B15" s="142">
        <f aca="true" t="shared" si="7" ref="B15:Y15">SUM(B16:B18)</f>
        <v>11391206</v>
      </c>
      <c r="C15" s="142">
        <f t="shared" si="7"/>
        <v>89737</v>
      </c>
      <c r="D15" s="142">
        <f t="shared" si="7"/>
        <v>193313</v>
      </c>
      <c r="E15" s="142">
        <f t="shared" si="7"/>
        <v>419732</v>
      </c>
      <c r="F15" s="142">
        <f t="shared" si="7"/>
        <v>20020</v>
      </c>
      <c r="G15" s="142">
        <f t="shared" si="7"/>
        <v>7380</v>
      </c>
      <c r="H15" s="142">
        <f t="shared" si="7"/>
        <v>369765</v>
      </c>
      <c r="I15" s="142">
        <f t="shared" si="7"/>
        <v>697852</v>
      </c>
      <c r="J15" s="142">
        <f>SUM(J16:J18)</f>
        <v>15391</v>
      </c>
      <c r="K15" s="142">
        <f t="shared" si="7"/>
        <v>1628</v>
      </c>
      <c r="L15" s="142">
        <f t="shared" si="7"/>
        <v>646</v>
      </c>
      <c r="M15" s="142">
        <f>SUM(M16:M18)</f>
        <v>68352</v>
      </c>
      <c r="N15" s="142">
        <f>SUM(N16:N18)</f>
        <v>30305</v>
      </c>
      <c r="O15" s="142">
        <f>SUM(O16:O18)</f>
        <v>3617</v>
      </c>
      <c r="P15" s="142">
        <f aca="true" t="shared" si="8" ref="P15:R15">SUM(P16:P18)</f>
        <v>780</v>
      </c>
      <c r="Q15" s="142">
        <f t="shared" si="8"/>
        <v>4589</v>
      </c>
      <c r="R15" s="142">
        <f t="shared" si="8"/>
        <v>7410</v>
      </c>
      <c r="S15" s="142">
        <f t="shared" si="7"/>
        <v>1039054</v>
      </c>
      <c r="T15" s="142">
        <f t="shared" si="7"/>
        <v>293118</v>
      </c>
      <c r="U15" s="142">
        <f t="shared" si="7"/>
        <v>3270995</v>
      </c>
      <c r="V15" s="142">
        <f t="shared" si="7"/>
        <v>165584</v>
      </c>
      <c r="W15" s="142">
        <f t="shared" si="7"/>
        <v>6018099</v>
      </c>
      <c r="X15" s="142">
        <f t="shared" si="7"/>
        <v>3539715</v>
      </c>
      <c r="Y15" s="142">
        <f t="shared" si="7"/>
        <v>-389871</v>
      </c>
      <c r="Z15" s="141">
        <f t="shared" si="4"/>
        <v>27258417</v>
      </c>
      <c r="AA15" s="141">
        <f>SUM(AA16:AA18)</f>
        <v>5469477</v>
      </c>
      <c r="AB15" s="141">
        <f>SUM(AB16:AB18)</f>
        <v>21788940</v>
      </c>
      <c r="AC15" s="134"/>
      <c r="AE15" s="136"/>
      <c r="AF15" s="198"/>
      <c r="AG15" s="210"/>
      <c r="AH15" s="211"/>
      <c r="AI15" s="211"/>
      <c r="AJ15" s="211"/>
      <c r="AK15" s="211"/>
      <c r="AL15" s="193"/>
      <c r="AM15" s="194"/>
    </row>
    <row r="16" spans="1:39" s="135" customFormat="1" ht="13.5" customHeight="1">
      <c r="A16" s="137" t="s">
        <v>229</v>
      </c>
      <c r="B16" s="138">
        <f>ŠR!F5+ŠR!F35</f>
        <v>8217116</v>
      </c>
      <c r="C16" s="138">
        <v>0</v>
      </c>
      <c r="D16" s="139">
        <f>Envir!F5</f>
        <v>1183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f>STV!F5</f>
        <v>53316</v>
      </c>
      <c r="N16" s="139">
        <f>SRo!F5</f>
        <v>22782</v>
      </c>
      <c r="O16" s="139">
        <f>RTVS!F6</f>
        <v>0</v>
      </c>
      <c r="P16" s="139">
        <v>0</v>
      </c>
      <c r="Q16" s="139">
        <v>0</v>
      </c>
      <c r="R16" s="139">
        <v>0</v>
      </c>
      <c r="S16" s="139">
        <f>VÚC!F5+VÚC!F29</f>
        <v>454225</v>
      </c>
      <c r="T16" s="139">
        <v>0</v>
      </c>
      <c r="U16" s="139">
        <f>Obce!F5</f>
        <v>1421927</v>
      </c>
      <c r="V16" s="139">
        <v>0</v>
      </c>
      <c r="W16" s="139">
        <f>SoPo!F5+SoPo!F29</f>
        <v>4444379</v>
      </c>
      <c r="X16" s="139">
        <f>ZdPo!E5+ZdPo!E27+895848</f>
        <v>3533077</v>
      </c>
      <c r="Y16" s="139">
        <f>MRÚ!F5</f>
        <v>157097</v>
      </c>
      <c r="Z16" s="140">
        <f t="shared" si="4"/>
        <v>18305102</v>
      </c>
      <c r="AA16" s="140">
        <f>AA6</f>
        <v>0</v>
      </c>
      <c r="AB16" s="140">
        <f>Z16-AA16</f>
        <v>18305102</v>
      </c>
      <c r="AC16" s="134"/>
      <c r="AE16" s="136"/>
      <c r="AF16" s="198"/>
      <c r="AG16" s="212"/>
      <c r="AH16" s="211"/>
      <c r="AI16" s="211"/>
      <c r="AJ16" s="211"/>
      <c r="AK16" s="211"/>
      <c r="AL16" s="193"/>
      <c r="AM16" s="194"/>
    </row>
    <row r="17" spans="1:39" s="135" customFormat="1" ht="13.5" customHeight="1">
      <c r="A17" s="137" t="s">
        <v>230</v>
      </c>
      <c r="B17" s="138">
        <f>ŠR!F6+ŠR!F27+ŠR!F32+ŠR!F33+ŠR!F41+ŠR!F45</f>
        <v>702405</v>
      </c>
      <c r="C17" s="138">
        <f>ŠFA!F5</f>
        <v>113</v>
      </c>
      <c r="D17" s="139">
        <f>NJF!F5+NJF!F27+ŠFRB!F5+ŠFRB!F27+Envir!F6+Envir!F27</f>
        <v>137127</v>
      </c>
      <c r="E17" s="139">
        <f>FNM!F5+FNM!F28+FNM!F32</f>
        <v>419732</v>
      </c>
      <c r="F17" s="139">
        <f>SPF!F5+SPF!F27</f>
        <v>20020</v>
      </c>
      <c r="G17" s="139">
        <f>SKA!F5+SKA!F27+SKA!F31</f>
        <v>7380</v>
      </c>
      <c r="H17" s="139">
        <f>POŠ!F5+POŠ!F27</f>
        <v>129618</v>
      </c>
      <c r="I17" s="139">
        <f>VVŠ!F5+VVŠ!F27</f>
        <v>134336</v>
      </c>
      <c r="J17" s="139">
        <f>ÚDZS!F5+ÚDZS!F27</f>
        <v>1000</v>
      </c>
      <c r="K17" s="139">
        <f>ÚPN!F5+ÚPN!F27</f>
        <v>28</v>
      </c>
      <c r="L17" s="139">
        <f>SNSĽP!F5</f>
        <v>0</v>
      </c>
      <c r="M17" s="139">
        <f>STV!F6+STV!F27</f>
        <v>2463</v>
      </c>
      <c r="N17" s="139">
        <f>SRo!F6+SRo!F27</f>
        <v>3021</v>
      </c>
      <c r="O17" s="139">
        <f>RTVS!F7+RTVS!F28</f>
        <v>4</v>
      </c>
      <c r="P17" s="139">
        <f>UDVA!F6+UDVA!F27</f>
        <v>515</v>
      </c>
      <c r="Q17" s="139">
        <f>TASR!F6+TASR!F27</f>
        <v>2246</v>
      </c>
      <c r="R17" s="139">
        <f>AVF!F6+AVF!F27</f>
        <v>2659</v>
      </c>
      <c r="S17" s="139">
        <f>VÚC!F6+VÚC!F27+VÚC!F34</f>
        <v>77919</v>
      </c>
      <c r="T17" s="139">
        <f>POvúc!F5+POvúc!F27</f>
        <v>40623</v>
      </c>
      <c r="U17" s="139">
        <f>Obce!F6+Obce!F27</f>
        <v>423267</v>
      </c>
      <c r="V17" s="139">
        <f>POO!E5+POO!E27</f>
        <v>25207</v>
      </c>
      <c r="W17" s="139">
        <f>SoPo!F6+SoPo!F30</f>
        <v>14720</v>
      </c>
      <c r="X17" s="139">
        <f>ZdPo!E6+ZdPo!E28+ZdPo!E34+ZdPo!E36+(ZdPo!E32-895848)</f>
        <v>6511</v>
      </c>
      <c r="Y17" s="139">
        <f>NOO!F5+NOO!F27+MRÚ!F6</f>
        <v>425264</v>
      </c>
      <c r="Z17" s="140">
        <f t="shared" si="4"/>
        <v>2576178</v>
      </c>
      <c r="AA17" s="140">
        <f>AA7+167</f>
        <v>43603</v>
      </c>
      <c r="AB17" s="140">
        <f>Z17-AA17</f>
        <v>2532575</v>
      </c>
      <c r="AC17" s="134"/>
      <c r="AE17" s="136"/>
      <c r="AF17" s="198"/>
      <c r="AG17" s="198"/>
      <c r="AH17" s="198"/>
      <c r="AI17" s="198"/>
      <c r="AJ17" s="198"/>
      <c r="AK17" s="198"/>
      <c r="AL17" s="198"/>
      <c r="AM17" s="200"/>
    </row>
    <row r="18" spans="1:39" s="135" customFormat="1" ht="13.5" customHeight="1">
      <c r="A18" s="137" t="s">
        <v>231</v>
      </c>
      <c r="B18" s="138">
        <f>ŠR!F12+ŠR!F36</f>
        <v>2471685</v>
      </c>
      <c r="C18" s="138">
        <f>ŠFA!F11</f>
        <v>89624</v>
      </c>
      <c r="D18" s="139">
        <f>NJF!F11+ŠFRB!F11+Envir!F12</f>
        <v>55003</v>
      </c>
      <c r="E18" s="139">
        <f>FNM!F11</f>
        <v>0</v>
      </c>
      <c r="F18" s="139">
        <f>SPF!F11</f>
        <v>0</v>
      </c>
      <c r="G18" s="139">
        <f>SKA!F11</f>
        <v>0</v>
      </c>
      <c r="H18" s="139">
        <f>POŠ!F11</f>
        <v>240147</v>
      </c>
      <c r="I18" s="139">
        <f>VVŠ!F11</f>
        <v>563516</v>
      </c>
      <c r="J18" s="139">
        <f>ÚDZS!F11</f>
        <v>14391</v>
      </c>
      <c r="K18" s="139">
        <f>ÚPN!F11</f>
        <v>1600</v>
      </c>
      <c r="L18" s="139">
        <f>SNSĽP!F11+SNSĽP!F27</f>
        <v>646</v>
      </c>
      <c r="M18" s="139">
        <f>STV!F12</f>
        <v>12573</v>
      </c>
      <c r="N18" s="139">
        <f>SRo!F12</f>
        <v>4502</v>
      </c>
      <c r="O18" s="139">
        <f>RTVS!F13</f>
        <v>3613</v>
      </c>
      <c r="P18" s="139">
        <f>UDVA!F12</f>
        <v>265</v>
      </c>
      <c r="Q18" s="139">
        <f>TASR!F12</f>
        <v>2343</v>
      </c>
      <c r="R18" s="139">
        <f>AVF!F12</f>
        <v>4751</v>
      </c>
      <c r="S18" s="139">
        <f>VÚC!F12</f>
        <v>506910</v>
      </c>
      <c r="T18" s="139">
        <f>POvúc!F11</f>
        <v>252495</v>
      </c>
      <c r="U18" s="139">
        <f>Obce!F12</f>
        <v>1425801</v>
      </c>
      <c r="V18" s="139">
        <f>POO!E11</f>
        <v>140377</v>
      </c>
      <c r="W18" s="139">
        <f>SoPo!F12</f>
        <v>1559000</v>
      </c>
      <c r="X18" s="139">
        <f>ZdPo!E12</f>
        <v>127</v>
      </c>
      <c r="Y18" s="139">
        <f>NOO!F11+MRÚ!F12+ŠR!F43</f>
        <v>-972232</v>
      </c>
      <c r="Z18" s="140">
        <f t="shared" si="4"/>
        <v>6377137</v>
      </c>
      <c r="AA18" s="140">
        <f aca="true" t="shared" si="9" ref="AA18">AA8</f>
        <v>5425874</v>
      </c>
      <c r="AB18" s="140">
        <f>Z18-AA18</f>
        <v>951263</v>
      </c>
      <c r="AC18" s="134"/>
      <c r="AE18" s="136"/>
      <c r="AM18" s="181"/>
    </row>
    <row r="19" spans="1:39" s="135" customFormat="1" ht="13.5" customHeight="1">
      <c r="A19" s="150" t="s">
        <v>239</v>
      </c>
      <c r="B19" s="142">
        <f aca="true" t="shared" si="10" ref="B19:Y19">SUM(B20:B21)</f>
        <v>15736205</v>
      </c>
      <c r="C19" s="142">
        <f t="shared" si="10"/>
        <v>164319</v>
      </c>
      <c r="D19" s="142">
        <f t="shared" si="10"/>
        <v>94409</v>
      </c>
      <c r="E19" s="142">
        <f t="shared" si="10"/>
        <v>633002</v>
      </c>
      <c r="F19" s="142">
        <f t="shared" si="10"/>
        <v>17762</v>
      </c>
      <c r="G19" s="142">
        <f t="shared" si="10"/>
        <v>19901</v>
      </c>
      <c r="H19" s="142">
        <f t="shared" si="10"/>
        <v>378513</v>
      </c>
      <c r="I19" s="142">
        <f t="shared" si="10"/>
        <v>721969</v>
      </c>
      <c r="J19" s="142">
        <f>SUM(J20:J21)</f>
        <v>15080</v>
      </c>
      <c r="K19" s="142">
        <f t="shared" si="10"/>
        <v>1659</v>
      </c>
      <c r="L19" s="142">
        <f t="shared" si="10"/>
        <v>639</v>
      </c>
      <c r="M19" s="142">
        <f>SUM(M20:M21)</f>
        <v>83512</v>
      </c>
      <c r="N19" s="142">
        <f>SUM(N20:N21)</f>
        <v>29213</v>
      </c>
      <c r="O19" s="142">
        <f>SUM(O20:O21)</f>
        <v>3640</v>
      </c>
      <c r="P19" s="142">
        <f aca="true" t="shared" si="11" ref="P19:R19">SUM(P20:P21)</f>
        <v>622</v>
      </c>
      <c r="Q19" s="142">
        <f t="shared" si="11"/>
        <v>4459</v>
      </c>
      <c r="R19" s="142">
        <f t="shared" si="11"/>
        <v>6029</v>
      </c>
      <c r="S19" s="142">
        <f t="shared" si="10"/>
        <v>1064212</v>
      </c>
      <c r="T19" s="142">
        <f t="shared" si="10"/>
        <v>291438</v>
      </c>
      <c r="U19" s="142">
        <f t="shared" si="10"/>
        <v>3812949</v>
      </c>
      <c r="V19" s="142">
        <f t="shared" si="10"/>
        <v>184665</v>
      </c>
      <c r="W19" s="142">
        <f t="shared" si="10"/>
        <v>5950802</v>
      </c>
      <c r="X19" s="142">
        <f t="shared" si="10"/>
        <v>3631695</v>
      </c>
      <c r="Y19" s="142">
        <f t="shared" si="10"/>
        <v>-381226</v>
      </c>
      <c r="Z19" s="141">
        <f t="shared" si="4"/>
        <v>32465468</v>
      </c>
      <c r="AA19" s="141">
        <f>SUM(AA20:AA21)</f>
        <v>5469477</v>
      </c>
      <c r="AB19" s="141">
        <f>SUM(AB20:AB21)</f>
        <v>26995991</v>
      </c>
      <c r="AC19" s="134"/>
      <c r="AE19" s="136"/>
      <c r="AM19" s="181"/>
    </row>
    <row r="20" spans="1:39" s="135" customFormat="1" ht="13.5" customHeight="1">
      <c r="A20" s="137" t="s">
        <v>233</v>
      </c>
      <c r="B20" s="138">
        <f>ŠR!F15-ŠR!F28-ŠR!F31-ŠR!F42-ŠR!F40</f>
        <v>13363400</v>
      </c>
      <c r="C20" s="138">
        <f>ŠFA!F15</f>
        <v>75513</v>
      </c>
      <c r="D20" s="151">
        <f>NJF!F15-NJF!F28+ŠFRB!F15-ŠFRB!F28+Envir!F15-Envir!F28</f>
        <v>52258</v>
      </c>
      <c r="E20" s="139">
        <f>FNM!F15-FNM!F29</f>
        <v>632939</v>
      </c>
      <c r="F20" s="139">
        <f>SPF!F15-SPF!F28</f>
        <v>17514</v>
      </c>
      <c r="G20" s="139">
        <f>SKA!F15-SKA!F28-SKA!F32</f>
        <v>19755</v>
      </c>
      <c r="H20" s="139">
        <f>POŠ!F15-POŠ!F28</f>
        <v>315031</v>
      </c>
      <c r="I20" s="139">
        <f>VVŠ!F15-VVŠ!F28</f>
        <v>579521</v>
      </c>
      <c r="J20" s="139">
        <f>ÚDZS!F15-ÚDZS!F28</f>
        <v>13603</v>
      </c>
      <c r="K20" s="139">
        <f>ÚPN!F15-ÚPN!F28</f>
        <v>1657</v>
      </c>
      <c r="L20" s="139">
        <f>SNSĽP!F15-SNSĽP!F28-SNSĽP!F31</f>
        <v>639</v>
      </c>
      <c r="M20" s="139">
        <f>STV!F15-STV!F28</f>
        <v>82296</v>
      </c>
      <c r="N20" s="139">
        <f>SRo!F15-SRo!F28</f>
        <v>27470</v>
      </c>
      <c r="O20" s="139">
        <f>RTVS!F16-RTVS!F29</f>
        <v>3640</v>
      </c>
      <c r="P20" s="139">
        <f>UDVA!F15-UDVA!F28</f>
        <v>617</v>
      </c>
      <c r="Q20" s="139">
        <f>TASR!F15-TASR!F28</f>
        <v>4311</v>
      </c>
      <c r="R20" s="139">
        <f>AVF!F15-AVF!F28</f>
        <v>6014</v>
      </c>
      <c r="S20" s="139">
        <f>VÚC!F15-VÚC!F28</f>
        <v>955800</v>
      </c>
      <c r="T20" s="139">
        <f>POvúc!F15-POvúc!F28</f>
        <v>281858</v>
      </c>
      <c r="U20" s="139">
        <f>Obce!F15-Obce!F28</f>
        <v>2707127</v>
      </c>
      <c r="V20" s="139">
        <f>POO!E15-POO!E28</f>
        <v>127798</v>
      </c>
      <c r="W20" s="139">
        <f>SoPo!F16-SoPo!F31-SoPo!F34</f>
        <v>5943889</v>
      </c>
      <c r="X20" s="139">
        <f>ZdPo!E15-ZdPo!E29-ZdPo!E35-ZdPo!E37-ZdPo!E38-(ZdPo!E33+276)</f>
        <v>3623404</v>
      </c>
      <c r="Y20" s="139">
        <f>NOO!F15-NOO!F28+MRÚ!F15-MRÚ!F31-522587</f>
        <v>279590</v>
      </c>
      <c r="Z20" s="140">
        <f t="shared" si="4"/>
        <v>29115644</v>
      </c>
      <c r="AA20" s="140">
        <f>AA10+167</f>
        <v>4801921</v>
      </c>
      <c r="AB20" s="140">
        <f>Z20-AA20</f>
        <v>24313723</v>
      </c>
      <c r="AC20" s="134"/>
      <c r="AE20" s="136"/>
      <c r="AM20" s="181"/>
    </row>
    <row r="21" spans="1:39" s="135" customFormat="1" ht="13.5" customHeight="1" thickBot="1">
      <c r="A21" s="137" t="s">
        <v>234</v>
      </c>
      <c r="B21" s="138">
        <f>ŠR!F20-ŠR!F38-ŠR!F39</f>
        <v>2372805</v>
      </c>
      <c r="C21" s="138">
        <f>ŠFA!F20-ŠFA!F27-ŠFA!F28-ŠFA!F29</f>
        <v>88806</v>
      </c>
      <c r="D21" s="151">
        <f>NJF!F20+ŠFRB!F20+Envir!F20</f>
        <v>42151</v>
      </c>
      <c r="E21" s="139">
        <f>FNM!F20</f>
        <v>63</v>
      </c>
      <c r="F21" s="139">
        <f>SPF!F20</f>
        <v>248</v>
      </c>
      <c r="G21" s="139">
        <f>SKA!F20</f>
        <v>146</v>
      </c>
      <c r="H21" s="139">
        <f>POŠ!F20-POŠ!F31</f>
        <v>63482</v>
      </c>
      <c r="I21" s="139">
        <f>VVŠ!F20</f>
        <v>142448</v>
      </c>
      <c r="J21" s="139">
        <f>ÚDZS!F20</f>
        <v>1477</v>
      </c>
      <c r="K21" s="139">
        <f>ÚPN!F20</f>
        <v>2</v>
      </c>
      <c r="L21" s="139">
        <f>SNSĽP!F20</f>
        <v>0</v>
      </c>
      <c r="M21" s="139">
        <f>STV!F20-STV!F31</f>
        <v>1216</v>
      </c>
      <c r="N21" s="139">
        <f>SRo!F20</f>
        <v>1743</v>
      </c>
      <c r="O21" s="139">
        <f>RTVS!F21</f>
        <v>0</v>
      </c>
      <c r="P21" s="139">
        <f>UDVA!F20</f>
        <v>5</v>
      </c>
      <c r="Q21" s="139">
        <f>TASR!F20</f>
        <v>148</v>
      </c>
      <c r="R21" s="139">
        <f>AVF!F20</f>
        <v>15</v>
      </c>
      <c r="S21" s="139">
        <f>VÚC!F20-VÚC!F32-VÚC!F33-VÚC!F35</f>
        <v>108412</v>
      </c>
      <c r="T21" s="139">
        <f>POvúc!F20-POvúc!F31</f>
        <v>9580</v>
      </c>
      <c r="U21" s="139">
        <f>Obce!F20-Obce!F31</f>
        <v>1105822</v>
      </c>
      <c r="V21" s="139">
        <f>POO!E20-POO!E31</f>
        <v>56867</v>
      </c>
      <c r="W21" s="139">
        <f>SoPo!F22-SoPo!F35</f>
        <v>6913</v>
      </c>
      <c r="X21" s="139">
        <f>ZdPo!E20+276</f>
        <v>8291</v>
      </c>
      <c r="Y21" s="139">
        <f>NOO!F20+MRÚ!F20-716660</f>
        <v>-660816</v>
      </c>
      <c r="Z21" s="140">
        <f t="shared" si="4"/>
        <v>3349824</v>
      </c>
      <c r="AA21" s="140">
        <f aca="true" t="shared" si="12" ref="AA21">AA11</f>
        <v>667556</v>
      </c>
      <c r="AB21" s="140">
        <f>Z21-AA21</f>
        <v>2682268</v>
      </c>
      <c r="AC21" s="134"/>
      <c r="AE21" s="136"/>
      <c r="AM21" s="181"/>
    </row>
    <row r="22" spans="1:39" s="148" customFormat="1" ht="21" customHeight="1" thickBot="1" thickTop="1">
      <c r="A22" s="143" t="s">
        <v>240</v>
      </c>
      <c r="B22" s="144">
        <f>B15-B19</f>
        <v>-4344999</v>
      </c>
      <c r="C22" s="144">
        <f>C15-C19</f>
        <v>-74582</v>
      </c>
      <c r="D22" s="144">
        <f aca="true" t="shared" si="13" ref="D22:AA22">D15-D19</f>
        <v>98904</v>
      </c>
      <c r="E22" s="144">
        <f t="shared" si="13"/>
        <v>-213270</v>
      </c>
      <c r="F22" s="144">
        <f t="shared" si="13"/>
        <v>2258</v>
      </c>
      <c r="G22" s="144">
        <f t="shared" si="13"/>
        <v>-12521</v>
      </c>
      <c r="H22" s="144">
        <f t="shared" si="13"/>
        <v>-8748</v>
      </c>
      <c r="I22" s="144">
        <f t="shared" si="13"/>
        <v>-24117</v>
      </c>
      <c r="J22" s="144">
        <f t="shared" si="13"/>
        <v>311</v>
      </c>
      <c r="K22" s="144">
        <f t="shared" si="13"/>
        <v>-31</v>
      </c>
      <c r="L22" s="144">
        <f t="shared" si="13"/>
        <v>7</v>
      </c>
      <c r="M22" s="144">
        <f t="shared" si="13"/>
        <v>-15160</v>
      </c>
      <c r="N22" s="144">
        <f t="shared" si="13"/>
        <v>1092</v>
      </c>
      <c r="O22" s="144">
        <f t="shared" si="13"/>
        <v>-23</v>
      </c>
      <c r="P22" s="144">
        <f aca="true" t="shared" si="14" ref="P22:R22">P15-P19</f>
        <v>158</v>
      </c>
      <c r="Q22" s="144">
        <f t="shared" si="14"/>
        <v>130</v>
      </c>
      <c r="R22" s="144">
        <f t="shared" si="14"/>
        <v>1381</v>
      </c>
      <c r="S22" s="144">
        <f t="shared" si="13"/>
        <v>-25158</v>
      </c>
      <c r="T22" s="144">
        <f t="shared" si="13"/>
        <v>1680</v>
      </c>
      <c r="U22" s="144">
        <f t="shared" si="13"/>
        <v>-541954</v>
      </c>
      <c r="V22" s="144">
        <f t="shared" si="13"/>
        <v>-19081</v>
      </c>
      <c r="W22" s="144">
        <f t="shared" si="13"/>
        <v>67297</v>
      </c>
      <c r="X22" s="144">
        <f t="shared" si="13"/>
        <v>-91980</v>
      </c>
      <c r="Y22" s="144">
        <f t="shared" si="13"/>
        <v>-8645</v>
      </c>
      <c r="Z22" s="145">
        <f t="shared" si="4"/>
        <v>-5207051</v>
      </c>
      <c r="AA22" s="144">
        <f t="shared" si="13"/>
        <v>0</v>
      </c>
      <c r="AB22" s="145">
        <f>Z22-AA22</f>
        <v>-5207051</v>
      </c>
      <c r="AC22" s="146"/>
      <c r="AD22" s="147"/>
      <c r="AM22" s="182"/>
    </row>
    <row r="23" spans="1:29" ht="13.5" thickTop="1">
      <c r="A23" s="153" t="s">
        <v>247</v>
      </c>
      <c r="B23" s="154"/>
      <c r="C23" s="154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</row>
    <row r="24" spans="1:29" ht="12.75">
      <c r="A24" s="152" t="s">
        <v>270</v>
      </c>
      <c r="B24" s="153"/>
      <c r="C24" s="153"/>
      <c r="D24" s="153"/>
      <c r="E24" s="153"/>
      <c r="F24" s="153"/>
      <c r="G24" s="153"/>
      <c r="H24" s="153"/>
      <c r="I24" s="155"/>
      <c r="J24" s="155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29" ht="13.5" thickBo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26" t="s">
        <v>200</v>
      </c>
      <c r="AC25" s="153"/>
    </row>
    <row r="26" spans="1:29" ht="45.75" thickBot="1">
      <c r="A26" s="127" t="s">
        <v>241</v>
      </c>
      <c r="B26" s="128" t="s">
        <v>17</v>
      </c>
      <c r="C26" s="128" t="s">
        <v>242</v>
      </c>
      <c r="D26" s="128" t="s">
        <v>214</v>
      </c>
      <c r="E26" s="128" t="s">
        <v>215</v>
      </c>
      <c r="F26" s="128" t="s">
        <v>216</v>
      </c>
      <c r="G26" s="128" t="s">
        <v>246</v>
      </c>
      <c r="H26" s="128" t="s">
        <v>217</v>
      </c>
      <c r="I26" s="128" t="s">
        <v>18</v>
      </c>
      <c r="J26" s="128" t="s">
        <v>218</v>
      </c>
      <c r="K26" s="128" t="s">
        <v>2</v>
      </c>
      <c r="L26" s="128" t="s">
        <v>219</v>
      </c>
      <c r="M26" s="128" t="s">
        <v>220</v>
      </c>
      <c r="N26" s="128" t="s">
        <v>66</v>
      </c>
      <c r="O26" s="128" t="s">
        <v>221</v>
      </c>
      <c r="P26" s="128" t="s">
        <v>158</v>
      </c>
      <c r="Q26" s="128" t="s">
        <v>188</v>
      </c>
      <c r="R26" s="128" t="s">
        <v>249</v>
      </c>
      <c r="S26" s="128" t="s">
        <v>222</v>
      </c>
      <c r="T26" s="128" t="s">
        <v>223</v>
      </c>
      <c r="U26" s="128" t="s">
        <v>19</v>
      </c>
      <c r="V26" s="128" t="s">
        <v>224</v>
      </c>
      <c r="W26" s="128" t="s">
        <v>1</v>
      </c>
      <c r="X26" s="128" t="s">
        <v>248</v>
      </c>
      <c r="Y26" s="128" t="s">
        <v>271</v>
      </c>
      <c r="Z26" s="127" t="s">
        <v>225</v>
      </c>
      <c r="AA26" s="127" t="s">
        <v>226</v>
      </c>
      <c r="AB26" s="127" t="s">
        <v>227</v>
      </c>
      <c r="AC26" s="129"/>
    </row>
    <row r="27" spans="1:39" s="158" customFormat="1" ht="13.5" customHeight="1">
      <c r="A27" s="156" t="s">
        <v>228</v>
      </c>
      <c r="B27" s="157">
        <f aca="true" t="shared" si="15" ref="B27:Y27">SUM(B28:B30)</f>
        <v>11866957</v>
      </c>
      <c r="C27" s="157">
        <f t="shared" si="15"/>
        <v>402370</v>
      </c>
      <c r="D27" s="157">
        <f t="shared" si="15"/>
        <v>287544</v>
      </c>
      <c r="E27" s="157">
        <f t="shared" si="15"/>
        <v>375940</v>
      </c>
      <c r="F27" s="157">
        <f t="shared" si="15"/>
        <v>19658</v>
      </c>
      <c r="G27" s="157">
        <f t="shared" si="15"/>
        <v>8786</v>
      </c>
      <c r="H27" s="157">
        <f t="shared" si="15"/>
        <v>213597</v>
      </c>
      <c r="I27" s="157">
        <f t="shared" si="15"/>
        <v>506307</v>
      </c>
      <c r="J27" s="157">
        <f>SUM(J28:J30)</f>
        <v>16089</v>
      </c>
      <c r="K27" s="157">
        <f t="shared" si="15"/>
        <v>0</v>
      </c>
      <c r="L27" s="157">
        <f t="shared" si="15"/>
        <v>582</v>
      </c>
      <c r="M27" s="157">
        <f>SUM(M28:M30)</f>
        <v>63230</v>
      </c>
      <c r="N27" s="157">
        <f>SUM(N28:N30)</f>
        <v>26416</v>
      </c>
      <c r="O27" s="157">
        <f>SUM(O28:O30)</f>
        <v>0</v>
      </c>
      <c r="P27" s="157">
        <f aca="true" t="shared" si="16" ref="P27:R27">SUM(P28:P30)</f>
        <v>723</v>
      </c>
      <c r="Q27" s="157">
        <f t="shared" si="16"/>
        <v>4208</v>
      </c>
      <c r="R27" s="157">
        <f t="shared" si="16"/>
        <v>7520</v>
      </c>
      <c r="S27" s="157">
        <f t="shared" si="15"/>
        <v>1066727</v>
      </c>
      <c r="T27" s="157">
        <f t="shared" si="15"/>
        <v>387516</v>
      </c>
      <c r="U27" s="157">
        <f t="shared" si="15"/>
        <v>3617171</v>
      </c>
      <c r="V27" s="157">
        <f t="shared" si="15"/>
        <v>196569</v>
      </c>
      <c r="W27" s="157">
        <f t="shared" si="15"/>
        <v>6059534</v>
      </c>
      <c r="X27" s="157">
        <f t="shared" si="15"/>
        <v>3559928</v>
      </c>
      <c r="Y27" s="157">
        <f t="shared" si="15"/>
        <v>0</v>
      </c>
      <c r="Z27" s="156">
        <f>SUM(B27:Y27)</f>
        <v>28687372</v>
      </c>
      <c r="AA27" s="156">
        <f>SUM(AA28:AA30)</f>
        <v>5062117</v>
      </c>
      <c r="AB27" s="156">
        <f>SUM(AB28:AB30)</f>
        <v>23625255</v>
      </c>
      <c r="AC27" s="134"/>
      <c r="AD27" s="135"/>
      <c r="AM27" s="183"/>
    </row>
    <row r="28" spans="1:39" s="158" customFormat="1" ht="13.5" customHeight="1">
      <c r="A28" s="159" t="s">
        <v>229</v>
      </c>
      <c r="B28" s="138">
        <f>ŠR!E5</f>
        <v>7999424</v>
      </c>
      <c r="C28" s="138">
        <v>0</v>
      </c>
      <c r="D28" s="138">
        <f>Envir!E5</f>
        <v>1156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f>STV!E5</f>
        <v>54217</v>
      </c>
      <c r="N28" s="138">
        <f>SRo!E5</f>
        <v>23236</v>
      </c>
      <c r="O28" s="138">
        <f>RTVS!E6</f>
        <v>0</v>
      </c>
      <c r="P28" s="138">
        <f>UDVA!E5</f>
        <v>0</v>
      </c>
      <c r="Q28" s="138">
        <f>TASR!E5</f>
        <v>0</v>
      </c>
      <c r="R28" s="138">
        <f>AVF!E5</f>
        <v>0</v>
      </c>
      <c r="S28" s="138">
        <f>VÚC!E5</f>
        <v>504142</v>
      </c>
      <c r="T28" s="138">
        <v>0</v>
      </c>
      <c r="U28" s="138">
        <f>Obce!E5</f>
        <v>1588916</v>
      </c>
      <c r="V28" s="138">
        <v>0</v>
      </c>
      <c r="W28" s="138">
        <f>SoPo!E5</f>
        <v>4527968</v>
      </c>
      <c r="X28" s="138">
        <f>ZdPo!D5</f>
        <v>3544699</v>
      </c>
      <c r="Y28" s="138">
        <v>0</v>
      </c>
      <c r="Z28" s="149">
        <f>SUM(B28:Y28)</f>
        <v>18243758</v>
      </c>
      <c r="AA28" s="149">
        <v>0</v>
      </c>
      <c r="AB28" s="149">
        <f>Z28-AA28</f>
        <v>18243758</v>
      </c>
      <c r="AC28" s="134"/>
      <c r="AD28" s="135"/>
      <c r="AM28" s="183"/>
    </row>
    <row r="29" spans="1:39" s="158" customFormat="1" ht="13.5" customHeight="1">
      <c r="A29" s="159" t="s">
        <v>230</v>
      </c>
      <c r="B29" s="138">
        <f>ŠR!E6</f>
        <v>583217</v>
      </c>
      <c r="C29" s="138">
        <f>ŠFA!E5</f>
        <v>0</v>
      </c>
      <c r="D29" s="138">
        <f>NJF!E5+ŠFRB!E5+Envir!E6</f>
        <v>231285</v>
      </c>
      <c r="E29" s="138">
        <f>FNM!E5</f>
        <v>375940</v>
      </c>
      <c r="F29" s="138">
        <f>SPF!E5</f>
        <v>19658</v>
      </c>
      <c r="G29" s="138">
        <f>SKA!E5</f>
        <v>8786</v>
      </c>
      <c r="H29" s="138">
        <f>POŠ!E5</f>
        <v>44931</v>
      </c>
      <c r="I29" s="138">
        <f>VVŠ!E5</f>
        <v>102383</v>
      </c>
      <c r="J29" s="138">
        <f>ÚDZS!E5</f>
        <v>1104</v>
      </c>
      <c r="K29" s="138">
        <f>ÚPN!E5</f>
        <v>0</v>
      </c>
      <c r="L29" s="138">
        <f>SNSĽP!E5</f>
        <v>0</v>
      </c>
      <c r="M29" s="138">
        <f>STV!E6</f>
        <v>9013</v>
      </c>
      <c r="N29" s="138">
        <f>SRo!E6</f>
        <v>3180</v>
      </c>
      <c r="O29" s="138">
        <f>RTVS!E7</f>
        <v>0</v>
      </c>
      <c r="P29" s="138">
        <f>UDVA!E6</f>
        <v>461</v>
      </c>
      <c r="Q29" s="138">
        <f>TASR!E6</f>
        <v>2171</v>
      </c>
      <c r="R29" s="138">
        <f>AVF!E6</f>
        <v>3020</v>
      </c>
      <c r="S29" s="138">
        <f>VÚC!E6</f>
        <v>147207</v>
      </c>
      <c r="T29" s="138">
        <f>POvúc!E5</f>
        <v>123014</v>
      </c>
      <c r="U29" s="138">
        <f>Obce!E6</f>
        <v>1310586</v>
      </c>
      <c r="V29" s="138">
        <f>POO!D5</f>
        <v>35408</v>
      </c>
      <c r="W29" s="138">
        <f>SoPo!E6</f>
        <v>14350</v>
      </c>
      <c r="X29" s="138">
        <f>ZdPo!D6</f>
        <v>15030</v>
      </c>
      <c r="Y29" s="138">
        <v>0</v>
      </c>
      <c r="Z29" s="149">
        <f>SUM(B29:Y29)</f>
        <v>3030744</v>
      </c>
      <c r="AA29" s="149">
        <v>22566</v>
      </c>
      <c r="AB29" s="149">
        <f>Z29-AA29</f>
        <v>3008178</v>
      </c>
      <c r="AC29" s="134"/>
      <c r="AD29" s="135"/>
      <c r="AM29" s="183"/>
    </row>
    <row r="30" spans="1:39" s="158" customFormat="1" ht="13.5" customHeight="1">
      <c r="A30" s="159" t="s">
        <v>231</v>
      </c>
      <c r="B30" s="138">
        <f>ŠR!E12</f>
        <v>3284316</v>
      </c>
      <c r="C30" s="138">
        <f>ŠFA!E11</f>
        <v>402370</v>
      </c>
      <c r="D30" s="138">
        <f>NJF!E11+ŠFRB!E11+Envir!E12</f>
        <v>55103</v>
      </c>
      <c r="E30" s="138">
        <f>FNM!E11</f>
        <v>0</v>
      </c>
      <c r="F30" s="138">
        <f>SPF!E11</f>
        <v>0</v>
      </c>
      <c r="G30" s="138">
        <f>SKA!E11</f>
        <v>0</v>
      </c>
      <c r="H30" s="138">
        <f>POŠ!E11</f>
        <v>168666</v>
      </c>
      <c r="I30" s="138">
        <f>VVŠ!E11</f>
        <v>403924</v>
      </c>
      <c r="J30" s="138">
        <f>ÚDZS!E11</f>
        <v>14985</v>
      </c>
      <c r="K30" s="138">
        <f>ÚPN!E11</f>
        <v>0</v>
      </c>
      <c r="L30" s="138">
        <f>SNSĽP!E11</f>
        <v>582</v>
      </c>
      <c r="M30" s="138">
        <f>STV!E12</f>
        <v>0</v>
      </c>
      <c r="N30" s="138">
        <f>SRo!E12</f>
        <v>0</v>
      </c>
      <c r="O30" s="138">
        <f>RTVS!E13</f>
        <v>0</v>
      </c>
      <c r="P30" s="138">
        <f>UDVA!E12</f>
        <v>262</v>
      </c>
      <c r="Q30" s="138">
        <f>TASR!E12</f>
        <v>2037</v>
      </c>
      <c r="R30" s="138">
        <f>AVF!E12</f>
        <v>4500</v>
      </c>
      <c r="S30" s="138">
        <f>VÚC!E12</f>
        <v>415378</v>
      </c>
      <c r="T30" s="138">
        <f>POvúc!E11</f>
        <v>264502</v>
      </c>
      <c r="U30" s="138">
        <f>Obce!E12</f>
        <v>717669</v>
      </c>
      <c r="V30" s="138">
        <f>POO!D11</f>
        <v>161161</v>
      </c>
      <c r="W30" s="138">
        <f>SoPo!E12</f>
        <v>1517216</v>
      </c>
      <c r="X30" s="138">
        <f>ZdPo!D12</f>
        <v>199</v>
      </c>
      <c r="Y30" s="138">
        <v>0</v>
      </c>
      <c r="Z30" s="149">
        <f>SUM(B30:Y30)</f>
        <v>7412870</v>
      </c>
      <c r="AA30" s="149">
        <v>5039551</v>
      </c>
      <c r="AB30" s="149">
        <f>Z30-AA30</f>
        <v>2373319</v>
      </c>
      <c r="AC30" s="134"/>
      <c r="AD30" s="135"/>
      <c r="AM30" s="183"/>
    </row>
    <row r="31" spans="1:39" s="158" customFormat="1" ht="13.5" customHeight="1">
      <c r="A31" s="141" t="s">
        <v>232</v>
      </c>
      <c r="B31" s="142">
        <f aca="true" t="shared" si="17" ref="B31:Y31">SUM(B32:B33)</f>
        <v>16407000</v>
      </c>
      <c r="C31" s="142">
        <f t="shared" si="17"/>
        <v>450426</v>
      </c>
      <c r="D31" s="142">
        <f t="shared" si="17"/>
        <v>118381</v>
      </c>
      <c r="E31" s="142">
        <f t="shared" si="17"/>
        <v>413864</v>
      </c>
      <c r="F31" s="142">
        <f t="shared" si="17"/>
        <v>20058</v>
      </c>
      <c r="G31" s="142">
        <f t="shared" si="17"/>
        <v>8364</v>
      </c>
      <c r="H31" s="142">
        <f t="shared" si="17"/>
        <v>213921</v>
      </c>
      <c r="I31" s="142">
        <f t="shared" si="17"/>
        <v>507066</v>
      </c>
      <c r="J31" s="142">
        <f>SUM(J32:J33)</f>
        <v>16764</v>
      </c>
      <c r="K31" s="142">
        <f t="shared" si="17"/>
        <v>1613</v>
      </c>
      <c r="L31" s="142">
        <f t="shared" si="17"/>
        <v>572</v>
      </c>
      <c r="M31" s="142">
        <f>SUM(M32:M33)</f>
        <v>63230</v>
      </c>
      <c r="N31" s="142">
        <f>SUM(N32:N33)</f>
        <v>26416</v>
      </c>
      <c r="O31" s="142">
        <f>SUM(O32:O33)</f>
        <v>0</v>
      </c>
      <c r="P31" s="142">
        <f aca="true" t="shared" si="18" ref="P31:R31">SUM(P32:P33)</f>
        <v>794</v>
      </c>
      <c r="Q31" s="142">
        <f t="shared" si="18"/>
        <v>4208</v>
      </c>
      <c r="R31" s="142">
        <f t="shared" si="18"/>
        <v>7528</v>
      </c>
      <c r="S31" s="142">
        <f t="shared" si="17"/>
        <v>1158308</v>
      </c>
      <c r="T31" s="142">
        <f t="shared" si="17"/>
        <v>404094</v>
      </c>
      <c r="U31" s="142">
        <f t="shared" si="17"/>
        <v>3874336</v>
      </c>
      <c r="V31" s="142">
        <f t="shared" si="17"/>
        <v>198993</v>
      </c>
      <c r="W31" s="142">
        <f t="shared" si="17"/>
        <v>6026075</v>
      </c>
      <c r="X31" s="142">
        <f t="shared" si="17"/>
        <v>3575770</v>
      </c>
      <c r="Y31" s="142">
        <f t="shared" si="17"/>
        <v>0</v>
      </c>
      <c r="Z31" s="141">
        <f aca="true" t="shared" si="19" ref="Z31:Z44">SUM(B31:Y31)</f>
        <v>33497781</v>
      </c>
      <c r="AA31" s="141">
        <f>SUM(AA32:AA33)</f>
        <v>5062117</v>
      </c>
      <c r="AB31" s="141">
        <f>SUM(AB32:AB33)</f>
        <v>28435664</v>
      </c>
      <c r="AC31" s="134"/>
      <c r="AD31" s="135"/>
      <c r="AM31" s="183"/>
    </row>
    <row r="32" spans="1:39" s="158" customFormat="1" ht="13.5" customHeight="1">
      <c r="A32" s="159" t="s">
        <v>233</v>
      </c>
      <c r="B32" s="138">
        <f>ŠR!E15</f>
        <v>13977269</v>
      </c>
      <c r="C32" s="138">
        <f>ŠFA!E15</f>
        <v>450426</v>
      </c>
      <c r="D32" s="138">
        <f>NJF!E15+ŠFRB!E15+Envir!E15</f>
        <v>61646</v>
      </c>
      <c r="E32" s="138">
        <f>FNM!E15</f>
        <v>413672</v>
      </c>
      <c r="F32" s="138">
        <f>SPF!E15</f>
        <v>19095</v>
      </c>
      <c r="G32" s="138">
        <f>SKA!E15</f>
        <v>8028</v>
      </c>
      <c r="H32" s="138">
        <f>POŠ!E15</f>
        <v>199885</v>
      </c>
      <c r="I32" s="138">
        <f>VVŠ!E15</f>
        <v>506897</v>
      </c>
      <c r="J32" s="138">
        <f>ÚDZS!E15</f>
        <v>15412</v>
      </c>
      <c r="K32" s="138">
        <f>ÚPN!E15</f>
        <v>1581</v>
      </c>
      <c r="L32" s="138">
        <f>SNSĽP!E15</f>
        <v>572</v>
      </c>
      <c r="M32" s="138">
        <f>STV!E15</f>
        <v>61570</v>
      </c>
      <c r="N32" s="138">
        <f>SRo!E15</f>
        <v>24623</v>
      </c>
      <c r="O32" s="138">
        <f>RTVS!E16</f>
        <v>0</v>
      </c>
      <c r="P32" s="138">
        <f>UDVA!E15</f>
        <v>793</v>
      </c>
      <c r="Q32" s="138">
        <f>TASR!E15</f>
        <v>4140</v>
      </c>
      <c r="R32" s="138">
        <f>AVF!E15</f>
        <v>7513</v>
      </c>
      <c r="S32" s="138">
        <f>VÚC!E15</f>
        <v>955955</v>
      </c>
      <c r="T32" s="138">
        <f>POvúc!E15</f>
        <v>388003</v>
      </c>
      <c r="U32" s="138">
        <f>Obce!E15</f>
        <v>2485978</v>
      </c>
      <c r="V32" s="138">
        <f>POO!D15</f>
        <v>140557</v>
      </c>
      <c r="W32" s="138">
        <f>SoPo!E16</f>
        <v>6018680</v>
      </c>
      <c r="X32" s="138">
        <f>ZdPo!D15</f>
        <v>3575667</v>
      </c>
      <c r="Y32" s="138">
        <f>'[1]PaV_dľa RK'!Y5</f>
        <v>0</v>
      </c>
      <c r="Z32" s="149">
        <f t="shared" si="19"/>
        <v>29317962</v>
      </c>
      <c r="AA32" s="149">
        <f>4796450+22566</f>
        <v>4819016</v>
      </c>
      <c r="AB32" s="149">
        <f>Z32-AA32</f>
        <v>24498946</v>
      </c>
      <c r="AC32" s="134"/>
      <c r="AD32" s="135"/>
      <c r="AM32" s="183"/>
    </row>
    <row r="33" spans="1:39" s="158" customFormat="1" ht="13.5" customHeight="1" thickBot="1">
      <c r="A33" s="159" t="s">
        <v>234</v>
      </c>
      <c r="B33" s="138">
        <f>ŠR!E20</f>
        <v>2429731</v>
      </c>
      <c r="C33" s="138">
        <f>ŠFA!E20</f>
        <v>0</v>
      </c>
      <c r="D33" s="138">
        <f>NJF!E20+ŠFRB!E20+Envir!E20</f>
        <v>56735</v>
      </c>
      <c r="E33" s="138">
        <f>FNM!E20</f>
        <v>192</v>
      </c>
      <c r="F33" s="138">
        <f>SPF!E20</f>
        <v>963</v>
      </c>
      <c r="G33" s="138">
        <f>SKA!E20</f>
        <v>336</v>
      </c>
      <c r="H33" s="138">
        <f>POŠ!E20</f>
        <v>14036</v>
      </c>
      <c r="I33" s="138">
        <f>VVŠ!E20</f>
        <v>169</v>
      </c>
      <c r="J33" s="138">
        <f>ÚDZS!E20</f>
        <v>1352</v>
      </c>
      <c r="K33" s="138">
        <f>ÚPN!E20</f>
        <v>32</v>
      </c>
      <c r="L33" s="138">
        <f>SNSĽP!E20</f>
        <v>0</v>
      </c>
      <c r="M33" s="138">
        <f>STV!E20</f>
        <v>1660</v>
      </c>
      <c r="N33" s="138">
        <f>SRo!E20</f>
        <v>1793</v>
      </c>
      <c r="O33" s="138">
        <f>RTVS!E21</f>
        <v>0</v>
      </c>
      <c r="P33" s="138">
        <f>UDVA!E20</f>
        <v>1</v>
      </c>
      <c r="Q33" s="138">
        <f>TASR!E20</f>
        <v>68</v>
      </c>
      <c r="R33" s="138">
        <f>AVF!E20</f>
        <v>15</v>
      </c>
      <c r="S33" s="138">
        <f>VÚC!E20</f>
        <v>202353</v>
      </c>
      <c r="T33" s="138">
        <f>POvúc!E20</f>
        <v>16091</v>
      </c>
      <c r="U33" s="138">
        <f>Obce!E20</f>
        <v>1388358</v>
      </c>
      <c r="V33" s="138">
        <f>POO!D20</f>
        <v>58436</v>
      </c>
      <c r="W33" s="138">
        <f>SoPo!E22</f>
        <v>7395</v>
      </c>
      <c r="X33" s="138">
        <f>ZdPo!D20</f>
        <v>103</v>
      </c>
      <c r="Y33" s="138">
        <f>'[1]PaV_dľa RK'!Y6</f>
        <v>0</v>
      </c>
      <c r="Z33" s="149">
        <f t="shared" si="19"/>
        <v>4179819</v>
      </c>
      <c r="AA33" s="149">
        <v>243101</v>
      </c>
      <c r="AB33" s="149">
        <f>Z33-AA33</f>
        <v>3936718</v>
      </c>
      <c r="AC33" s="134"/>
      <c r="AD33" s="135"/>
      <c r="AM33" s="183"/>
    </row>
    <row r="34" spans="1:39" s="160" customFormat="1" ht="19.5" thickBot="1" thickTop="1">
      <c r="A34" s="143" t="s">
        <v>235</v>
      </c>
      <c r="B34" s="144">
        <f aca="true" t="shared" si="20" ref="B34:Y34">B27-B31</f>
        <v>-4540043</v>
      </c>
      <c r="C34" s="144">
        <f t="shared" si="20"/>
        <v>-48056</v>
      </c>
      <c r="D34" s="144">
        <f t="shared" si="20"/>
        <v>169163</v>
      </c>
      <c r="E34" s="144">
        <f t="shared" si="20"/>
        <v>-37924</v>
      </c>
      <c r="F34" s="144">
        <f t="shared" si="20"/>
        <v>-400</v>
      </c>
      <c r="G34" s="144">
        <f t="shared" si="20"/>
        <v>422</v>
      </c>
      <c r="H34" s="144">
        <f t="shared" si="20"/>
        <v>-324</v>
      </c>
      <c r="I34" s="144">
        <f t="shared" si="20"/>
        <v>-759</v>
      </c>
      <c r="J34" s="144">
        <f t="shared" si="20"/>
        <v>-675</v>
      </c>
      <c r="K34" s="144">
        <f t="shared" si="20"/>
        <v>-1613</v>
      </c>
      <c r="L34" s="144">
        <f t="shared" si="20"/>
        <v>10</v>
      </c>
      <c r="M34" s="144">
        <f t="shared" si="20"/>
        <v>0</v>
      </c>
      <c r="N34" s="144">
        <f t="shared" si="20"/>
        <v>0</v>
      </c>
      <c r="O34" s="144">
        <f t="shared" si="20"/>
        <v>0</v>
      </c>
      <c r="P34" s="144">
        <f aca="true" t="shared" si="21" ref="P34:R34">P27-P31</f>
        <v>-71</v>
      </c>
      <c r="Q34" s="144">
        <f t="shared" si="21"/>
        <v>0</v>
      </c>
      <c r="R34" s="144">
        <f t="shared" si="21"/>
        <v>-8</v>
      </c>
      <c r="S34" s="144">
        <f t="shared" si="20"/>
        <v>-91581</v>
      </c>
      <c r="T34" s="144">
        <f t="shared" si="20"/>
        <v>-16578</v>
      </c>
      <c r="U34" s="144">
        <f t="shared" si="20"/>
        <v>-257165</v>
      </c>
      <c r="V34" s="144">
        <f t="shared" si="20"/>
        <v>-2424</v>
      </c>
      <c r="W34" s="144">
        <f t="shared" si="20"/>
        <v>33459</v>
      </c>
      <c r="X34" s="144">
        <f t="shared" si="20"/>
        <v>-15842</v>
      </c>
      <c r="Y34" s="144">
        <f t="shared" si="20"/>
        <v>0</v>
      </c>
      <c r="Z34" s="145">
        <f t="shared" si="19"/>
        <v>-4810409</v>
      </c>
      <c r="AA34" s="144">
        <f>AA27-AA31</f>
        <v>0</v>
      </c>
      <c r="AB34" s="145">
        <f>Z34-AA34</f>
        <v>-4810409</v>
      </c>
      <c r="AC34" s="146"/>
      <c r="AD34" s="147"/>
      <c r="AM34" s="184"/>
    </row>
    <row r="35" spans="1:39" s="158" customFormat="1" ht="13.5" customHeight="1" thickTop="1">
      <c r="A35" s="149" t="s">
        <v>236</v>
      </c>
      <c r="B35" s="138">
        <f>ŠR!E26</f>
        <v>36622</v>
      </c>
      <c r="C35" s="138">
        <v>0</v>
      </c>
      <c r="D35" s="138">
        <f>NJF!E26+ŠFRB!E26+Envir!E26</f>
        <v>0</v>
      </c>
      <c r="E35" s="138">
        <f>FNM!E27</f>
        <v>0</v>
      </c>
      <c r="F35" s="138">
        <f>SPF!E26</f>
        <v>0</v>
      </c>
      <c r="G35" s="138">
        <f>SKA!E26</f>
        <v>0</v>
      </c>
      <c r="H35" s="138">
        <f>POŠ!E26</f>
        <v>0</v>
      </c>
      <c r="I35" s="138">
        <f>VVŠ!E26</f>
        <v>0</v>
      </c>
      <c r="J35" s="138">
        <f>ÚDZS!E26</f>
        <v>0</v>
      </c>
      <c r="K35" s="138">
        <f>ÚPN!E26</f>
        <v>0</v>
      </c>
      <c r="L35" s="138">
        <f>SNSĽP!E26</f>
        <v>0</v>
      </c>
      <c r="M35" s="138">
        <f>STV!E26</f>
        <v>0</v>
      </c>
      <c r="N35" s="138">
        <f>SRo!E26</f>
        <v>0</v>
      </c>
      <c r="O35" s="138">
        <f>RTVS!E27</f>
        <v>0</v>
      </c>
      <c r="P35" s="138">
        <f>UDVA!E26</f>
        <v>0</v>
      </c>
      <c r="Q35" s="138">
        <f>TASR!E26</f>
        <v>0</v>
      </c>
      <c r="R35" s="138">
        <f>AVF!E26</f>
        <v>0</v>
      </c>
      <c r="S35" s="138">
        <f>VÚC!E26</f>
        <v>11382</v>
      </c>
      <c r="T35" s="138">
        <f>POvúc!E26</f>
        <v>0</v>
      </c>
      <c r="U35" s="138">
        <f>Obce!E26</f>
        <v>0</v>
      </c>
      <c r="V35" s="138">
        <f>POO!D26</f>
        <v>0</v>
      </c>
      <c r="W35" s="138">
        <f>SoPo!E28</f>
        <v>8674</v>
      </c>
      <c r="X35" s="138">
        <f>ZdPo!D26</f>
        <v>13857</v>
      </c>
      <c r="Y35" s="138">
        <v>0</v>
      </c>
      <c r="Z35" s="149">
        <f t="shared" si="19"/>
        <v>70535</v>
      </c>
      <c r="AA35" s="140">
        <v>0</v>
      </c>
      <c r="AB35" s="149">
        <f>Z35-AA35</f>
        <v>70535</v>
      </c>
      <c r="AC35" s="134"/>
      <c r="AD35" s="135"/>
      <c r="AM35" s="183"/>
    </row>
    <row r="36" spans="1:39" s="158" customFormat="1" ht="13.5" customHeight="1">
      <c r="A36" s="149" t="s">
        <v>237</v>
      </c>
      <c r="B36" s="138">
        <f>ŠR!E37</f>
        <v>-43349</v>
      </c>
      <c r="C36" s="138">
        <f>ŠFA!E26</f>
        <v>0</v>
      </c>
      <c r="D36" s="138">
        <f>NJF!E30+ŠFRB!E30+Envir!E30</f>
        <v>0</v>
      </c>
      <c r="E36" s="138">
        <f>FNM!E31</f>
        <v>24896</v>
      </c>
      <c r="F36" s="138">
        <f>SPF!E30</f>
        <v>0</v>
      </c>
      <c r="G36" s="138">
        <f>SKA!E30</f>
        <v>0</v>
      </c>
      <c r="H36" s="138">
        <f>POŠ!E30</f>
        <v>0</v>
      </c>
      <c r="I36" s="138">
        <f>VVŠ!E30</f>
        <v>0</v>
      </c>
      <c r="J36" s="138">
        <f>ÚDZS!E30</f>
        <v>0</v>
      </c>
      <c r="K36" s="138">
        <f>ÚPN!E30</f>
        <v>0</v>
      </c>
      <c r="L36" s="138">
        <f>SNSĽP!E30</f>
        <v>0</v>
      </c>
      <c r="M36" s="138">
        <f>STV!E30</f>
        <v>0</v>
      </c>
      <c r="N36" s="138">
        <f>SRo!E30</f>
        <v>0</v>
      </c>
      <c r="O36" s="138">
        <f>RTVS!E31</f>
        <v>0</v>
      </c>
      <c r="P36" s="138">
        <f>UDVA!E30</f>
        <v>0</v>
      </c>
      <c r="Q36" s="138">
        <f>TASR!E30</f>
        <v>0</v>
      </c>
      <c r="R36" s="138">
        <f>AVF!E30</f>
        <v>0</v>
      </c>
      <c r="S36" s="138">
        <f>VÚC!E31</f>
        <v>0</v>
      </c>
      <c r="T36" s="138">
        <f>POvúc!E30</f>
        <v>0</v>
      </c>
      <c r="U36" s="138">
        <f>Obce!E30</f>
        <v>0</v>
      </c>
      <c r="V36" s="138">
        <f>POO!D30</f>
        <v>0</v>
      </c>
      <c r="W36" s="138">
        <f>SoPo!E33</f>
        <v>-35100</v>
      </c>
      <c r="X36" s="138">
        <f>ZdPo!D31</f>
        <v>0</v>
      </c>
      <c r="Y36" s="138">
        <v>0</v>
      </c>
      <c r="Z36" s="149">
        <f t="shared" si="19"/>
        <v>-53553</v>
      </c>
      <c r="AA36" s="140">
        <v>0</v>
      </c>
      <c r="AB36" s="149">
        <f>Z36-AA36</f>
        <v>-53553</v>
      </c>
      <c r="AC36" s="134"/>
      <c r="AD36" s="135"/>
      <c r="AM36" s="183"/>
    </row>
    <row r="37" spans="1:39" s="162" customFormat="1" ht="13.5" customHeight="1">
      <c r="A37" s="150" t="s">
        <v>238</v>
      </c>
      <c r="B37" s="142">
        <f aca="true" t="shared" si="22" ref="B37:Y37">SUM(B38:B40)</f>
        <v>12046445</v>
      </c>
      <c r="C37" s="142">
        <f t="shared" si="22"/>
        <v>402370</v>
      </c>
      <c r="D37" s="142">
        <f t="shared" si="22"/>
        <v>287544</v>
      </c>
      <c r="E37" s="142">
        <f t="shared" si="22"/>
        <v>375940</v>
      </c>
      <c r="F37" s="142">
        <f t="shared" si="22"/>
        <v>19658</v>
      </c>
      <c r="G37" s="142">
        <f t="shared" si="22"/>
        <v>8786</v>
      </c>
      <c r="H37" s="142">
        <f t="shared" si="22"/>
        <v>213597</v>
      </c>
      <c r="I37" s="142">
        <f t="shared" si="22"/>
        <v>506307</v>
      </c>
      <c r="J37" s="142">
        <f>SUM(J38:J40)</f>
        <v>16089</v>
      </c>
      <c r="K37" s="142">
        <f t="shared" si="22"/>
        <v>0</v>
      </c>
      <c r="L37" s="142">
        <f t="shared" si="22"/>
        <v>582</v>
      </c>
      <c r="M37" s="142">
        <f>SUM(M38:M40)</f>
        <v>63230</v>
      </c>
      <c r="N37" s="142">
        <f>SUM(N38:N40)</f>
        <v>26416</v>
      </c>
      <c r="O37" s="142">
        <f>SUM(O38:O40)</f>
        <v>0</v>
      </c>
      <c r="P37" s="142">
        <f aca="true" t="shared" si="23" ref="P37:R37">SUM(P38:P40)</f>
        <v>723</v>
      </c>
      <c r="Q37" s="142">
        <f t="shared" si="23"/>
        <v>4208</v>
      </c>
      <c r="R37" s="142">
        <f t="shared" si="23"/>
        <v>7520</v>
      </c>
      <c r="S37" s="142">
        <f t="shared" si="22"/>
        <v>1078109</v>
      </c>
      <c r="T37" s="142">
        <f t="shared" si="22"/>
        <v>387516</v>
      </c>
      <c r="U37" s="142">
        <f t="shared" si="22"/>
        <v>3617171</v>
      </c>
      <c r="V37" s="142">
        <f t="shared" si="22"/>
        <v>196569</v>
      </c>
      <c r="W37" s="142">
        <f t="shared" si="22"/>
        <v>6068208</v>
      </c>
      <c r="X37" s="142">
        <f t="shared" si="22"/>
        <v>3573785</v>
      </c>
      <c r="Y37" s="142">
        <f t="shared" si="22"/>
        <v>0</v>
      </c>
      <c r="Z37" s="141">
        <f t="shared" si="19"/>
        <v>28900773</v>
      </c>
      <c r="AA37" s="141">
        <f>SUM(AA38:AA40)</f>
        <v>5062117</v>
      </c>
      <c r="AB37" s="141">
        <f>SUM(AB38:AB40)</f>
        <v>23838656</v>
      </c>
      <c r="AC37" s="134"/>
      <c r="AD37" s="135"/>
      <c r="AE37" s="161"/>
      <c r="AM37" s="185"/>
    </row>
    <row r="38" spans="1:39" s="162" customFormat="1" ht="13.5" customHeight="1">
      <c r="A38" s="159" t="s">
        <v>229</v>
      </c>
      <c r="B38" s="138">
        <f>ŠR!E5+ŠR!E35</f>
        <v>8135386</v>
      </c>
      <c r="C38" s="138">
        <v>0</v>
      </c>
      <c r="D38" s="138">
        <f>Envir!E5</f>
        <v>1156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f>STV!E5</f>
        <v>54217</v>
      </c>
      <c r="N38" s="138">
        <f>SRo!E5</f>
        <v>23236</v>
      </c>
      <c r="O38" s="138">
        <f>RTVS!E6</f>
        <v>0</v>
      </c>
      <c r="P38" s="138">
        <f>UDVA!E5</f>
        <v>0</v>
      </c>
      <c r="Q38" s="138">
        <f>TASR!E5</f>
        <v>0</v>
      </c>
      <c r="R38" s="138">
        <f>AVF!E5</f>
        <v>0</v>
      </c>
      <c r="S38" s="138">
        <f>VÚC!E5+VÚC!E29</f>
        <v>515524</v>
      </c>
      <c r="T38" s="138">
        <v>0</v>
      </c>
      <c r="U38" s="138">
        <f>Obce!E5</f>
        <v>1588916</v>
      </c>
      <c r="V38" s="138">
        <v>0</v>
      </c>
      <c r="W38" s="138">
        <f>SoPo!E5+SoPo!E29</f>
        <v>4536642</v>
      </c>
      <c r="X38" s="138">
        <f>ZdPo!D5+ZdPo!D27</f>
        <v>3558556</v>
      </c>
      <c r="Y38" s="138">
        <f>'[1]PaV_dľa RK'!Y47</f>
        <v>0</v>
      </c>
      <c r="Z38" s="149">
        <f t="shared" si="19"/>
        <v>18413633</v>
      </c>
      <c r="AA38" s="149">
        <f>AA28</f>
        <v>0</v>
      </c>
      <c r="AB38" s="149">
        <f>Z38-AA38</f>
        <v>18413633</v>
      </c>
      <c r="AC38" s="134"/>
      <c r="AD38" s="135"/>
      <c r="AE38" s="161"/>
      <c r="AM38" s="185"/>
    </row>
    <row r="39" spans="1:39" s="162" customFormat="1" ht="13.5" customHeight="1">
      <c r="A39" s="159" t="s">
        <v>230</v>
      </c>
      <c r="B39" s="138">
        <f>ŠR!E6</f>
        <v>583217</v>
      </c>
      <c r="C39" s="138">
        <f>ŠFA!E5</f>
        <v>0</v>
      </c>
      <c r="D39" s="138">
        <f>NJF!E5+ŠFRB!E5+Envir!E6</f>
        <v>231285</v>
      </c>
      <c r="E39" s="138">
        <f>FNM!E5</f>
        <v>375940</v>
      </c>
      <c r="F39" s="138">
        <f>SPF!E5</f>
        <v>19658</v>
      </c>
      <c r="G39" s="138">
        <f>SKA!E5</f>
        <v>8786</v>
      </c>
      <c r="H39" s="138">
        <f>POŠ!E5</f>
        <v>44931</v>
      </c>
      <c r="I39" s="138">
        <f>VVŠ!E5</f>
        <v>102383</v>
      </c>
      <c r="J39" s="138">
        <f>ÚDZS!E5</f>
        <v>1104</v>
      </c>
      <c r="K39" s="138">
        <f>ÚPN!E5</f>
        <v>0</v>
      </c>
      <c r="L39" s="138">
        <f>SNSĽP!E5</f>
        <v>0</v>
      </c>
      <c r="M39" s="138">
        <f>STV!E6</f>
        <v>9013</v>
      </c>
      <c r="N39" s="138">
        <f>SRo!E6</f>
        <v>3180</v>
      </c>
      <c r="O39" s="138">
        <f>RTVS!E7</f>
        <v>0</v>
      </c>
      <c r="P39" s="138">
        <f>UDVA!E6</f>
        <v>461</v>
      </c>
      <c r="Q39" s="138">
        <f>TASR!E6</f>
        <v>2171</v>
      </c>
      <c r="R39" s="138">
        <f>AVF!E6</f>
        <v>3020</v>
      </c>
      <c r="S39" s="138">
        <f>VÚC!E6</f>
        <v>147207</v>
      </c>
      <c r="T39" s="138">
        <f>POvúc!E5</f>
        <v>123014</v>
      </c>
      <c r="U39" s="138">
        <f>Obce!E6</f>
        <v>1310586</v>
      </c>
      <c r="V39" s="138">
        <f>POO!D5</f>
        <v>35408</v>
      </c>
      <c r="W39" s="138">
        <f>SoPo!E6</f>
        <v>14350</v>
      </c>
      <c r="X39" s="138">
        <f>ZdPo!D6</f>
        <v>15030</v>
      </c>
      <c r="Y39" s="138">
        <f>'[1]PaV_dľa RK'!Y48</f>
        <v>0</v>
      </c>
      <c r="Z39" s="149">
        <f t="shared" si="19"/>
        <v>3030744</v>
      </c>
      <c r="AA39" s="149">
        <f aca="true" t="shared" si="24" ref="AA39:AA40">AA29</f>
        <v>22566</v>
      </c>
      <c r="AB39" s="149">
        <f>Z39-AA39</f>
        <v>3008178</v>
      </c>
      <c r="AC39" s="134"/>
      <c r="AD39" s="135"/>
      <c r="AE39" s="161"/>
      <c r="AM39" s="185"/>
    </row>
    <row r="40" spans="1:39" s="162" customFormat="1" ht="13.5" customHeight="1">
      <c r="A40" s="159" t="s">
        <v>231</v>
      </c>
      <c r="B40" s="138">
        <f>ŠR!E12+ŠR!E36</f>
        <v>3327842</v>
      </c>
      <c r="C40" s="138">
        <f>ŠFA!E11</f>
        <v>402370</v>
      </c>
      <c r="D40" s="138">
        <f>NJF!E11+ŠFRB!E11+Envir!E12</f>
        <v>55103</v>
      </c>
      <c r="E40" s="138">
        <f>FNM!E11</f>
        <v>0</v>
      </c>
      <c r="F40" s="138">
        <f>SPF!E11</f>
        <v>0</v>
      </c>
      <c r="G40" s="138">
        <f>SKA!E11</f>
        <v>0</v>
      </c>
      <c r="H40" s="138">
        <f>POŠ!E11</f>
        <v>168666</v>
      </c>
      <c r="I40" s="138">
        <f>VVŠ!E11</f>
        <v>403924</v>
      </c>
      <c r="J40" s="138">
        <f>ÚDZS!E11</f>
        <v>14985</v>
      </c>
      <c r="K40" s="138">
        <f>ÚPN!E11</f>
        <v>0</v>
      </c>
      <c r="L40" s="138">
        <f>SNSĽP!E11</f>
        <v>582</v>
      </c>
      <c r="M40" s="138">
        <f>STV!E12</f>
        <v>0</v>
      </c>
      <c r="N40" s="138">
        <f>SRo!E12</f>
        <v>0</v>
      </c>
      <c r="O40" s="138">
        <f>RTVS!E13</f>
        <v>0</v>
      </c>
      <c r="P40" s="138">
        <f>UDVA!E12</f>
        <v>262</v>
      </c>
      <c r="Q40" s="138">
        <f>TASR!E12</f>
        <v>2037</v>
      </c>
      <c r="R40" s="138">
        <f>AVF!E12</f>
        <v>4500</v>
      </c>
      <c r="S40" s="138">
        <f>VÚC!E12</f>
        <v>415378</v>
      </c>
      <c r="T40" s="138">
        <f>POvúc!E11</f>
        <v>264502</v>
      </c>
      <c r="U40" s="138">
        <f>Obce!E12</f>
        <v>717669</v>
      </c>
      <c r="V40" s="138">
        <f>POO!D11</f>
        <v>161161</v>
      </c>
      <c r="W40" s="138">
        <f>SoPo!E12</f>
        <v>1517216</v>
      </c>
      <c r="X40" s="138">
        <f>ZdPo!D12</f>
        <v>199</v>
      </c>
      <c r="Y40" s="138">
        <f>'[1]PaV_dľa RK'!Y49</f>
        <v>0</v>
      </c>
      <c r="Z40" s="149">
        <f t="shared" si="19"/>
        <v>7456396</v>
      </c>
      <c r="AA40" s="149">
        <f t="shared" si="24"/>
        <v>5039551</v>
      </c>
      <c r="AB40" s="149">
        <f>Z40-AA40</f>
        <v>2416845</v>
      </c>
      <c r="AC40" s="134"/>
      <c r="AD40" s="135"/>
      <c r="AE40" s="161"/>
      <c r="AM40" s="185"/>
    </row>
    <row r="41" spans="1:39" s="162" customFormat="1" ht="13.5" customHeight="1">
      <c r="A41" s="150" t="s">
        <v>239</v>
      </c>
      <c r="B41" s="142">
        <f aca="true" t="shared" si="25" ref="B41:Y41">SUM(B42:B43)</f>
        <v>16593215</v>
      </c>
      <c r="C41" s="142">
        <f t="shared" si="25"/>
        <v>450426</v>
      </c>
      <c r="D41" s="142">
        <f t="shared" si="25"/>
        <v>118381</v>
      </c>
      <c r="E41" s="142">
        <f t="shared" si="25"/>
        <v>388968</v>
      </c>
      <c r="F41" s="142">
        <f t="shared" si="25"/>
        <v>20058</v>
      </c>
      <c r="G41" s="142">
        <f t="shared" si="25"/>
        <v>8364</v>
      </c>
      <c r="H41" s="142">
        <f t="shared" si="25"/>
        <v>213921</v>
      </c>
      <c r="I41" s="142">
        <f t="shared" si="25"/>
        <v>507066</v>
      </c>
      <c r="J41" s="142">
        <f>SUM(J42:J43)</f>
        <v>16764</v>
      </c>
      <c r="K41" s="142">
        <f t="shared" si="25"/>
        <v>1613</v>
      </c>
      <c r="L41" s="142">
        <f t="shared" si="25"/>
        <v>572</v>
      </c>
      <c r="M41" s="142">
        <f>SUM(M42:M43)</f>
        <v>63230</v>
      </c>
      <c r="N41" s="142">
        <f>SUM(N42:N43)</f>
        <v>26416</v>
      </c>
      <c r="O41" s="142">
        <f>SUM(O42:O43)</f>
        <v>0</v>
      </c>
      <c r="P41" s="142">
        <f aca="true" t="shared" si="26" ref="P41:R41">SUM(P42:P43)</f>
        <v>794</v>
      </c>
      <c r="Q41" s="142">
        <f t="shared" si="26"/>
        <v>4208</v>
      </c>
      <c r="R41" s="142">
        <f t="shared" si="26"/>
        <v>7528</v>
      </c>
      <c r="S41" s="142">
        <f t="shared" si="25"/>
        <v>1158308</v>
      </c>
      <c r="T41" s="142">
        <f t="shared" si="25"/>
        <v>404094</v>
      </c>
      <c r="U41" s="142">
        <f t="shared" si="25"/>
        <v>3874336</v>
      </c>
      <c r="V41" s="142">
        <f t="shared" si="25"/>
        <v>198993</v>
      </c>
      <c r="W41" s="142">
        <f t="shared" si="25"/>
        <v>6061175</v>
      </c>
      <c r="X41" s="142">
        <f t="shared" si="25"/>
        <v>3575770</v>
      </c>
      <c r="Y41" s="142">
        <f t="shared" si="25"/>
        <v>0</v>
      </c>
      <c r="Z41" s="141">
        <f t="shared" si="19"/>
        <v>33694200</v>
      </c>
      <c r="AA41" s="141">
        <f>SUM(AA42:AA43)</f>
        <v>5062117</v>
      </c>
      <c r="AB41" s="141">
        <f>SUM(AB42:AB43)</f>
        <v>28632083</v>
      </c>
      <c r="AC41" s="134"/>
      <c r="AD41" s="135"/>
      <c r="AE41" s="161"/>
      <c r="AM41" s="185"/>
    </row>
    <row r="42" spans="1:39" s="162" customFormat="1" ht="13.5" customHeight="1">
      <c r="A42" s="159" t="s">
        <v>233</v>
      </c>
      <c r="B42" s="138">
        <f>ŠR!E15-ŠR!E42-ŠR!E31</f>
        <v>14163484</v>
      </c>
      <c r="C42" s="138">
        <f>ŠFA!E15</f>
        <v>450426</v>
      </c>
      <c r="D42" s="138">
        <f>NJF!E15+ŠFRB!E15+Envir!E15</f>
        <v>61646</v>
      </c>
      <c r="E42" s="138">
        <f>FNM!E15-FNM!E31</f>
        <v>388776</v>
      </c>
      <c r="F42" s="138">
        <f>SPF!E15</f>
        <v>19095</v>
      </c>
      <c r="G42" s="138">
        <f>SKA!E15</f>
        <v>8028</v>
      </c>
      <c r="H42" s="138">
        <f>POŠ!E15</f>
        <v>199885</v>
      </c>
      <c r="I42" s="138">
        <f>VVŠ!E15</f>
        <v>506897</v>
      </c>
      <c r="J42" s="138">
        <f>ÚDZS!E15</f>
        <v>15412</v>
      </c>
      <c r="K42" s="138">
        <f>ÚPN!E15</f>
        <v>1581</v>
      </c>
      <c r="L42" s="138">
        <f>SNSĽP!E15</f>
        <v>572</v>
      </c>
      <c r="M42" s="138">
        <f>STV!E15</f>
        <v>61570</v>
      </c>
      <c r="N42" s="138">
        <f>SRo!E15</f>
        <v>24623</v>
      </c>
      <c r="O42" s="138">
        <f>RTVS!E16</f>
        <v>0</v>
      </c>
      <c r="P42" s="138">
        <f>UDVA!E15</f>
        <v>793</v>
      </c>
      <c r="Q42" s="138">
        <f>TASR!E15</f>
        <v>4140</v>
      </c>
      <c r="R42" s="138">
        <f>AVF!E15</f>
        <v>7513</v>
      </c>
      <c r="S42" s="138">
        <f>VÚC!E15</f>
        <v>955955</v>
      </c>
      <c r="T42" s="138">
        <f>POvúc!E15</f>
        <v>388003</v>
      </c>
      <c r="U42" s="138">
        <f>Obce!E15</f>
        <v>2485978</v>
      </c>
      <c r="V42" s="138">
        <f>POO!D15</f>
        <v>140557</v>
      </c>
      <c r="W42" s="138">
        <f>SoPo!E16</f>
        <v>6018680</v>
      </c>
      <c r="X42" s="138">
        <f>ZdPo!D15</f>
        <v>3575667</v>
      </c>
      <c r="Y42" s="138">
        <f>'[1]PaV_dľa RK'!Y34</f>
        <v>0</v>
      </c>
      <c r="Z42" s="149">
        <f t="shared" si="19"/>
        <v>29479281</v>
      </c>
      <c r="AA42" s="149">
        <f aca="true" t="shared" si="27" ref="AA42:AA43">AA32</f>
        <v>4819016</v>
      </c>
      <c r="AB42" s="149">
        <f>Z42-AA42</f>
        <v>24660265</v>
      </c>
      <c r="AC42" s="134"/>
      <c r="AD42" s="135"/>
      <c r="AE42" s="161"/>
      <c r="AM42" s="185"/>
    </row>
    <row r="43" spans="1:39" s="162" customFormat="1" ht="13.5" customHeight="1" thickBot="1">
      <c r="A43" s="159" t="s">
        <v>234</v>
      </c>
      <c r="B43" s="138">
        <f>ŠR!E20</f>
        <v>2429731</v>
      </c>
      <c r="C43" s="138">
        <f>ŠFA!E20-ŠFA!E26</f>
        <v>0</v>
      </c>
      <c r="D43" s="138">
        <f>NJF!E20+ŠFRB!E20+Envir!E20</f>
        <v>56735</v>
      </c>
      <c r="E43" s="138">
        <f>FNM!E20</f>
        <v>192</v>
      </c>
      <c r="F43" s="138">
        <f>SPF!E20</f>
        <v>963</v>
      </c>
      <c r="G43" s="138">
        <f>SKA!E20</f>
        <v>336</v>
      </c>
      <c r="H43" s="138">
        <f>POŠ!E20</f>
        <v>14036</v>
      </c>
      <c r="I43" s="138">
        <f>VVŠ!E20</f>
        <v>169</v>
      </c>
      <c r="J43" s="138">
        <f>ÚDZS!E20</f>
        <v>1352</v>
      </c>
      <c r="K43" s="138">
        <f>ÚPN!E20</f>
        <v>32</v>
      </c>
      <c r="L43" s="138">
        <f>SNSĽP!E20</f>
        <v>0</v>
      </c>
      <c r="M43" s="138">
        <f>STV!E20</f>
        <v>1660</v>
      </c>
      <c r="N43" s="138">
        <f>SRo!E20</f>
        <v>1793</v>
      </c>
      <c r="O43" s="138">
        <f>RTVS!E21</f>
        <v>0</v>
      </c>
      <c r="P43" s="138">
        <f>UDVA!E20</f>
        <v>1</v>
      </c>
      <c r="Q43" s="138">
        <f>TASR!E20</f>
        <v>68</v>
      </c>
      <c r="R43" s="138">
        <f>AVF!E20</f>
        <v>15</v>
      </c>
      <c r="S43" s="138">
        <f>VÚC!E20</f>
        <v>202353</v>
      </c>
      <c r="T43" s="138">
        <f>POvúc!E20</f>
        <v>16091</v>
      </c>
      <c r="U43" s="138">
        <f>Obce!E20</f>
        <v>1388358</v>
      </c>
      <c r="V43" s="138">
        <f>POO!D20</f>
        <v>58436</v>
      </c>
      <c r="W43" s="138">
        <f>SoPo!E22-SoPo!E35</f>
        <v>42495</v>
      </c>
      <c r="X43" s="138">
        <f>ZdPo!D20</f>
        <v>103</v>
      </c>
      <c r="Y43" s="138">
        <f>'[1]PaV_dľa RK'!Y35</f>
        <v>0</v>
      </c>
      <c r="Z43" s="149">
        <f t="shared" si="19"/>
        <v>4214919</v>
      </c>
      <c r="AA43" s="149">
        <f t="shared" si="27"/>
        <v>243101</v>
      </c>
      <c r="AB43" s="149">
        <f>Z43-AA43</f>
        <v>3971818</v>
      </c>
      <c r="AC43" s="134"/>
      <c r="AD43" s="135"/>
      <c r="AE43" s="161"/>
      <c r="AM43" s="185"/>
    </row>
    <row r="44" spans="1:30" ht="21" customHeight="1" thickBot="1" thickTop="1">
      <c r="A44" s="143" t="s">
        <v>240</v>
      </c>
      <c r="B44" s="144">
        <f aca="true" t="shared" si="28" ref="B44:Y44">B37-B41</f>
        <v>-4546770</v>
      </c>
      <c r="C44" s="144">
        <f t="shared" si="28"/>
        <v>-48056</v>
      </c>
      <c r="D44" s="144">
        <f t="shared" si="28"/>
        <v>169163</v>
      </c>
      <c r="E44" s="144">
        <f t="shared" si="28"/>
        <v>-13028</v>
      </c>
      <c r="F44" s="144">
        <f t="shared" si="28"/>
        <v>-400</v>
      </c>
      <c r="G44" s="144">
        <f t="shared" si="28"/>
        <v>422</v>
      </c>
      <c r="H44" s="144">
        <f t="shared" si="28"/>
        <v>-324</v>
      </c>
      <c r="I44" s="144">
        <f t="shared" si="28"/>
        <v>-759</v>
      </c>
      <c r="J44" s="144">
        <f t="shared" si="28"/>
        <v>-675</v>
      </c>
      <c r="K44" s="144">
        <f t="shared" si="28"/>
        <v>-1613</v>
      </c>
      <c r="L44" s="144">
        <f t="shared" si="28"/>
        <v>10</v>
      </c>
      <c r="M44" s="144">
        <f t="shared" si="28"/>
        <v>0</v>
      </c>
      <c r="N44" s="144">
        <f t="shared" si="28"/>
        <v>0</v>
      </c>
      <c r="O44" s="144">
        <f t="shared" si="28"/>
        <v>0</v>
      </c>
      <c r="P44" s="144">
        <f aca="true" t="shared" si="29" ref="P44:R44">P37-P41</f>
        <v>-71</v>
      </c>
      <c r="Q44" s="144">
        <f t="shared" si="29"/>
        <v>0</v>
      </c>
      <c r="R44" s="144">
        <f t="shared" si="29"/>
        <v>-8</v>
      </c>
      <c r="S44" s="144">
        <f t="shared" si="28"/>
        <v>-80199</v>
      </c>
      <c r="T44" s="144">
        <f t="shared" si="28"/>
        <v>-16578</v>
      </c>
      <c r="U44" s="144">
        <f t="shared" si="28"/>
        <v>-257165</v>
      </c>
      <c r="V44" s="144">
        <f t="shared" si="28"/>
        <v>-2424</v>
      </c>
      <c r="W44" s="144">
        <f t="shared" si="28"/>
        <v>7033</v>
      </c>
      <c r="X44" s="144">
        <f t="shared" si="28"/>
        <v>-1985</v>
      </c>
      <c r="Y44" s="144">
        <f t="shared" si="28"/>
        <v>0</v>
      </c>
      <c r="Z44" s="145">
        <f t="shared" si="19"/>
        <v>-4793427</v>
      </c>
      <c r="AA44" s="144">
        <f>AA37-AA41</f>
        <v>0</v>
      </c>
      <c r="AB44" s="145">
        <f>Z44-AA44</f>
        <v>-4793427</v>
      </c>
      <c r="AC44" s="146"/>
      <c r="AD44" s="147"/>
    </row>
    <row r="45" spans="1:29" ht="13.5" thickTop="1">
      <c r="A45" s="153" t="s">
        <v>247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</row>
    <row r="46" spans="1:29" ht="12.75">
      <c r="A46" s="152" t="s">
        <v>270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</row>
    <row r="47" spans="1:29" ht="13.5" thickBo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402" t="s">
        <v>200</v>
      </c>
      <c r="AC47" s="153"/>
    </row>
    <row r="48" spans="1:29" ht="45.75" thickBot="1">
      <c r="A48" s="127" t="s">
        <v>243</v>
      </c>
      <c r="B48" s="128" t="s">
        <v>17</v>
      </c>
      <c r="C48" s="128" t="s">
        <v>187</v>
      </c>
      <c r="D48" s="128" t="s">
        <v>214</v>
      </c>
      <c r="E48" s="128" t="s">
        <v>215</v>
      </c>
      <c r="F48" s="128" t="s">
        <v>216</v>
      </c>
      <c r="G48" s="128" t="s">
        <v>246</v>
      </c>
      <c r="H48" s="128" t="s">
        <v>217</v>
      </c>
      <c r="I48" s="128" t="s">
        <v>18</v>
      </c>
      <c r="J48" s="128" t="s">
        <v>218</v>
      </c>
      <c r="K48" s="128" t="s">
        <v>2</v>
      </c>
      <c r="L48" s="128" t="s">
        <v>219</v>
      </c>
      <c r="M48" s="128" t="s">
        <v>220</v>
      </c>
      <c r="N48" s="128" t="s">
        <v>66</v>
      </c>
      <c r="O48" s="128" t="s">
        <v>221</v>
      </c>
      <c r="P48" s="128" t="s">
        <v>158</v>
      </c>
      <c r="Q48" s="128" t="s">
        <v>188</v>
      </c>
      <c r="R48" s="128" t="s">
        <v>249</v>
      </c>
      <c r="S48" s="128" t="s">
        <v>222</v>
      </c>
      <c r="T48" s="128" t="s">
        <v>223</v>
      </c>
      <c r="U48" s="128" t="s">
        <v>19</v>
      </c>
      <c r="V48" s="128" t="s">
        <v>224</v>
      </c>
      <c r="W48" s="128" t="s">
        <v>1</v>
      </c>
      <c r="X48" s="128" t="s">
        <v>248</v>
      </c>
      <c r="Y48" s="128" t="s">
        <v>271</v>
      </c>
      <c r="Z48" s="127" t="s">
        <v>225</v>
      </c>
      <c r="AA48" s="127" t="s">
        <v>226</v>
      </c>
      <c r="AB48" s="127" t="s">
        <v>227</v>
      </c>
      <c r="AC48" s="129"/>
    </row>
    <row r="49" spans="1:39" s="158" customFormat="1" ht="13.5" customHeight="1">
      <c r="A49" s="163" t="s">
        <v>228</v>
      </c>
      <c r="B49" s="164">
        <f aca="true" t="shared" si="30" ref="B49:O49">B5-B27</f>
        <v>-966094</v>
      </c>
      <c r="C49" s="164">
        <f t="shared" si="30"/>
        <v>-312633</v>
      </c>
      <c r="D49" s="164">
        <f t="shared" si="30"/>
        <v>-101641</v>
      </c>
      <c r="E49" s="164">
        <f t="shared" si="30"/>
        <v>170115</v>
      </c>
      <c r="F49" s="164">
        <f t="shared" si="30"/>
        <v>382</v>
      </c>
      <c r="G49" s="164">
        <f t="shared" si="30"/>
        <v>-1727</v>
      </c>
      <c r="H49" s="164">
        <f t="shared" si="30"/>
        <v>153166</v>
      </c>
      <c r="I49" s="164">
        <f t="shared" si="30"/>
        <v>190410</v>
      </c>
      <c r="J49" s="164">
        <f t="shared" si="30"/>
        <v>-692</v>
      </c>
      <c r="K49" s="164">
        <f t="shared" si="30"/>
        <v>1626</v>
      </c>
      <c r="L49" s="164">
        <f t="shared" si="30"/>
        <v>67</v>
      </c>
      <c r="M49" s="164">
        <f t="shared" si="30"/>
        <v>8811</v>
      </c>
      <c r="N49" s="164">
        <f t="shared" si="30"/>
        <v>3764</v>
      </c>
      <c r="O49" s="164">
        <f t="shared" si="30"/>
        <v>3613</v>
      </c>
      <c r="P49" s="164">
        <f aca="true" t="shared" si="31" ref="P49:R49">P5-P27</f>
        <v>68</v>
      </c>
      <c r="Q49" s="164">
        <f t="shared" si="31"/>
        <v>457</v>
      </c>
      <c r="R49" s="164">
        <f t="shared" si="31"/>
        <v>-123</v>
      </c>
      <c r="S49" s="164">
        <f aca="true" t="shared" si="32" ref="S49:AB49">S5-S27</f>
        <v>-37180</v>
      </c>
      <c r="T49" s="164">
        <f t="shared" si="32"/>
        <v>-95809</v>
      </c>
      <c r="U49" s="164">
        <f t="shared" si="32"/>
        <v>-330138</v>
      </c>
      <c r="V49" s="164">
        <f t="shared" si="32"/>
        <v>-30281</v>
      </c>
      <c r="W49" s="164">
        <f t="shared" si="32"/>
        <v>-51034</v>
      </c>
      <c r="X49" s="164">
        <f t="shared" si="32"/>
        <v>-920293</v>
      </c>
      <c r="Y49" s="165">
        <f t="shared" si="32"/>
        <v>849153</v>
      </c>
      <c r="Z49" s="163">
        <f t="shared" si="32"/>
        <v>-1466013</v>
      </c>
      <c r="AA49" s="163">
        <f t="shared" si="32"/>
        <v>407193</v>
      </c>
      <c r="AB49" s="166">
        <f t="shared" si="32"/>
        <v>-1873206</v>
      </c>
      <c r="AC49" s="134"/>
      <c r="AD49" s="135"/>
      <c r="AM49" s="183"/>
    </row>
    <row r="50" spans="1:39" s="158" customFormat="1" ht="13.5" customHeight="1">
      <c r="A50" s="137" t="s">
        <v>229</v>
      </c>
      <c r="B50" s="139">
        <f aca="true" t="shared" si="33" ref="B50:O50">B6-B28</f>
        <v>-37182</v>
      </c>
      <c r="C50" s="139">
        <f t="shared" si="33"/>
        <v>0</v>
      </c>
      <c r="D50" s="139">
        <f t="shared" si="33"/>
        <v>27</v>
      </c>
      <c r="E50" s="139">
        <f t="shared" si="33"/>
        <v>0</v>
      </c>
      <c r="F50" s="139">
        <f t="shared" si="33"/>
        <v>0</v>
      </c>
      <c r="G50" s="139">
        <f t="shared" si="33"/>
        <v>0</v>
      </c>
      <c r="H50" s="139">
        <f t="shared" si="33"/>
        <v>0</v>
      </c>
      <c r="I50" s="139">
        <f t="shared" si="33"/>
        <v>0</v>
      </c>
      <c r="J50" s="139">
        <f t="shared" si="33"/>
        <v>0</v>
      </c>
      <c r="K50" s="139">
        <f t="shared" si="33"/>
        <v>0</v>
      </c>
      <c r="L50" s="139">
        <f t="shared" si="33"/>
        <v>0</v>
      </c>
      <c r="M50" s="139">
        <f t="shared" si="33"/>
        <v>-901</v>
      </c>
      <c r="N50" s="139">
        <f t="shared" si="33"/>
        <v>-454</v>
      </c>
      <c r="O50" s="139">
        <f t="shared" si="33"/>
        <v>0</v>
      </c>
      <c r="P50" s="139">
        <f aca="true" t="shared" si="34" ref="P50:R50">P6-P28</f>
        <v>0</v>
      </c>
      <c r="Q50" s="139">
        <f t="shared" si="34"/>
        <v>0</v>
      </c>
      <c r="R50" s="139">
        <f t="shared" si="34"/>
        <v>0</v>
      </c>
      <c r="S50" s="139">
        <f aca="true" t="shared" si="35" ref="S50:AB50">S6-S28</f>
        <v>-52710</v>
      </c>
      <c r="T50" s="139">
        <f t="shared" si="35"/>
        <v>0</v>
      </c>
      <c r="U50" s="139">
        <f t="shared" si="35"/>
        <v>-166989</v>
      </c>
      <c r="V50" s="139">
        <f t="shared" si="35"/>
        <v>0</v>
      </c>
      <c r="W50" s="139">
        <f t="shared" si="35"/>
        <v>-91177</v>
      </c>
      <c r="X50" s="139">
        <f t="shared" si="35"/>
        <v>-920096</v>
      </c>
      <c r="Y50" s="134">
        <f t="shared" si="35"/>
        <v>157097</v>
      </c>
      <c r="Z50" s="140">
        <f t="shared" si="35"/>
        <v>-1112385</v>
      </c>
      <c r="AA50" s="140">
        <f t="shared" si="35"/>
        <v>0</v>
      </c>
      <c r="AB50" s="167">
        <f t="shared" si="35"/>
        <v>-1112385</v>
      </c>
      <c r="AC50" s="134"/>
      <c r="AD50" s="135"/>
      <c r="AM50" s="183"/>
    </row>
    <row r="51" spans="1:39" s="158" customFormat="1" ht="13.5" customHeight="1">
      <c r="A51" s="137" t="s">
        <v>230</v>
      </c>
      <c r="B51" s="139">
        <f aca="true" t="shared" si="36" ref="B51:O51">B7-B29</f>
        <v>109655</v>
      </c>
      <c r="C51" s="139">
        <f t="shared" si="36"/>
        <v>113</v>
      </c>
      <c r="D51" s="139">
        <f t="shared" si="36"/>
        <v>-101568</v>
      </c>
      <c r="E51" s="139">
        <f t="shared" si="36"/>
        <v>170115</v>
      </c>
      <c r="F51" s="139">
        <f t="shared" si="36"/>
        <v>382</v>
      </c>
      <c r="G51" s="139">
        <f t="shared" si="36"/>
        <v>-1727</v>
      </c>
      <c r="H51" s="139">
        <f t="shared" si="36"/>
        <v>81685</v>
      </c>
      <c r="I51" s="139">
        <f t="shared" si="36"/>
        <v>30818</v>
      </c>
      <c r="J51" s="139">
        <f t="shared" si="36"/>
        <v>-98</v>
      </c>
      <c r="K51" s="139">
        <f t="shared" si="36"/>
        <v>26</v>
      </c>
      <c r="L51" s="139">
        <f t="shared" si="36"/>
        <v>0</v>
      </c>
      <c r="M51" s="139">
        <f t="shared" si="36"/>
        <v>-2861</v>
      </c>
      <c r="N51" s="139">
        <f t="shared" si="36"/>
        <v>-284</v>
      </c>
      <c r="O51" s="139">
        <f t="shared" si="36"/>
        <v>0</v>
      </c>
      <c r="P51" s="139">
        <f aca="true" t="shared" si="37" ref="P51:R51">P7-P29</f>
        <v>65</v>
      </c>
      <c r="Q51" s="139">
        <f t="shared" si="37"/>
        <v>151</v>
      </c>
      <c r="R51" s="139">
        <f t="shared" si="37"/>
        <v>-374</v>
      </c>
      <c r="S51" s="139">
        <f aca="true" t="shared" si="38" ref="S51:AB51">S7-S29</f>
        <v>-76002</v>
      </c>
      <c r="T51" s="139">
        <f t="shared" si="38"/>
        <v>-83802</v>
      </c>
      <c r="U51" s="139">
        <f t="shared" si="38"/>
        <v>-871281</v>
      </c>
      <c r="V51" s="139">
        <f t="shared" si="38"/>
        <v>-9497</v>
      </c>
      <c r="W51" s="139">
        <f t="shared" si="38"/>
        <v>-1641</v>
      </c>
      <c r="X51" s="139">
        <f t="shared" si="38"/>
        <v>-125</v>
      </c>
      <c r="Y51" s="134">
        <f t="shared" si="38"/>
        <v>425041</v>
      </c>
      <c r="Z51" s="140">
        <f t="shared" si="38"/>
        <v>-331209</v>
      </c>
      <c r="AA51" s="140">
        <f t="shared" si="38"/>
        <v>20870</v>
      </c>
      <c r="AB51" s="167">
        <f t="shared" si="38"/>
        <v>-352079</v>
      </c>
      <c r="AC51" s="134"/>
      <c r="AD51" s="135"/>
      <c r="AM51" s="183"/>
    </row>
    <row r="52" spans="1:39" s="158" customFormat="1" ht="13.5" customHeight="1">
      <c r="A52" s="137" t="s">
        <v>231</v>
      </c>
      <c r="B52" s="139">
        <f aca="true" t="shared" si="39" ref="B52:O52">B8-B30</f>
        <v>-1038567</v>
      </c>
      <c r="C52" s="139">
        <f t="shared" si="39"/>
        <v>-312746</v>
      </c>
      <c r="D52" s="139">
        <f t="shared" si="39"/>
        <v>-100</v>
      </c>
      <c r="E52" s="139">
        <f t="shared" si="39"/>
        <v>0</v>
      </c>
      <c r="F52" s="139">
        <f t="shared" si="39"/>
        <v>0</v>
      </c>
      <c r="G52" s="139">
        <f t="shared" si="39"/>
        <v>0</v>
      </c>
      <c r="H52" s="139">
        <f t="shared" si="39"/>
        <v>71481</v>
      </c>
      <c r="I52" s="139">
        <f t="shared" si="39"/>
        <v>159592</v>
      </c>
      <c r="J52" s="139">
        <f t="shared" si="39"/>
        <v>-594</v>
      </c>
      <c r="K52" s="139">
        <f t="shared" si="39"/>
        <v>1600</v>
      </c>
      <c r="L52" s="139">
        <f t="shared" si="39"/>
        <v>67</v>
      </c>
      <c r="M52" s="139">
        <f t="shared" si="39"/>
        <v>12573</v>
      </c>
      <c r="N52" s="139">
        <f t="shared" si="39"/>
        <v>4502</v>
      </c>
      <c r="O52" s="139">
        <f t="shared" si="39"/>
        <v>3613</v>
      </c>
      <c r="P52" s="139">
        <f aca="true" t="shared" si="40" ref="P52:R52">P8-P30</f>
        <v>3</v>
      </c>
      <c r="Q52" s="139">
        <f t="shared" si="40"/>
        <v>306</v>
      </c>
      <c r="R52" s="139">
        <f t="shared" si="40"/>
        <v>251</v>
      </c>
      <c r="S52" s="139">
        <f aca="true" t="shared" si="41" ref="S52:AB52">S8-S30</f>
        <v>91532</v>
      </c>
      <c r="T52" s="139">
        <f t="shared" si="41"/>
        <v>-12007</v>
      </c>
      <c r="U52" s="139">
        <f t="shared" si="41"/>
        <v>708132</v>
      </c>
      <c r="V52" s="139">
        <f t="shared" si="41"/>
        <v>-20784</v>
      </c>
      <c r="W52" s="139">
        <f t="shared" si="41"/>
        <v>41784</v>
      </c>
      <c r="X52" s="139">
        <f t="shared" si="41"/>
        <v>-72</v>
      </c>
      <c r="Y52" s="134">
        <f t="shared" si="41"/>
        <v>267015</v>
      </c>
      <c r="Z52" s="140">
        <f t="shared" si="41"/>
        <v>-22419</v>
      </c>
      <c r="AA52" s="140">
        <f t="shared" si="41"/>
        <v>386323</v>
      </c>
      <c r="AB52" s="167">
        <f t="shared" si="41"/>
        <v>-408742</v>
      </c>
      <c r="AC52" s="134"/>
      <c r="AD52" s="135"/>
      <c r="AM52" s="183"/>
    </row>
    <row r="53" spans="1:39" s="158" customFormat="1" ht="13.5" customHeight="1">
      <c r="A53" s="168" t="s">
        <v>232</v>
      </c>
      <c r="B53" s="169">
        <f aca="true" t="shared" si="42" ref="B53:O53">B9-B31</f>
        <v>-1069989</v>
      </c>
      <c r="C53" s="169">
        <f t="shared" si="42"/>
        <v>-374913</v>
      </c>
      <c r="D53" s="169">
        <f t="shared" si="42"/>
        <v>-17829</v>
      </c>
      <c r="E53" s="169">
        <f t="shared" si="42"/>
        <v>219922</v>
      </c>
      <c r="F53" s="169">
        <f t="shared" si="42"/>
        <v>-1729</v>
      </c>
      <c r="G53" s="169">
        <f t="shared" si="42"/>
        <v>11618</v>
      </c>
      <c r="H53" s="169">
        <f t="shared" si="42"/>
        <v>156512</v>
      </c>
      <c r="I53" s="169">
        <f t="shared" si="42"/>
        <v>201162</v>
      </c>
      <c r="J53" s="169">
        <f t="shared" si="42"/>
        <v>-575</v>
      </c>
      <c r="K53" s="169">
        <f t="shared" si="42"/>
        <v>45</v>
      </c>
      <c r="L53" s="169">
        <f t="shared" si="42"/>
        <v>71</v>
      </c>
      <c r="M53" s="169">
        <f t="shared" si="42"/>
        <v>8030</v>
      </c>
      <c r="N53" s="169">
        <f t="shared" si="42"/>
        <v>3231</v>
      </c>
      <c r="O53" s="169">
        <f t="shared" si="42"/>
        <v>3794</v>
      </c>
      <c r="P53" s="169">
        <f aca="true" t="shared" si="43" ref="P53:R53">P9-P31</f>
        <v>-168</v>
      </c>
      <c r="Q53" s="169">
        <f t="shared" si="43"/>
        <v>369</v>
      </c>
      <c r="R53" s="169">
        <f t="shared" si="43"/>
        <v>-2535</v>
      </c>
      <c r="S53" s="169">
        <f aca="true" t="shared" si="44" ref="S53:AB53">S9-S31</f>
        <v>-107244</v>
      </c>
      <c r="T53" s="169">
        <f t="shared" si="44"/>
        <v>-112990</v>
      </c>
      <c r="U53" s="169">
        <f t="shared" si="44"/>
        <v>-190974</v>
      </c>
      <c r="V53" s="169">
        <f t="shared" si="44"/>
        <v>-31391</v>
      </c>
      <c r="W53" s="169">
        <f t="shared" si="44"/>
        <v>-75637</v>
      </c>
      <c r="X53" s="169">
        <f t="shared" si="44"/>
        <v>-928871</v>
      </c>
      <c r="Y53" s="170">
        <f t="shared" si="44"/>
        <v>846423</v>
      </c>
      <c r="Z53" s="168">
        <f t="shared" si="44"/>
        <v>-1463668</v>
      </c>
      <c r="AA53" s="168">
        <f t="shared" si="44"/>
        <v>407193</v>
      </c>
      <c r="AB53" s="171">
        <f t="shared" si="44"/>
        <v>-1870861</v>
      </c>
      <c r="AC53" s="134"/>
      <c r="AD53" s="135"/>
      <c r="AM53" s="183"/>
    </row>
    <row r="54" spans="1:39" s="158" customFormat="1" ht="13.5" customHeight="1">
      <c r="A54" s="137" t="s">
        <v>233</v>
      </c>
      <c r="B54" s="139">
        <f aca="true" t="shared" si="45" ref="B54:O54">B10-B32</f>
        <v>-1008866</v>
      </c>
      <c r="C54" s="139">
        <f t="shared" si="45"/>
        <v>-374913</v>
      </c>
      <c r="D54" s="139">
        <f t="shared" si="45"/>
        <v>-3245</v>
      </c>
      <c r="E54" s="139">
        <f t="shared" si="45"/>
        <v>220051</v>
      </c>
      <c r="F54" s="139">
        <f t="shared" si="45"/>
        <v>-1014</v>
      </c>
      <c r="G54" s="139">
        <f t="shared" si="45"/>
        <v>11808</v>
      </c>
      <c r="H54" s="139">
        <f t="shared" si="45"/>
        <v>107079</v>
      </c>
      <c r="I54" s="139">
        <f t="shared" si="45"/>
        <v>58883</v>
      </c>
      <c r="J54" s="139">
        <f t="shared" si="45"/>
        <v>-700</v>
      </c>
      <c r="K54" s="139">
        <f t="shared" si="45"/>
        <v>75</v>
      </c>
      <c r="L54" s="139">
        <f t="shared" si="45"/>
        <v>71</v>
      </c>
      <c r="M54" s="139">
        <f t="shared" si="45"/>
        <v>8656</v>
      </c>
      <c r="N54" s="139">
        <f t="shared" si="45"/>
        <v>3281</v>
      </c>
      <c r="O54" s="139">
        <f t="shared" si="45"/>
        <v>3794</v>
      </c>
      <c r="P54" s="139">
        <f aca="true" t="shared" si="46" ref="P54:R54">P10-P32</f>
        <v>-172</v>
      </c>
      <c r="Q54" s="139">
        <f t="shared" si="46"/>
        <v>289</v>
      </c>
      <c r="R54" s="139">
        <f t="shared" si="46"/>
        <v>-2535</v>
      </c>
      <c r="S54" s="139">
        <f aca="true" t="shared" si="47" ref="S54:AB54">S10-S32</f>
        <v>-13772</v>
      </c>
      <c r="T54" s="139">
        <f t="shared" si="47"/>
        <v>-106450</v>
      </c>
      <c r="U54" s="139">
        <f t="shared" si="47"/>
        <v>92000</v>
      </c>
      <c r="V54" s="139">
        <f t="shared" si="47"/>
        <v>-29660</v>
      </c>
      <c r="W54" s="139">
        <f t="shared" si="47"/>
        <v>-73990</v>
      </c>
      <c r="X54" s="139">
        <f t="shared" si="47"/>
        <v>-936783</v>
      </c>
      <c r="Y54" s="134">
        <f t="shared" si="47"/>
        <v>790579</v>
      </c>
      <c r="Z54" s="140">
        <f t="shared" si="47"/>
        <v>-1255534</v>
      </c>
      <c r="AA54" s="140">
        <f t="shared" si="47"/>
        <v>-17262</v>
      </c>
      <c r="AB54" s="167">
        <f t="shared" si="47"/>
        <v>-1238272</v>
      </c>
      <c r="AC54" s="134"/>
      <c r="AD54" s="135"/>
      <c r="AM54" s="183"/>
    </row>
    <row r="55" spans="1:39" s="158" customFormat="1" ht="13.5" customHeight="1" thickBot="1">
      <c r="A55" s="137" t="s">
        <v>234</v>
      </c>
      <c r="B55" s="139">
        <f aca="true" t="shared" si="48" ref="B55:O55">B11-B33</f>
        <v>-61123</v>
      </c>
      <c r="C55" s="139">
        <f t="shared" si="48"/>
        <v>0</v>
      </c>
      <c r="D55" s="139">
        <f t="shared" si="48"/>
        <v>-14584</v>
      </c>
      <c r="E55" s="139">
        <f t="shared" si="48"/>
        <v>-129</v>
      </c>
      <c r="F55" s="139">
        <f t="shared" si="48"/>
        <v>-715</v>
      </c>
      <c r="G55" s="139">
        <f t="shared" si="48"/>
        <v>-190</v>
      </c>
      <c r="H55" s="139">
        <f t="shared" si="48"/>
        <v>49433</v>
      </c>
      <c r="I55" s="139">
        <f t="shared" si="48"/>
        <v>142279</v>
      </c>
      <c r="J55" s="139">
        <f t="shared" si="48"/>
        <v>125</v>
      </c>
      <c r="K55" s="139">
        <f t="shared" si="48"/>
        <v>-30</v>
      </c>
      <c r="L55" s="139">
        <f t="shared" si="48"/>
        <v>0</v>
      </c>
      <c r="M55" s="139">
        <f t="shared" si="48"/>
        <v>-626</v>
      </c>
      <c r="N55" s="139">
        <f t="shared" si="48"/>
        <v>-50</v>
      </c>
      <c r="O55" s="139">
        <f t="shared" si="48"/>
        <v>0</v>
      </c>
      <c r="P55" s="139">
        <f aca="true" t="shared" si="49" ref="P55:R55">P11-P33</f>
        <v>4</v>
      </c>
      <c r="Q55" s="139">
        <f t="shared" si="49"/>
        <v>80</v>
      </c>
      <c r="R55" s="139">
        <f t="shared" si="49"/>
        <v>0</v>
      </c>
      <c r="S55" s="139">
        <f aca="true" t="shared" si="50" ref="S55:AB55">S11-S33</f>
        <v>-93472</v>
      </c>
      <c r="T55" s="139">
        <f t="shared" si="50"/>
        <v>-6540</v>
      </c>
      <c r="U55" s="139">
        <f t="shared" si="50"/>
        <v>-282974</v>
      </c>
      <c r="V55" s="139">
        <f t="shared" si="50"/>
        <v>-1731</v>
      </c>
      <c r="W55" s="139">
        <f t="shared" si="50"/>
        <v>-1647</v>
      </c>
      <c r="X55" s="139">
        <f t="shared" si="50"/>
        <v>7912</v>
      </c>
      <c r="Y55" s="134">
        <f t="shared" si="50"/>
        <v>55844</v>
      </c>
      <c r="Z55" s="140">
        <f t="shared" si="50"/>
        <v>-208134</v>
      </c>
      <c r="AA55" s="140">
        <f t="shared" si="50"/>
        <v>424455</v>
      </c>
      <c r="AB55" s="167">
        <f t="shared" si="50"/>
        <v>-632589</v>
      </c>
      <c r="AC55" s="134"/>
      <c r="AD55" s="135"/>
      <c r="AM55" s="183"/>
    </row>
    <row r="56" spans="1:39" s="160" customFormat="1" ht="19.5" thickBot="1" thickTop="1">
      <c r="A56" s="172" t="s">
        <v>235</v>
      </c>
      <c r="B56" s="173">
        <f aca="true" t="shared" si="51" ref="B56:O56">B12-B34</f>
        <v>103895</v>
      </c>
      <c r="C56" s="173">
        <f t="shared" si="51"/>
        <v>62280</v>
      </c>
      <c r="D56" s="173">
        <f t="shared" si="51"/>
        <v>-83812</v>
      </c>
      <c r="E56" s="173">
        <f t="shared" si="51"/>
        <v>-49807</v>
      </c>
      <c r="F56" s="173">
        <f t="shared" si="51"/>
        <v>2111</v>
      </c>
      <c r="G56" s="173">
        <f t="shared" si="51"/>
        <v>-13345</v>
      </c>
      <c r="H56" s="173">
        <f t="shared" si="51"/>
        <v>-3346</v>
      </c>
      <c r="I56" s="173">
        <f t="shared" si="51"/>
        <v>-10752</v>
      </c>
      <c r="J56" s="173">
        <f t="shared" si="51"/>
        <v>-117</v>
      </c>
      <c r="K56" s="173">
        <f t="shared" si="51"/>
        <v>1581</v>
      </c>
      <c r="L56" s="173">
        <f t="shared" si="51"/>
        <v>-4</v>
      </c>
      <c r="M56" s="173">
        <f t="shared" si="51"/>
        <v>781</v>
      </c>
      <c r="N56" s="173">
        <f t="shared" si="51"/>
        <v>533</v>
      </c>
      <c r="O56" s="173">
        <f t="shared" si="51"/>
        <v>-181</v>
      </c>
      <c r="P56" s="173">
        <f aca="true" t="shared" si="52" ref="P56:R56">P12-P34</f>
        <v>236</v>
      </c>
      <c r="Q56" s="173">
        <f t="shared" si="52"/>
        <v>88</v>
      </c>
      <c r="R56" s="173">
        <f t="shared" si="52"/>
        <v>2412</v>
      </c>
      <c r="S56" s="173">
        <f aca="true" t="shared" si="53" ref="S56:AB56">S12-S34</f>
        <v>70064</v>
      </c>
      <c r="T56" s="173">
        <f t="shared" si="53"/>
        <v>17181</v>
      </c>
      <c r="U56" s="173">
        <f t="shared" si="53"/>
        <v>-139164</v>
      </c>
      <c r="V56" s="173">
        <f t="shared" si="53"/>
        <v>1110</v>
      </c>
      <c r="W56" s="173">
        <f t="shared" si="53"/>
        <v>24603</v>
      </c>
      <c r="X56" s="173">
        <f t="shared" si="53"/>
        <v>8578</v>
      </c>
      <c r="Y56" s="174">
        <f t="shared" si="53"/>
        <v>2730</v>
      </c>
      <c r="Z56" s="175">
        <f t="shared" si="53"/>
        <v>-2345</v>
      </c>
      <c r="AA56" s="175">
        <f t="shared" si="53"/>
        <v>0</v>
      </c>
      <c r="AB56" s="176">
        <f t="shared" si="53"/>
        <v>-2345</v>
      </c>
      <c r="AC56" s="134"/>
      <c r="AD56" s="147"/>
      <c r="AM56" s="184"/>
    </row>
    <row r="57" spans="1:39" s="158" customFormat="1" ht="13.5" customHeight="1" thickTop="1">
      <c r="A57" s="140" t="s">
        <v>236</v>
      </c>
      <c r="B57" s="139">
        <f aca="true" t="shared" si="54" ref="B57:O57">B13-B35</f>
        <v>153907</v>
      </c>
      <c r="C57" s="139">
        <f t="shared" si="54"/>
        <v>0</v>
      </c>
      <c r="D57" s="139">
        <f t="shared" si="54"/>
        <v>13553</v>
      </c>
      <c r="E57" s="139">
        <f t="shared" si="54"/>
        <v>873</v>
      </c>
      <c r="F57" s="139">
        <f t="shared" si="54"/>
        <v>547</v>
      </c>
      <c r="G57" s="139">
        <f t="shared" si="54"/>
        <v>-36</v>
      </c>
      <c r="H57" s="139">
        <f t="shared" si="54"/>
        <v>-5065</v>
      </c>
      <c r="I57" s="139">
        <f t="shared" si="54"/>
        <v>-12606</v>
      </c>
      <c r="J57" s="139">
        <f t="shared" si="54"/>
        <v>1103</v>
      </c>
      <c r="K57" s="139">
        <f t="shared" si="54"/>
        <v>1</v>
      </c>
      <c r="L57" s="139">
        <f t="shared" si="54"/>
        <v>122</v>
      </c>
      <c r="M57" s="139">
        <f t="shared" si="54"/>
        <v>-15759</v>
      </c>
      <c r="N57" s="139">
        <f t="shared" si="54"/>
        <v>559</v>
      </c>
      <c r="O57" s="139">
        <f t="shared" si="54"/>
        <v>158</v>
      </c>
      <c r="P57" s="139">
        <f aca="true" t="shared" si="55" ref="P57:R57">P13-P35</f>
        <v>-7</v>
      </c>
      <c r="Q57" s="139">
        <f t="shared" si="55"/>
        <v>42</v>
      </c>
      <c r="R57" s="139">
        <f t="shared" si="55"/>
        <v>-1023</v>
      </c>
      <c r="S57" s="139">
        <f aca="true" t="shared" si="56" ref="S57:AB57">S13-S35</f>
        <v>-15469</v>
      </c>
      <c r="T57" s="139">
        <f t="shared" si="56"/>
        <v>1106</v>
      </c>
      <c r="U57" s="139">
        <f t="shared" si="56"/>
        <v>-145187</v>
      </c>
      <c r="V57" s="139">
        <f t="shared" si="56"/>
        <v>-17605</v>
      </c>
      <c r="W57" s="139">
        <f t="shared" si="56"/>
        <v>10978</v>
      </c>
      <c r="X57" s="139">
        <f t="shared" si="56"/>
        <v>-63758</v>
      </c>
      <c r="Y57" s="134">
        <f t="shared" si="56"/>
        <v>-2687</v>
      </c>
      <c r="Z57" s="140">
        <f t="shared" si="56"/>
        <v>-96253</v>
      </c>
      <c r="AA57" s="140">
        <f t="shared" si="56"/>
        <v>0</v>
      </c>
      <c r="AB57" s="167">
        <f t="shared" si="56"/>
        <v>-96253</v>
      </c>
      <c r="AC57" s="134"/>
      <c r="AD57" s="135"/>
      <c r="AM57" s="183"/>
    </row>
    <row r="58" spans="1:39" s="158" customFormat="1" ht="13.5" customHeight="1">
      <c r="A58" s="140" t="s">
        <v>237</v>
      </c>
      <c r="B58" s="139">
        <f aca="true" t="shared" si="57" ref="B58:O58">B14-B36</f>
        <v>-56031</v>
      </c>
      <c r="C58" s="139">
        <f t="shared" si="57"/>
        <v>-88806</v>
      </c>
      <c r="D58" s="139">
        <f t="shared" si="57"/>
        <v>0</v>
      </c>
      <c r="E58" s="139">
        <f t="shared" si="57"/>
        <v>-151308</v>
      </c>
      <c r="F58" s="139">
        <f t="shared" si="57"/>
        <v>0</v>
      </c>
      <c r="G58" s="139">
        <f t="shared" si="57"/>
        <v>438</v>
      </c>
      <c r="H58" s="139">
        <f t="shared" si="57"/>
        <v>-13</v>
      </c>
      <c r="I58" s="139">
        <f t="shared" si="57"/>
        <v>0</v>
      </c>
      <c r="J58" s="139">
        <f t="shared" si="57"/>
        <v>0</v>
      </c>
      <c r="K58" s="139">
        <f t="shared" si="57"/>
        <v>0</v>
      </c>
      <c r="L58" s="139">
        <f t="shared" si="57"/>
        <v>-121</v>
      </c>
      <c r="M58" s="139">
        <f t="shared" si="57"/>
        <v>-182</v>
      </c>
      <c r="N58" s="139">
        <f t="shared" si="57"/>
        <v>0</v>
      </c>
      <c r="O58" s="139">
        <f t="shared" si="57"/>
        <v>0</v>
      </c>
      <c r="P58" s="139">
        <f aca="true" t="shared" si="58" ref="P58:R58">P14-P36</f>
        <v>0</v>
      </c>
      <c r="Q58" s="139">
        <f t="shared" si="58"/>
        <v>0</v>
      </c>
      <c r="R58" s="139">
        <f t="shared" si="58"/>
        <v>0</v>
      </c>
      <c r="S58" s="139">
        <f aca="true" t="shared" si="59" ref="S58:AB58">S14-S36</f>
        <v>446</v>
      </c>
      <c r="T58" s="139">
        <f t="shared" si="59"/>
        <v>-29</v>
      </c>
      <c r="U58" s="139">
        <f t="shared" si="59"/>
        <v>-438</v>
      </c>
      <c r="V58" s="139">
        <f t="shared" si="59"/>
        <v>-162</v>
      </c>
      <c r="W58" s="139">
        <f t="shared" si="59"/>
        <v>24683</v>
      </c>
      <c r="X58" s="139">
        <f t="shared" si="59"/>
        <v>-34815</v>
      </c>
      <c r="Y58" s="134">
        <f t="shared" si="59"/>
        <v>-8688</v>
      </c>
      <c r="Z58" s="140">
        <f t="shared" si="59"/>
        <v>-315026</v>
      </c>
      <c r="AA58" s="140">
        <f t="shared" si="59"/>
        <v>0</v>
      </c>
      <c r="AB58" s="167">
        <f t="shared" si="59"/>
        <v>-315026</v>
      </c>
      <c r="AC58" s="134"/>
      <c r="AD58" s="135"/>
      <c r="AM58" s="183"/>
    </row>
    <row r="59" spans="1:39" s="158" customFormat="1" ht="13.5" customHeight="1">
      <c r="A59" s="150" t="s">
        <v>238</v>
      </c>
      <c r="B59" s="169">
        <f aca="true" t="shared" si="60" ref="B59:O59">B15-B37</f>
        <v>-655239</v>
      </c>
      <c r="C59" s="169">
        <f t="shared" si="60"/>
        <v>-312633</v>
      </c>
      <c r="D59" s="169">
        <f t="shared" si="60"/>
        <v>-94231</v>
      </c>
      <c r="E59" s="169">
        <f t="shared" si="60"/>
        <v>43792</v>
      </c>
      <c r="F59" s="169">
        <f t="shared" si="60"/>
        <v>362</v>
      </c>
      <c r="G59" s="169">
        <f t="shared" si="60"/>
        <v>-1406</v>
      </c>
      <c r="H59" s="169">
        <f t="shared" si="60"/>
        <v>156168</v>
      </c>
      <c r="I59" s="169">
        <f t="shared" si="60"/>
        <v>191545</v>
      </c>
      <c r="J59" s="169">
        <f t="shared" si="60"/>
        <v>-698</v>
      </c>
      <c r="K59" s="169">
        <f t="shared" si="60"/>
        <v>1628</v>
      </c>
      <c r="L59" s="169">
        <f t="shared" si="60"/>
        <v>64</v>
      </c>
      <c r="M59" s="169">
        <f t="shared" si="60"/>
        <v>5122</v>
      </c>
      <c r="N59" s="169">
        <f t="shared" si="60"/>
        <v>3889</v>
      </c>
      <c r="O59" s="169">
        <f t="shared" si="60"/>
        <v>3617</v>
      </c>
      <c r="P59" s="169">
        <f aca="true" t="shared" si="61" ref="P59:R59">P15-P37</f>
        <v>57</v>
      </c>
      <c r="Q59" s="169">
        <f t="shared" si="61"/>
        <v>381</v>
      </c>
      <c r="R59" s="169">
        <f t="shared" si="61"/>
        <v>-110</v>
      </c>
      <c r="S59" s="169">
        <f aca="true" t="shared" si="62" ref="S59:AB59">S15-S37</f>
        <v>-39055</v>
      </c>
      <c r="T59" s="169">
        <f t="shared" si="62"/>
        <v>-94398</v>
      </c>
      <c r="U59" s="169">
        <f t="shared" si="62"/>
        <v>-346176</v>
      </c>
      <c r="V59" s="169">
        <f t="shared" si="62"/>
        <v>-30985</v>
      </c>
      <c r="W59" s="169">
        <f t="shared" si="62"/>
        <v>-50109</v>
      </c>
      <c r="X59" s="169">
        <f t="shared" si="62"/>
        <v>-34070</v>
      </c>
      <c r="Y59" s="170">
        <f t="shared" si="62"/>
        <v>-389871</v>
      </c>
      <c r="Z59" s="168">
        <f t="shared" si="62"/>
        <v>-1642356</v>
      </c>
      <c r="AA59" s="168">
        <f t="shared" si="62"/>
        <v>407360</v>
      </c>
      <c r="AB59" s="171">
        <f t="shared" si="62"/>
        <v>-2049716</v>
      </c>
      <c r="AC59" s="177"/>
      <c r="AD59" s="135"/>
      <c r="AM59" s="183"/>
    </row>
    <row r="60" spans="1:39" s="158" customFormat="1" ht="13.5" customHeight="1">
      <c r="A60" s="137" t="s">
        <v>229</v>
      </c>
      <c r="B60" s="139">
        <f aca="true" t="shared" si="63" ref="B60:O60">B16-B38</f>
        <v>81730</v>
      </c>
      <c r="C60" s="139">
        <f t="shared" si="63"/>
        <v>0</v>
      </c>
      <c r="D60" s="139">
        <f t="shared" si="63"/>
        <v>27</v>
      </c>
      <c r="E60" s="139">
        <f t="shared" si="63"/>
        <v>0</v>
      </c>
      <c r="F60" s="139">
        <f t="shared" si="63"/>
        <v>0</v>
      </c>
      <c r="G60" s="139">
        <f t="shared" si="63"/>
        <v>0</v>
      </c>
      <c r="H60" s="139">
        <f t="shared" si="63"/>
        <v>0</v>
      </c>
      <c r="I60" s="139">
        <f t="shared" si="63"/>
        <v>0</v>
      </c>
      <c r="J60" s="139">
        <f t="shared" si="63"/>
        <v>0</v>
      </c>
      <c r="K60" s="139">
        <f t="shared" si="63"/>
        <v>0</v>
      </c>
      <c r="L60" s="139">
        <f t="shared" si="63"/>
        <v>0</v>
      </c>
      <c r="M60" s="139">
        <f t="shared" si="63"/>
        <v>-901</v>
      </c>
      <c r="N60" s="139">
        <f t="shared" si="63"/>
        <v>-454</v>
      </c>
      <c r="O60" s="139">
        <f t="shared" si="63"/>
        <v>0</v>
      </c>
      <c r="P60" s="139">
        <f aca="true" t="shared" si="64" ref="P60:R60">P16-P38</f>
        <v>0</v>
      </c>
      <c r="Q60" s="139">
        <f t="shared" si="64"/>
        <v>0</v>
      </c>
      <c r="R60" s="139">
        <f t="shared" si="64"/>
        <v>0</v>
      </c>
      <c r="S60" s="139">
        <f aca="true" t="shared" si="65" ref="S60:AB60">S16-S38</f>
        <v>-61299</v>
      </c>
      <c r="T60" s="139">
        <f t="shared" si="65"/>
        <v>0</v>
      </c>
      <c r="U60" s="139">
        <f t="shared" si="65"/>
        <v>-166989</v>
      </c>
      <c r="V60" s="139">
        <f t="shared" si="65"/>
        <v>0</v>
      </c>
      <c r="W60" s="139">
        <f t="shared" si="65"/>
        <v>-92263</v>
      </c>
      <c r="X60" s="139">
        <f t="shared" si="65"/>
        <v>-25479</v>
      </c>
      <c r="Y60" s="134">
        <f t="shared" si="65"/>
        <v>157097</v>
      </c>
      <c r="Z60" s="140">
        <f t="shared" si="65"/>
        <v>-108531</v>
      </c>
      <c r="AA60" s="140">
        <f t="shared" si="65"/>
        <v>0</v>
      </c>
      <c r="AB60" s="167">
        <f t="shared" si="65"/>
        <v>-108531</v>
      </c>
      <c r="AC60" s="177"/>
      <c r="AD60" s="135"/>
      <c r="AM60" s="183"/>
    </row>
    <row r="61" spans="1:39" s="158" customFormat="1" ht="13.5" customHeight="1">
      <c r="A61" s="137" t="s">
        <v>230</v>
      </c>
      <c r="B61" s="139">
        <f aca="true" t="shared" si="66" ref="B61:O61">B17-B39</f>
        <v>119188</v>
      </c>
      <c r="C61" s="139">
        <f t="shared" si="66"/>
        <v>113</v>
      </c>
      <c r="D61" s="139">
        <f t="shared" si="66"/>
        <v>-94158</v>
      </c>
      <c r="E61" s="139">
        <f t="shared" si="66"/>
        <v>43792</v>
      </c>
      <c r="F61" s="139">
        <f t="shared" si="66"/>
        <v>362</v>
      </c>
      <c r="G61" s="139">
        <f t="shared" si="66"/>
        <v>-1406</v>
      </c>
      <c r="H61" s="139">
        <f t="shared" si="66"/>
        <v>84687</v>
      </c>
      <c r="I61" s="139">
        <f t="shared" si="66"/>
        <v>31953</v>
      </c>
      <c r="J61" s="139">
        <f t="shared" si="66"/>
        <v>-104</v>
      </c>
      <c r="K61" s="139">
        <f t="shared" si="66"/>
        <v>28</v>
      </c>
      <c r="L61" s="139">
        <f t="shared" si="66"/>
        <v>0</v>
      </c>
      <c r="M61" s="139">
        <f t="shared" si="66"/>
        <v>-6550</v>
      </c>
      <c r="N61" s="139">
        <f t="shared" si="66"/>
        <v>-159</v>
      </c>
      <c r="O61" s="139">
        <f t="shared" si="66"/>
        <v>4</v>
      </c>
      <c r="P61" s="139">
        <f aca="true" t="shared" si="67" ref="P61:R61">P17-P39</f>
        <v>54</v>
      </c>
      <c r="Q61" s="139">
        <f t="shared" si="67"/>
        <v>75</v>
      </c>
      <c r="R61" s="139">
        <f t="shared" si="67"/>
        <v>-361</v>
      </c>
      <c r="S61" s="139">
        <f aca="true" t="shared" si="68" ref="S61:AB61">S17-S39</f>
        <v>-69288</v>
      </c>
      <c r="T61" s="139">
        <f t="shared" si="68"/>
        <v>-82391</v>
      </c>
      <c r="U61" s="139">
        <f t="shared" si="68"/>
        <v>-887319</v>
      </c>
      <c r="V61" s="139">
        <f t="shared" si="68"/>
        <v>-10201</v>
      </c>
      <c r="W61" s="139">
        <f t="shared" si="68"/>
        <v>370</v>
      </c>
      <c r="X61" s="139">
        <f t="shared" si="68"/>
        <v>-8519</v>
      </c>
      <c r="Y61" s="134">
        <f t="shared" si="68"/>
        <v>425264</v>
      </c>
      <c r="Z61" s="140">
        <f t="shared" si="68"/>
        <v>-454566</v>
      </c>
      <c r="AA61" s="140">
        <f t="shared" si="68"/>
        <v>21037</v>
      </c>
      <c r="AB61" s="167">
        <f t="shared" si="68"/>
        <v>-475603</v>
      </c>
      <c r="AC61" s="177"/>
      <c r="AD61" s="135"/>
      <c r="AM61" s="183"/>
    </row>
    <row r="62" spans="1:39" s="158" customFormat="1" ht="13.5" customHeight="1">
      <c r="A62" s="137" t="s">
        <v>231</v>
      </c>
      <c r="B62" s="139">
        <f aca="true" t="shared" si="69" ref="B62:O62">B18-B40</f>
        <v>-856157</v>
      </c>
      <c r="C62" s="139">
        <f t="shared" si="69"/>
        <v>-312746</v>
      </c>
      <c r="D62" s="139">
        <f t="shared" si="69"/>
        <v>-100</v>
      </c>
      <c r="E62" s="139">
        <f t="shared" si="69"/>
        <v>0</v>
      </c>
      <c r="F62" s="139">
        <f t="shared" si="69"/>
        <v>0</v>
      </c>
      <c r="G62" s="139">
        <f t="shared" si="69"/>
        <v>0</v>
      </c>
      <c r="H62" s="139">
        <f t="shared" si="69"/>
        <v>71481</v>
      </c>
      <c r="I62" s="139">
        <f t="shared" si="69"/>
        <v>159592</v>
      </c>
      <c r="J62" s="139">
        <f t="shared" si="69"/>
        <v>-594</v>
      </c>
      <c r="K62" s="139">
        <f t="shared" si="69"/>
        <v>1600</v>
      </c>
      <c r="L62" s="139">
        <f t="shared" si="69"/>
        <v>64</v>
      </c>
      <c r="M62" s="139">
        <f t="shared" si="69"/>
        <v>12573</v>
      </c>
      <c r="N62" s="139">
        <f t="shared" si="69"/>
        <v>4502</v>
      </c>
      <c r="O62" s="139">
        <f t="shared" si="69"/>
        <v>3613</v>
      </c>
      <c r="P62" s="139">
        <f aca="true" t="shared" si="70" ref="P62:R62">P18-P40</f>
        <v>3</v>
      </c>
      <c r="Q62" s="139">
        <f t="shared" si="70"/>
        <v>306</v>
      </c>
      <c r="R62" s="139">
        <f t="shared" si="70"/>
        <v>251</v>
      </c>
      <c r="S62" s="139">
        <f aca="true" t="shared" si="71" ref="S62:AB62">S18-S40</f>
        <v>91532</v>
      </c>
      <c r="T62" s="139">
        <f t="shared" si="71"/>
        <v>-12007</v>
      </c>
      <c r="U62" s="139">
        <f t="shared" si="71"/>
        <v>708132</v>
      </c>
      <c r="V62" s="139">
        <f t="shared" si="71"/>
        <v>-20784</v>
      </c>
      <c r="W62" s="139">
        <f t="shared" si="71"/>
        <v>41784</v>
      </c>
      <c r="X62" s="139">
        <f t="shared" si="71"/>
        <v>-72</v>
      </c>
      <c r="Y62" s="134">
        <f t="shared" si="71"/>
        <v>-972232</v>
      </c>
      <c r="Z62" s="140">
        <f t="shared" si="71"/>
        <v>-1079259</v>
      </c>
      <c r="AA62" s="140">
        <f t="shared" si="71"/>
        <v>386323</v>
      </c>
      <c r="AB62" s="167">
        <f t="shared" si="71"/>
        <v>-1465582</v>
      </c>
      <c r="AC62" s="177"/>
      <c r="AD62" s="135"/>
      <c r="AM62" s="183"/>
    </row>
    <row r="63" spans="1:39" s="158" customFormat="1" ht="13.5" customHeight="1">
      <c r="A63" s="150" t="s">
        <v>239</v>
      </c>
      <c r="B63" s="169">
        <f aca="true" t="shared" si="72" ref="B63:O63">B19-B41</f>
        <v>-857010</v>
      </c>
      <c r="C63" s="169">
        <f t="shared" si="72"/>
        <v>-286107</v>
      </c>
      <c r="D63" s="169">
        <f t="shared" si="72"/>
        <v>-23972</v>
      </c>
      <c r="E63" s="169">
        <f t="shared" si="72"/>
        <v>244034</v>
      </c>
      <c r="F63" s="169">
        <f t="shared" si="72"/>
        <v>-2296</v>
      </c>
      <c r="G63" s="169">
        <f t="shared" si="72"/>
        <v>11537</v>
      </c>
      <c r="H63" s="169">
        <f t="shared" si="72"/>
        <v>164592</v>
      </c>
      <c r="I63" s="169">
        <f t="shared" si="72"/>
        <v>214903</v>
      </c>
      <c r="J63" s="169">
        <f t="shared" si="72"/>
        <v>-1684</v>
      </c>
      <c r="K63" s="169">
        <f t="shared" si="72"/>
        <v>46</v>
      </c>
      <c r="L63" s="169">
        <f t="shared" si="72"/>
        <v>67</v>
      </c>
      <c r="M63" s="169">
        <f t="shared" si="72"/>
        <v>20282</v>
      </c>
      <c r="N63" s="169">
        <f t="shared" si="72"/>
        <v>2797</v>
      </c>
      <c r="O63" s="169">
        <f t="shared" si="72"/>
        <v>3640</v>
      </c>
      <c r="P63" s="169">
        <f aca="true" t="shared" si="73" ref="P63:R63">P19-P41</f>
        <v>-172</v>
      </c>
      <c r="Q63" s="169">
        <f t="shared" si="73"/>
        <v>251</v>
      </c>
      <c r="R63" s="169">
        <f t="shared" si="73"/>
        <v>-1499</v>
      </c>
      <c r="S63" s="169">
        <f aca="true" t="shared" si="74" ref="S63:AB63">S19-S41</f>
        <v>-94096</v>
      </c>
      <c r="T63" s="169">
        <f t="shared" si="74"/>
        <v>-112656</v>
      </c>
      <c r="U63" s="169">
        <f t="shared" si="74"/>
        <v>-61387</v>
      </c>
      <c r="V63" s="169">
        <f t="shared" si="74"/>
        <v>-14328</v>
      </c>
      <c r="W63" s="169">
        <f t="shared" si="74"/>
        <v>-110373</v>
      </c>
      <c r="X63" s="169">
        <f t="shared" si="74"/>
        <v>55925</v>
      </c>
      <c r="Y63" s="170">
        <f t="shared" si="74"/>
        <v>-381226</v>
      </c>
      <c r="Z63" s="168">
        <f t="shared" si="74"/>
        <v>-1228732</v>
      </c>
      <c r="AA63" s="168">
        <f t="shared" si="74"/>
        <v>407360</v>
      </c>
      <c r="AB63" s="171">
        <f t="shared" si="74"/>
        <v>-1636092</v>
      </c>
      <c r="AC63" s="177"/>
      <c r="AD63" s="135"/>
      <c r="AM63" s="183"/>
    </row>
    <row r="64" spans="1:39" s="158" customFormat="1" ht="13.5" customHeight="1">
      <c r="A64" s="137" t="s">
        <v>233</v>
      </c>
      <c r="B64" s="139">
        <f aca="true" t="shared" si="75" ref="B64:O64">B20-B42</f>
        <v>-800084</v>
      </c>
      <c r="C64" s="139">
        <f t="shared" si="75"/>
        <v>-374913</v>
      </c>
      <c r="D64" s="139">
        <f t="shared" si="75"/>
        <v>-9388</v>
      </c>
      <c r="E64" s="139">
        <f t="shared" si="75"/>
        <v>244163</v>
      </c>
      <c r="F64" s="139">
        <f t="shared" si="75"/>
        <v>-1581</v>
      </c>
      <c r="G64" s="139">
        <f t="shared" si="75"/>
        <v>11727</v>
      </c>
      <c r="H64" s="139">
        <f t="shared" si="75"/>
        <v>115146</v>
      </c>
      <c r="I64" s="139">
        <f t="shared" si="75"/>
        <v>72624</v>
      </c>
      <c r="J64" s="139">
        <f t="shared" si="75"/>
        <v>-1809</v>
      </c>
      <c r="K64" s="139">
        <f t="shared" si="75"/>
        <v>76</v>
      </c>
      <c r="L64" s="139">
        <f t="shared" si="75"/>
        <v>67</v>
      </c>
      <c r="M64" s="139">
        <f t="shared" si="75"/>
        <v>20726</v>
      </c>
      <c r="N64" s="139">
        <f t="shared" si="75"/>
        <v>2847</v>
      </c>
      <c r="O64" s="139">
        <f t="shared" si="75"/>
        <v>3640</v>
      </c>
      <c r="P64" s="139">
        <f aca="true" t="shared" si="76" ref="P64:R64">P20-P42</f>
        <v>-176</v>
      </c>
      <c r="Q64" s="139">
        <f t="shared" si="76"/>
        <v>171</v>
      </c>
      <c r="R64" s="139">
        <f t="shared" si="76"/>
        <v>-1499</v>
      </c>
      <c r="S64" s="139">
        <f aca="true" t="shared" si="77" ref="S64:AB64">S20-S42</f>
        <v>-155</v>
      </c>
      <c r="T64" s="139">
        <f t="shared" si="77"/>
        <v>-106145</v>
      </c>
      <c r="U64" s="139">
        <f t="shared" si="77"/>
        <v>221149</v>
      </c>
      <c r="V64" s="139">
        <f t="shared" si="77"/>
        <v>-12759</v>
      </c>
      <c r="W64" s="139">
        <f t="shared" si="77"/>
        <v>-74791</v>
      </c>
      <c r="X64" s="139">
        <f t="shared" si="77"/>
        <v>47737</v>
      </c>
      <c r="Y64" s="134">
        <f t="shared" si="77"/>
        <v>279590</v>
      </c>
      <c r="Z64" s="140">
        <f t="shared" si="77"/>
        <v>-363637</v>
      </c>
      <c r="AA64" s="140">
        <f t="shared" si="77"/>
        <v>-17095</v>
      </c>
      <c r="AB64" s="167">
        <f t="shared" si="77"/>
        <v>-346542</v>
      </c>
      <c r="AC64" s="177"/>
      <c r="AD64" s="135"/>
      <c r="AM64" s="183"/>
    </row>
    <row r="65" spans="1:39" s="158" customFormat="1" ht="13.5" customHeight="1" thickBot="1">
      <c r="A65" s="137" t="s">
        <v>234</v>
      </c>
      <c r="B65" s="139">
        <f aca="true" t="shared" si="78" ref="B65:O65">B21-B43</f>
        <v>-56926</v>
      </c>
      <c r="C65" s="139">
        <f t="shared" si="78"/>
        <v>88806</v>
      </c>
      <c r="D65" s="139">
        <f t="shared" si="78"/>
        <v>-14584</v>
      </c>
      <c r="E65" s="139">
        <f t="shared" si="78"/>
        <v>-129</v>
      </c>
      <c r="F65" s="139">
        <f t="shared" si="78"/>
        <v>-715</v>
      </c>
      <c r="G65" s="139">
        <f t="shared" si="78"/>
        <v>-190</v>
      </c>
      <c r="H65" s="139">
        <f t="shared" si="78"/>
        <v>49446</v>
      </c>
      <c r="I65" s="139">
        <f t="shared" si="78"/>
        <v>142279</v>
      </c>
      <c r="J65" s="139">
        <f t="shared" si="78"/>
        <v>125</v>
      </c>
      <c r="K65" s="139">
        <f t="shared" si="78"/>
        <v>-30</v>
      </c>
      <c r="L65" s="139">
        <f t="shared" si="78"/>
        <v>0</v>
      </c>
      <c r="M65" s="139">
        <f t="shared" si="78"/>
        <v>-444</v>
      </c>
      <c r="N65" s="139">
        <f t="shared" si="78"/>
        <v>-50</v>
      </c>
      <c r="O65" s="139">
        <f t="shared" si="78"/>
        <v>0</v>
      </c>
      <c r="P65" s="139">
        <f aca="true" t="shared" si="79" ref="P65:R65">P21-P43</f>
        <v>4</v>
      </c>
      <c r="Q65" s="139">
        <f t="shared" si="79"/>
        <v>80</v>
      </c>
      <c r="R65" s="139">
        <f t="shared" si="79"/>
        <v>0</v>
      </c>
      <c r="S65" s="139">
        <f aca="true" t="shared" si="80" ref="S65:AB65">S21-S43</f>
        <v>-93941</v>
      </c>
      <c r="T65" s="139">
        <f t="shared" si="80"/>
        <v>-6511</v>
      </c>
      <c r="U65" s="139">
        <f t="shared" si="80"/>
        <v>-282536</v>
      </c>
      <c r="V65" s="139">
        <f t="shared" si="80"/>
        <v>-1569</v>
      </c>
      <c r="W65" s="139">
        <f t="shared" si="80"/>
        <v>-35582</v>
      </c>
      <c r="X65" s="139">
        <f t="shared" si="80"/>
        <v>8188</v>
      </c>
      <c r="Y65" s="134">
        <f t="shared" si="80"/>
        <v>-660816</v>
      </c>
      <c r="Z65" s="140">
        <f t="shared" si="80"/>
        <v>-865095</v>
      </c>
      <c r="AA65" s="140">
        <f t="shared" si="80"/>
        <v>424455</v>
      </c>
      <c r="AB65" s="167">
        <f t="shared" si="80"/>
        <v>-1289550</v>
      </c>
      <c r="AC65" s="177"/>
      <c r="AD65" s="135"/>
      <c r="AM65" s="183"/>
    </row>
    <row r="66" spans="1:30" ht="21" customHeight="1" thickBot="1" thickTop="1">
      <c r="A66" s="172" t="s">
        <v>240</v>
      </c>
      <c r="B66" s="173">
        <f aca="true" t="shared" si="81" ref="B66:O66">B22-B44</f>
        <v>201771</v>
      </c>
      <c r="C66" s="173">
        <f>C22-C44</f>
        <v>-26526</v>
      </c>
      <c r="D66" s="173">
        <f t="shared" si="81"/>
        <v>-70259</v>
      </c>
      <c r="E66" s="173">
        <f t="shared" si="81"/>
        <v>-200242</v>
      </c>
      <c r="F66" s="173">
        <f t="shared" si="81"/>
        <v>2658</v>
      </c>
      <c r="G66" s="173">
        <f t="shared" si="81"/>
        <v>-12943</v>
      </c>
      <c r="H66" s="173">
        <f t="shared" si="81"/>
        <v>-8424</v>
      </c>
      <c r="I66" s="173">
        <f t="shared" si="81"/>
        <v>-23358</v>
      </c>
      <c r="J66" s="173">
        <f t="shared" si="81"/>
        <v>986</v>
      </c>
      <c r="K66" s="173">
        <f t="shared" si="81"/>
        <v>1582</v>
      </c>
      <c r="L66" s="173">
        <f t="shared" si="81"/>
        <v>-3</v>
      </c>
      <c r="M66" s="173">
        <f t="shared" si="81"/>
        <v>-15160</v>
      </c>
      <c r="N66" s="173">
        <f t="shared" si="81"/>
        <v>1092</v>
      </c>
      <c r="O66" s="173">
        <f t="shared" si="81"/>
        <v>-23</v>
      </c>
      <c r="P66" s="173">
        <f aca="true" t="shared" si="82" ref="P66:R66">P22-P44</f>
        <v>229</v>
      </c>
      <c r="Q66" s="173">
        <f t="shared" si="82"/>
        <v>130</v>
      </c>
      <c r="R66" s="173">
        <f t="shared" si="82"/>
        <v>1389</v>
      </c>
      <c r="S66" s="173">
        <f aca="true" t="shared" si="83" ref="S66:AB66">S22-S44</f>
        <v>55041</v>
      </c>
      <c r="T66" s="173">
        <f t="shared" si="83"/>
        <v>18258</v>
      </c>
      <c r="U66" s="173">
        <f t="shared" si="83"/>
        <v>-284789</v>
      </c>
      <c r="V66" s="173">
        <f t="shared" si="83"/>
        <v>-16657</v>
      </c>
      <c r="W66" s="173">
        <f t="shared" si="83"/>
        <v>60264</v>
      </c>
      <c r="X66" s="173">
        <f t="shared" si="83"/>
        <v>-89995</v>
      </c>
      <c r="Y66" s="174">
        <f t="shared" si="83"/>
        <v>-8645</v>
      </c>
      <c r="Z66" s="175">
        <f t="shared" si="83"/>
        <v>-413624</v>
      </c>
      <c r="AA66" s="175">
        <f t="shared" si="83"/>
        <v>0</v>
      </c>
      <c r="AB66" s="176">
        <f t="shared" si="83"/>
        <v>-413624</v>
      </c>
      <c r="AC66" s="134"/>
      <c r="AD66" s="147"/>
    </row>
    <row r="67" spans="1:29" ht="13.5" thickTop="1">
      <c r="A67" s="153" t="s">
        <v>247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</row>
    <row r="68" spans="1:29" ht="12.75">
      <c r="A68" s="152" t="s">
        <v>270</v>
      </c>
      <c r="Z68" s="178"/>
      <c r="AA68" s="178"/>
      <c r="AB68" s="178"/>
      <c r="AC68" s="178"/>
    </row>
    <row r="69" spans="1:29" ht="12.75">
      <c r="A69" s="153" t="s">
        <v>244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</row>
    <row r="70" ht="12.75">
      <c r="AC70" s="179"/>
    </row>
    <row r="71" ht="12.75">
      <c r="AC71" s="179"/>
    </row>
  </sheetData>
  <mergeCells count="3">
    <mergeCell ref="A2:AB2"/>
    <mergeCell ref="AG14:AK14"/>
    <mergeCell ref="AA1:AB1"/>
  </mergeCells>
  <printOptions/>
  <pageMargins left="0.3937007874015748" right="0.3937007874015748" top="0.7480314960629921" bottom="0.984251968503937" header="0.5118110236220472" footer="0.5118110236220472"/>
  <pageSetup fitToHeight="2" fitToWidth="2" horizontalDpi="600" verticalDpi="600" orientation="landscape" paperSize="9" scale="63" r:id="rId1"/>
  <rowBreaks count="1" manualBreakCount="1">
    <brk id="46" max="16383" man="1"/>
  </rowBreaks>
  <colBreaks count="1" manualBreakCount="1">
    <brk id="2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42"/>
  <sheetViews>
    <sheetView showGridLines="0" view="pageBreakPreview" zoomScale="80" zoomScaleSheetLayoutView="80" workbookViewId="0" topLeftCell="A16">
      <selection activeCell="B3" sqref="B3:G3"/>
    </sheetView>
  </sheetViews>
  <sheetFormatPr defaultColWidth="9.140625" defaultRowHeight="12.75"/>
  <cols>
    <col min="1" max="1" width="9.140625" style="12" customWidth="1"/>
    <col min="2" max="2" width="3.28125" style="12" customWidth="1"/>
    <col min="3" max="3" width="9.140625" style="12" customWidth="1"/>
    <col min="4" max="4" width="43.421875" style="12" customWidth="1"/>
    <col min="5" max="5" width="9.8515625" style="51" customWidth="1"/>
    <col min="6" max="6" width="11.00390625" style="61" customWidth="1"/>
    <col min="7" max="7" width="10.57421875" style="62" customWidth="1"/>
    <col min="8" max="8" width="22.8515625" style="62" customWidth="1"/>
    <col min="9" max="9" width="57.140625" style="62" customWidth="1"/>
    <col min="10" max="10" width="11.8515625" style="63" customWidth="1"/>
    <col min="11" max="12" width="9.140625" style="12" customWidth="1"/>
    <col min="13" max="13" width="9.421875" style="12" bestFit="1" customWidth="1"/>
    <col min="14" max="16384" width="9.140625" style="12" customWidth="1"/>
  </cols>
  <sheetData>
    <row r="1" spans="2:10" s="34" customFormat="1" ht="15">
      <c r="B1" s="289"/>
      <c r="C1" s="290" t="s">
        <v>45</v>
      </c>
      <c r="D1" s="289"/>
      <c r="E1" s="291"/>
      <c r="F1" s="327"/>
      <c r="G1" s="292"/>
      <c r="H1" s="53"/>
      <c r="I1" s="53"/>
      <c r="J1" s="54"/>
    </row>
    <row r="2" spans="2:10" s="23" customFormat="1" ht="12.75" customHeight="1" thickBot="1">
      <c r="B2" s="306"/>
      <c r="C2" s="307"/>
      <c r="D2" s="306"/>
      <c r="E2" s="308"/>
      <c r="F2" s="308"/>
      <c r="G2" s="308" t="s">
        <v>199</v>
      </c>
      <c r="H2" s="74"/>
      <c r="I2" s="74"/>
      <c r="J2" s="56"/>
    </row>
    <row r="3" spans="2:11" s="23" customFormat="1" ht="39" thickTop="1">
      <c r="B3" s="417"/>
      <c r="C3" s="441" t="s">
        <v>136</v>
      </c>
      <c r="D3" s="441"/>
      <c r="E3" s="418" t="s">
        <v>204</v>
      </c>
      <c r="F3" s="418" t="s">
        <v>205</v>
      </c>
      <c r="G3" s="419" t="s">
        <v>207</v>
      </c>
      <c r="H3" s="107"/>
      <c r="I3" s="79"/>
      <c r="J3" s="56"/>
      <c r="K3" s="30"/>
    </row>
    <row r="4" spans="2:13" s="23" customFormat="1" ht="12.75" customHeight="1">
      <c r="B4" s="233">
        <v>1</v>
      </c>
      <c r="C4" s="429" t="s">
        <v>119</v>
      </c>
      <c r="D4" s="444"/>
      <c r="E4" s="234">
        <f>E5+E11</f>
        <v>402370</v>
      </c>
      <c r="F4" s="234">
        <f>F5+F11</f>
        <v>89737</v>
      </c>
      <c r="G4" s="235">
        <f>F4-E4</f>
        <v>-312633</v>
      </c>
      <c r="H4" s="75"/>
      <c r="I4" s="75"/>
      <c r="J4" s="56"/>
      <c r="K4" s="26"/>
      <c r="M4" s="25"/>
    </row>
    <row r="5" spans="2:11" s="23" customFormat="1" ht="12.75" customHeight="1">
      <c r="B5" s="236"/>
      <c r="C5" s="406" t="s">
        <v>0</v>
      </c>
      <c r="D5" s="408" t="s">
        <v>30</v>
      </c>
      <c r="E5" s="238">
        <f>E6+E7+E8+E9+E10</f>
        <v>0</v>
      </c>
      <c r="F5" s="238">
        <f>F6+F7+F8+F9+F10</f>
        <v>113</v>
      </c>
      <c r="G5" s="239">
        <f aca="true" t="shared" si="0" ref="G5:G29">F5-E5</f>
        <v>113</v>
      </c>
      <c r="H5" s="76"/>
      <c r="I5" s="76"/>
      <c r="J5" s="56"/>
      <c r="K5" s="19"/>
    </row>
    <row r="6" spans="2:11" s="23" customFormat="1" ht="12.75" customHeight="1">
      <c r="B6" s="236"/>
      <c r="C6" s="406"/>
      <c r="D6" s="241" t="s">
        <v>44</v>
      </c>
      <c r="E6" s="238">
        <v>0</v>
      </c>
      <c r="F6" s="238">
        <f>67716-67716</f>
        <v>0</v>
      </c>
      <c r="G6" s="239">
        <f t="shared" si="0"/>
        <v>0</v>
      </c>
      <c r="H6" s="76"/>
      <c r="I6" s="76"/>
      <c r="J6" s="56"/>
      <c r="K6" s="19"/>
    </row>
    <row r="7" spans="2:11" s="23" customFormat="1" ht="12.75" customHeight="1">
      <c r="B7" s="236"/>
      <c r="C7" s="406"/>
      <c r="D7" s="241" t="s">
        <v>40</v>
      </c>
      <c r="E7" s="238">
        <v>0</v>
      </c>
      <c r="F7" s="238">
        <v>0</v>
      </c>
      <c r="G7" s="239">
        <f t="shared" si="0"/>
        <v>0</v>
      </c>
      <c r="H7" s="76"/>
      <c r="I7" s="76"/>
      <c r="J7" s="56"/>
      <c r="K7" s="19"/>
    </row>
    <row r="8" spans="2:11" s="23" customFormat="1" ht="12.75" customHeight="1">
      <c r="B8" s="236"/>
      <c r="C8" s="406"/>
      <c r="D8" s="241" t="s">
        <v>41</v>
      </c>
      <c r="E8" s="238">
        <v>0</v>
      </c>
      <c r="F8" s="238">
        <v>0</v>
      </c>
      <c r="G8" s="239">
        <f t="shared" si="0"/>
        <v>0</v>
      </c>
      <c r="H8" s="76"/>
      <c r="I8" s="76"/>
      <c r="J8" s="56"/>
      <c r="K8" s="19"/>
    </row>
    <row r="9" spans="2:11" s="23" customFormat="1" ht="12.75" customHeight="1">
      <c r="B9" s="236"/>
      <c r="C9" s="406"/>
      <c r="D9" s="241" t="s">
        <v>164</v>
      </c>
      <c r="E9" s="238">
        <v>0</v>
      </c>
      <c r="F9" s="238">
        <v>0</v>
      </c>
      <c r="G9" s="239">
        <f t="shared" si="0"/>
        <v>0</v>
      </c>
      <c r="H9" s="76"/>
      <c r="I9" s="76"/>
      <c r="J9" s="56"/>
      <c r="K9" s="19"/>
    </row>
    <row r="10" spans="2:11" s="23" customFormat="1" ht="12.75" customHeight="1">
      <c r="B10" s="236"/>
      <c r="C10" s="406"/>
      <c r="D10" s="241" t="s">
        <v>43</v>
      </c>
      <c r="E10" s="238">
        <v>0</v>
      </c>
      <c r="F10" s="238">
        <f>14+21+78</f>
        <v>113</v>
      </c>
      <c r="G10" s="239">
        <f t="shared" si="0"/>
        <v>113</v>
      </c>
      <c r="H10" s="76"/>
      <c r="I10" s="76"/>
      <c r="J10" s="56"/>
      <c r="K10" s="19"/>
    </row>
    <row r="11" spans="2:11" s="23" customFormat="1" ht="12.75" customHeight="1">
      <c r="B11" s="236"/>
      <c r="C11" s="406"/>
      <c r="D11" s="408" t="s">
        <v>31</v>
      </c>
      <c r="E11" s="238">
        <v>402370</v>
      </c>
      <c r="F11" s="238">
        <f>21908+67716</f>
        <v>89624</v>
      </c>
      <c r="G11" s="239">
        <f t="shared" si="0"/>
        <v>-312746</v>
      </c>
      <c r="H11" s="76"/>
      <c r="I11" s="76"/>
      <c r="J11" s="56"/>
      <c r="K11" s="19"/>
    </row>
    <row r="12" spans="2:11" s="23" customFormat="1" ht="38.25">
      <c r="B12" s="236"/>
      <c r="C12" s="406"/>
      <c r="D12" s="408" t="s">
        <v>260</v>
      </c>
      <c r="E12" s="393">
        <v>0</v>
      </c>
      <c r="F12" s="393">
        <v>21908</v>
      </c>
      <c r="G12" s="410">
        <f t="shared" si="0"/>
        <v>21908</v>
      </c>
      <c r="H12" s="76"/>
      <c r="I12" s="76"/>
      <c r="J12" s="56"/>
      <c r="K12" s="19"/>
    </row>
    <row r="13" spans="2:11" s="23" customFormat="1" ht="12.75" customHeight="1">
      <c r="B13" s="233"/>
      <c r="C13" s="406"/>
      <c r="D13" s="408" t="s">
        <v>256</v>
      </c>
      <c r="E13" s="238"/>
      <c r="F13" s="238"/>
      <c r="G13" s="242"/>
      <c r="H13" s="77"/>
      <c r="I13" s="77"/>
      <c r="J13" s="56"/>
      <c r="K13" s="22"/>
    </row>
    <row r="14" spans="2:11" s="23" customFormat="1" ht="12.75" customHeight="1">
      <c r="B14" s="233">
        <v>2</v>
      </c>
      <c r="C14" s="429" t="s">
        <v>120</v>
      </c>
      <c r="D14" s="444"/>
      <c r="E14" s="243">
        <f>E15+E20</f>
        <v>450426</v>
      </c>
      <c r="F14" s="243">
        <f>F15+F20</f>
        <v>75513</v>
      </c>
      <c r="G14" s="235">
        <f t="shared" si="0"/>
        <v>-374913</v>
      </c>
      <c r="H14" s="75"/>
      <c r="I14" s="75"/>
      <c r="J14" s="56"/>
      <c r="K14" s="20"/>
    </row>
    <row r="15" spans="2:11" s="23" customFormat="1" ht="12.75" customHeight="1">
      <c r="B15" s="236"/>
      <c r="C15" s="406" t="s">
        <v>0</v>
      </c>
      <c r="D15" s="408" t="s">
        <v>32</v>
      </c>
      <c r="E15" s="238">
        <f>E16+E17+E18+E19</f>
        <v>450426</v>
      </c>
      <c r="F15" s="238">
        <f>F16+F17+F18+F19</f>
        <v>75513</v>
      </c>
      <c r="G15" s="239">
        <f t="shared" si="0"/>
        <v>-374913</v>
      </c>
      <c r="H15" s="76"/>
      <c r="I15" s="76"/>
      <c r="J15" s="56"/>
      <c r="K15" s="22"/>
    </row>
    <row r="16" spans="2:11" s="23" customFormat="1" ht="12.75" customHeight="1">
      <c r="B16" s="236"/>
      <c r="C16" s="406"/>
      <c r="D16" s="241" t="s">
        <v>34</v>
      </c>
      <c r="E16" s="238">
        <v>0</v>
      </c>
      <c r="F16" s="238">
        <v>0</v>
      </c>
      <c r="G16" s="239">
        <f t="shared" si="0"/>
        <v>0</v>
      </c>
      <c r="H16" s="76"/>
      <c r="I16" s="76"/>
      <c r="J16" s="56"/>
      <c r="K16" s="22"/>
    </row>
    <row r="17" spans="2:11" s="23" customFormat="1" ht="12.75" customHeight="1">
      <c r="B17" s="236"/>
      <c r="C17" s="406"/>
      <c r="D17" s="241" t="s">
        <v>35</v>
      </c>
      <c r="E17" s="238">
        <v>0</v>
      </c>
      <c r="F17" s="238">
        <v>0</v>
      </c>
      <c r="G17" s="239">
        <f t="shared" si="0"/>
        <v>0</v>
      </c>
      <c r="H17" s="76"/>
      <c r="I17" s="76"/>
      <c r="J17" s="56"/>
      <c r="K17" s="22"/>
    </row>
    <row r="18" spans="2:11" s="23" customFormat="1" ht="12.75" customHeight="1">
      <c r="B18" s="236"/>
      <c r="C18" s="406"/>
      <c r="D18" s="241" t="s">
        <v>52</v>
      </c>
      <c r="E18" s="238">
        <v>450426</v>
      </c>
      <c r="F18" s="238">
        <f>75507+6</f>
        <v>75513</v>
      </c>
      <c r="G18" s="239">
        <f t="shared" si="0"/>
        <v>-374913</v>
      </c>
      <c r="H18" s="76"/>
      <c r="I18" s="76"/>
      <c r="J18" s="85"/>
      <c r="K18" s="22"/>
    </row>
    <row r="19" spans="2:11" s="23" customFormat="1" ht="12.75">
      <c r="B19" s="236"/>
      <c r="C19" s="406"/>
      <c r="D19" s="405" t="s">
        <v>37</v>
      </c>
      <c r="E19" s="238">
        <v>0</v>
      </c>
      <c r="F19" s="238">
        <v>0</v>
      </c>
      <c r="G19" s="239">
        <f t="shared" si="0"/>
        <v>0</v>
      </c>
      <c r="H19" s="76"/>
      <c r="I19" s="76"/>
      <c r="J19" s="56"/>
      <c r="K19" s="22"/>
    </row>
    <row r="20" spans="2:11" s="23" customFormat="1" ht="12.75" customHeight="1">
      <c r="B20" s="236"/>
      <c r="C20" s="406"/>
      <c r="D20" s="408" t="s">
        <v>33</v>
      </c>
      <c r="E20" s="238">
        <f>E21+E22</f>
        <v>0</v>
      </c>
      <c r="F20" s="238">
        <f>F21+F22</f>
        <v>0</v>
      </c>
      <c r="G20" s="239">
        <f t="shared" si="0"/>
        <v>0</v>
      </c>
      <c r="H20" s="76"/>
      <c r="I20" s="76"/>
      <c r="J20" s="56"/>
      <c r="K20" s="22"/>
    </row>
    <row r="21" spans="2:11" s="23" customFormat="1" ht="12.75" customHeight="1">
      <c r="B21" s="236"/>
      <c r="C21" s="406"/>
      <c r="D21" s="241" t="s">
        <v>38</v>
      </c>
      <c r="E21" s="238">
        <v>0</v>
      </c>
      <c r="F21" s="238">
        <v>0</v>
      </c>
      <c r="G21" s="239">
        <f t="shared" si="0"/>
        <v>0</v>
      </c>
      <c r="H21" s="76"/>
      <c r="I21" s="76"/>
      <c r="J21" s="56"/>
      <c r="K21" s="22"/>
    </row>
    <row r="22" spans="2:11" s="23" customFormat="1" ht="12.75" customHeight="1">
      <c r="B22" s="236"/>
      <c r="C22" s="406"/>
      <c r="D22" s="241" t="s">
        <v>39</v>
      </c>
      <c r="E22" s="238">
        <v>0</v>
      </c>
      <c r="F22" s="238">
        <v>0</v>
      </c>
      <c r="G22" s="239">
        <f t="shared" si="0"/>
        <v>0</v>
      </c>
      <c r="H22" s="76"/>
      <c r="I22" s="76"/>
      <c r="J22" s="56"/>
      <c r="K22" s="22"/>
    </row>
    <row r="23" spans="2:11" s="23" customFormat="1" ht="12.75" customHeight="1">
      <c r="B23" s="233"/>
      <c r="C23" s="406"/>
      <c r="D23" s="408"/>
      <c r="E23" s="243"/>
      <c r="F23" s="238"/>
      <c r="G23" s="242"/>
      <c r="H23" s="77"/>
      <c r="I23" s="77"/>
      <c r="J23" s="56"/>
      <c r="K23" s="22"/>
    </row>
    <row r="24" spans="2:11" s="23" customFormat="1" ht="12.75" customHeight="1">
      <c r="B24" s="244">
        <v>3</v>
      </c>
      <c r="C24" s="434" t="s">
        <v>121</v>
      </c>
      <c r="D24" s="435"/>
      <c r="E24" s="245">
        <f>E4-E14</f>
        <v>-48056</v>
      </c>
      <c r="F24" s="245">
        <f>F4-F14</f>
        <v>14224</v>
      </c>
      <c r="G24" s="246">
        <f t="shared" si="0"/>
        <v>62280</v>
      </c>
      <c r="H24" s="75"/>
      <c r="I24" s="75"/>
      <c r="J24" s="56"/>
      <c r="K24" s="20"/>
    </row>
    <row r="25" spans="2:11" s="23" customFormat="1" ht="12.75" customHeight="1">
      <c r="B25" s="233"/>
      <c r="C25" s="403"/>
      <c r="D25" s="409"/>
      <c r="E25" s="243"/>
      <c r="F25" s="243"/>
      <c r="G25" s="235"/>
      <c r="H25" s="75"/>
      <c r="I25" s="75"/>
      <c r="J25" s="56"/>
      <c r="K25" s="20"/>
    </row>
    <row r="26" spans="2:11" s="23" customFormat="1" ht="12.75" customHeight="1">
      <c r="B26" s="233">
        <v>5</v>
      </c>
      <c r="C26" s="430" t="s">
        <v>139</v>
      </c>
      <c r="D26" s="430"/>
      <c r="E26" s="243">
        <v>0</v>
      </c>
      <c r="F26" s="243">
        <f>F27+F28+F29</f>
        <v>-88806</v>
      </c>
      <c r="G26" s="235">
        <f t="shared" si="0"/>
        <v>-88806</v>
      </c>
      <c r="H26" s="75"/>
      <c r="I26" s="75"/>
      <c r="J26" s="56"/>
      <c r="K26" s="20"/>
    </row>
    <row r="27" spans="2:11" s="23" customFormat="1" ht="27.75" customHeight="1">
      <c r="B27" s="236"/>
      <c r="C27" s="406"/>
      <c r="D27" s="406" t="s">
        <v>261</v>
      </c>
      <c r="E27" s="243">
        <v>0</v>
      </c>
      <c r="F27" s="238">
        <v>-1048</v>
      </c>
      <c r="G27" s="239">
        <f t="shared" si="0"/>
        <v>-1048</v>
      </c>
      <c r="H27" s="75"/>
      <c r="I27" s="75"/>
      <c r="J27" s="85"/>
      <c r="K27" s="20"/>
    </row>
    <row r="28" spans="2:11" s="23" customFormat="1" ht="27" customHeight="1">
      <c r="B28" s="236"/>
      <c r="C28" s="406"/>
      <c r="D28" s="406" t="s">
        <v>262</v>
      </c>
      <c r="E28" s="243">
        <v>0</v>
      </c>
      <c r="F28" s="238">
        <v>-9958</v>
      </c>
      <c r="G28" s="239">
        <f t="shared" si="0"/>
        <v>-9958</v>
      </c>
      <c r="H28" s="75"/>
      <c r="I28" s="75"/>
      <c r="J28" s="85"/>
      <c r="K28" s="20"/>
    </row>
    <row r="29" spans="2:11" s="23" customFormat="1" ht="27" customHeight="1">
      <c r="B29" s="236"/>
      <c r="C29" s="406"/>
      <c r="D29" s="406" t="s">
        <v>296</v>
      </c>
      <c r="E29" s="243">
        <v>0</v>
      </c>
      <c r="F29" s="238">
        <v>-77800</v>
      </c>
      <c r="G29" s="239">
        <f t="shared" si="0"/>
        <v>-77800</v>
      </c>
      <c r="H29" s="75"/>
      <c r="I29" s="75"/>
      <c r="J29" s="85"/>
      <c r="K29" s="20"/>
    </row>
    <row r="30" spans="2:10" s="23" customFormat="1" ht="12.75" customHeight="1">
      <c r="B30" s="233"/>
      <c r="C30" s="406"/>
      <c r="D30" s="408"/>
      <c r="E30" s="243"/>
      <c r="F30" s="261"/>
      <c r="G30" s="242"/>
      <c r="H30" s="77"/>
      <c r="I30" s="77"/>
      <c r="J30" s="56"/>
    </row>
    <row r="31" spans="2:10" s="23" customFormat="1" ht="12.75" customHeight="1">
      <c r="B31" s="244">
        <v>4</v>
      </c>
      <c r="C31" s="434" t="s">
        <v>154</v>
      </c>
      <c r="D31" s="435"/>
      <c r="E31" s="279">
        <f>E24</f>
        <v>-48056</v>
      </c>
      <c r="F31" s="279">
        <f>F24+F26</f>
        <v>-74582</v>
      </c>
      <c r="G31" s="246">
        <f aca="true" t="shared" si="1" ref="G31:G33">F31-E31</f>
        <v>-26526</v>
      </c>
      <c r="H31" s="78"/>
      <c r="I31" s="78"/>
      <c r="J31" s="57"/>
    </row>
    <row r="32" spans="2:10" s="23" customFormat="1" ht="12.75" customHeight="1">
      <c r="B32" s="236"/>
      <c r="C32" s="433" t="s">
        <v>5</v>
      </c>
      <c r="D32" s="442"/>
      <c r="E32" s="238">
        <f>E4</f>
        <v>402370</v>
      </c>
      <c r="F32" s="238">
        <f>F4</f>
        <v>89737</v>
      </c>
      <c r="G32" s="270">
        <f t="shared" si="1"/>
        <v>-312633</v>
      </c>
      <c r="H32" s="77"/>
      <c r="I32" s="77"/>
      <c r="J32" s="56"/>
    </row>
    <row r="33" spans="2:10" s="23" customFormat="1" ht="12.75" customHeight="1">
      <c r="B33" s="251"/>
      <c r="C33" s="436" t="s">
        <v>6</v>
      </c>
      <c r="D33" s="443"/>
      <c r="E33" s="252">
        <f>E14-E27</f>
        <v>450426</v>
      </c>
      <c r="F33" s="252">
        <f>F14-F26</f>
        <v>164319</v>
      </c>
      <c r="G33" s="266">
        <f t="shared" si="1"/>
        <v>-286107</v>
      </c>
      <c r="H33" s="77"/>
      <c r="I33" s="77"/>
      <c r="J33" s="56"/>
    </row>
    <row r="34" spans="2:10" s="23" customFormat="1" ht="12.75" customHeight="1">
      <c r="B34" s="16"/>
      <c r="C34" s="326"/>
      <c r="D34" s="326"/>
      <c r="E34" s="311"/>
      <c r="F34" s="411"/>
      <c r="G34" s="412"/>
      <c r="H34" s="55"/>
      <c r="I34" s="55"/>
      <c r="J34" s="56"/>
    </row>
    <row r="35" spans="2:10" s="23" customFormat="1" ht="12.75" customHeight="1">
      <c r="B35" s="3"/>
      <c r="E35" s="44"/>
      <c r="F35" s="57"/>
      <c r="G35" s="55"/>
      <c r="H35" s="55"/>
      <c r="I35" s="55"/>
      <c r="J35" s="56"/>
    </row>
    <row r="36" spans="2:10" s="23" customFormat="1" ht="12.75" customHeight="1">
      <c r="B36" s="70"/>
      <c r="E36" s="44"/>
      <c r="F36" s="57"/>
      <c r="G36" s="55"/>
      <c r="H36" s="55"/>
      <c r="I36" s="55"/>
      <c r="J36" s="56"/>
    </row>
    <row r="37" spans="2:10" s="23" customFormat="1" ht="12.75" customHeight="1">
      <c r="B37" s="3"/>
      <c r="E37" s="44"/>
      <c r="F37" s="57"/>
      <c r="G37" s="55"/>
      <c r="H37" s="55"/>
      <c r="I37" s="55"/>
      <c r="J37" s="56"/>
    </row>
    <row r="38" spans="2:10" s="23" customFormat="1" ht="12.75" customHeight="1">
      <c r="B38" s="3"/>
      <c r="E38" s="44"/>
      <c r="F38" s="57"/>
      <c r="G38" s="55"/>
      <c r="H38" s="55"/>
      <c r="I38" s="55"/>
      <c r="J38" s="56"/>
    </row>
    <row r="39" spans="5:10" s="23" customFormat="1" ht="12.75" customHeight="1">
      <c r="E39" s="44"/>
      <c r="F39" s="57"/>
      <c r="G39" s="55"/>
      <c r="H39" s="55"/>
      <c r="I39" s="55"/>
      <c r="J39" s="56"/>
    </row>
    <row r="40" spans="5:10" s="23" customFormat="1" ht="12.75" customHeight="1">
      <c r="E40" s="44"/>
      <c r="F40" s="57"/>
      <c r="G40" s="55"/>
      <c r="H40" s="55"/>
      <c r="I40" s="55"/>
      <c r="J40" s="56"/>
    </row>
    <row r="41" spans="5:10" s="23" customFormat="1" ht="12.75" customHeight="1">
      <c r="E41" s="44"/>
      <c r="F41" s="57"/>
      <c r="G41" s="55"/>
      <c r="H41" s="55"/>
      <c r="I41" s="55"/>
      <c r="J41" s="56"/>
    </row>
    <row r="42" spans="5:10" s="23" customFormat="1" ht="12.75" customHeight="1">
      <c r="E42" s="44"/>
      <c r="F42" s="57"/>
      <c r="G42" s="55"/>
      <c r="H42" s="55"/>
      <c r="I42" s="55"/>
      <c r="J42" s="56"/>
    </row>
    <row r="43" spans="5:10" s="23" customFormat="1" ht="12.75" customHeight="1">
      <c r="E43" s="44"/>
      <c r="F43" s="57"/>
      <c r="G43" s="55"/>
      <c r="H43" s="55"/>
      <c r="I43" s="55"/>
      <c r="J43" s="56"/>
    </row>
    <row r="44" spans="5:10" s="23" customFormat="1" ht="12.75" customHeight="1">
      <c r="E44" s="44"/>
      <c r="F44" s="57"/>
      <c r="G44" s="55"/>
      <c r="H44" s="55"/>
      <c r="I44" s="55"/>
      <c r="J44" s="56"/>
    </row>
    <row r="45" spans="5:10" s="23" customFormat="1" ht="12.75" customHeight="1">
      <c r="E45" s="58"/>
      <c r="F45" s="57"/>
      <c r="G45" s="55"/>
      <c r="H45" s="55"/>
      <c r="I45" s="55"/>
      <c r="J45" s="56"/>
    </row>
    <row r="46" spans="5:10" s="23" customFormat="1" ht="12.75" customHeight="1">
      <c r="E46" s="44"/>
      <c r="F46" s="57"/>
      <c r="G46" s="55"/>
      <c r="H46" s="55"/>
      <c r="I46" s="55"/>
      <c r="J46" s="56"/>
    </row>
    <row r="47" spans="5:10" s="23" customFormat="1" ht="12.75" customHeight="1">
      <c r="E47" s="44"/>
      <c r="F47" s="57"/>
      <c r="G47" s="55"/>
      <c r="H47" s="55"/>
      <c r="I47" s="55"/>
      <c r="J47" s="56"/>
    </row>
    <row r="48" spans="5:10" s="23" customFormat="1" ht="12.75" customHeight="1">
      <c r="E48" s="52"/>
      <c r="F48" s="57"/>
      <c r="G48" s="55"/>
      <c r="H48" s="55"/>
      <c r="I48" s="55"/>
      <c r="J48" s="56"/>
    </row>
    <row r="49" spans="5:10" s="23" customFormat="1" ht="12.75" customHeight="1">
      <c r="E49" s="44"/>
      <c r="F49" s="57"/>
      <c r="G49" s="55"/>
      <c r="H49" s="55"/>
      <c r="I49" s="55"/>
      <c r="J49" s="56"/>
    </row>
    <row r="50" spans="5:10" s="23" customFormat="1" ht="12.75" customHeight="1">
      <c r="E50" s="45"/>
      <c r="F50" s="57"/>
      <c r="G50" s="55"/>
      <c r="H50" s="55"/>
      <c r="I50" s="55"/>
      <c r="J50" s="56"/>
    </row>
    <row r="51" spans="5:10" s="23" customFormat="1" ht="12.75" customHeight="1">
      <c r="E51" s="44"/>
      <c r="F51" s="57"/>
      <c r="G51" s="55"/>
      <c r="H51" s="55"/>
      <c r="I51" s="55"/>
      <c r="J51" s="56"/>
    </row>
    <row r="52" spans="5:10" s="23" customFormat="1" ht="12.75" customHeight="1">
      <c r="E52" s="44"/>
      <c r="F52" s="57"/>
      <c r="G52" s="55"/>
      <c r="H52" s="55"/>
      <c r="I52" s="55"/>
      <c r="J52" s="56"/>
    </row>
    <row r="53" spans="5:10" s="23" customFormat="1" ht="12.75" customHeight="1">
      <c r="E53" s="44"/>
      <c r="F53" s="57"/>
      <c r="G53" s="55"/>
      <c r="H53" s="55"/>
      <c r="I53" s="55"/>
      <c r="J53" s="56"/>
    </row>
    <row r="54" spans="5:10" s="23" customFormat="1" ht="12.75" customHeight="1">
      <c r="E54" s="44"/>
      <c r="F54" s="57"/>
      <c r="G54" s="55"/>
      <c r="H54" s="55"/>
      <c r="I54" s="55"/>
      <c r="J54" s="56"/>
    </row>
    <row r="55" spans="5:10" s="23" customFormat="1" ht="12.75" customHeight="1">
      <c r="E55" s="44"/>
      <c r="F55" s="57"/>
      <c r="G55" s="55"/>
      <c r="H55" s="55"/>
      <c r="I55" s="55"/>
      <c r="J55" s="56"/>
    </row>
    <row r="56" spans="5:10" s="23" customFormat="1" ht="12.75" customHeight="1">
      <c r="E56" s="44"/>
      <c r="F56" s="57"/>
      <c r="G56" s="55"/>
      <c r="H56" s="55"/>
      <c r="I56" s="55"/>
      <c r="J56" s="56"/>
    </row>
    <row r="57" spans="5:10" s="23" customFormat="1" ht="12.75" customHeight="1">
      <c r="E57" s="44"/>
      <c r="F57" s="57"/>
      <c r="G57" s="55"/>
      <c r="H57" s="55"/>
      <c r="I57" s="55"/>
      <c r="J57" s="56"/>
    </row>
    <row r="58" spans="5:10" s="23" customFormat="1" ht="12.75" customHeight="1">
      <c r="E58" s="44"/>
      <c r="F58" s="57"/>
      <c r="G58" s="55"/>
      <c r="H58" s="55"/>
      <c r="I58" s="55"/>
      <c r="J58" s="56"/>
    </row>
    <row r="59" spans="5:10" s="23" customFormat="1" ht="12.75" customHeight="1">
      <c r="E59" s="44"/>
      <c r="F59" s="57"/>
      <c r="G59" s="55"/>
      <c r="H59" s="55"/>
      <c r="I59" s="55"/>
      <c r="J59" s="56"/>
    </row>
    <row r="60" spans="5:10" s="23" customFormat="1" ht="12.75" customHeight="1">
      <c r="E60" s="44"/>
      <c r="F60" s="57"/>
      <c r="G60" s="55"/>
      <c r="H60" s="55"/>
      <c r="I60" s="55"/>
      <c r="J60" s="56"/>
    </row>
    <row r="61" spans="5:10" s="23" customFormat="1" ht="12.75" customHeight="1">
      <c r="E61" s="44"/>
      <c r="F61" s="57"/>
      <c r="G61" s="55"/>
      <c r="H61" s="55"/>
      <c r="I61" s="55"/>
      <c r="J61" s="56"/>
    </row>
    <row r="62" spans="5:10" s="23" customFormat="1" ht="12.75" customHeight="1">
      <c r="E62" s="44"/>
      <c r="F62" s="57"/>
      <c r="G62" s="55"/>
      <c r="H62" s="55"/>
      <c r="I62" s="55"/>
      <c r="J62" s="56"/>
    </row>
    <row r="63" spans="5:10" s="23" customFormat="1" ht="12.75" customHeight="1">
      <c r="E63" s="44"/>
      <c r="F63" s="57"/>
      <c r="G63" s="55"/>
      <c r="H63" s="55"/>
      <c r="I63" s="55"/>
      <c r="J63" s="56"/>
    </row>
    <row r="64" spans="5:10" s="23" customFormat="1" ht="12.75" customHeight="1">
      <c r="E64" s="44"/>
      <c r="F64" s="57"/>
      <c r="G64" s="55"/>
      <c r="H64" s="55"/>
      <c r="I64" s="55"/>
      <c r="J64" s="56"/>
    </row>
    <row r="65" spans="5:10" s="23" customFormat="1" ht="12.75" customHeight="1">
      <c r="E65" s="43"/>
      <c r="F65" s="57"/>
      <c r="G65" s="55"/>
      <c r="H65" s="55"/>
      <c r="I65" s="55"/>
      <c r="J65" s="56"/>
    </row>
    <row r="66" spans="5:10" s="23" customFormat="1" ht="12.75" customHeight="1">
      <c r="E66" s="43"/>
      <c r="F66" s="57"/>
      <c r="G66" s="55"/>
      <c r="H66" s="55"/>
      <c r="I66" s="55"/>
      <c r="J66" s="56"/>
    </row>
    <row r="67" spans="5:10" s="23" customFormat="1" ht="12.75" customHeight="1">
      <c r="E67" s="44"/>
      <c r="F67" s="57"/>
      <c r="G67" s="55"/>
      <c r="H67" s="55"/>
      <c r="I67" s="55"/>
      <c r="J67" s="56"/>
    </row>
    <row r="68" spans="5:10" s="23" customFormat="1" ht="12.75" customHeight="1">
      <c r="E68" s="44"/>
      <c r="F68" s="57"/>
      <c r="G68" s="55"/>
      <c r="H68" s="55"/>
      <c r="I68" s="55"/>
      <c r="J68" s="56"/>
    </row>
    <row r="69" spans="5:10" s="23" customFormat="1" ht="12.75" customHeight="1">
      <c r="E69" s="44"/>
      <c r="F69" s="57"/>
      <c r="G69" s="55"/>
      <c r="H69" s="55"/>
      <c r="I69" s="55"/>
      <c r="J69" s="56"/>
    </row>
    <row r="70" spans="5:10" s="23" customFormat="1" ht="12.75" customHeight="1">
      <c r="E70" s="44"/>
      <c r="F70" s="57"/>
      <c r="G70" s="55"/>
      <c r="H70" s="55"/>
      <c r="I70" s="55"/>
      <c r="J70" s="56"/>
    </row>
    <row r="71" spans="5:10" s="23" customFormat="1" ht="12.75" customHeight="1">
      <c r="E71" s="44"/>
      <c r="F71" s="57"/>
      <c r="G71" s="55"/>
      <c r="H71" s="55"/>
      <c r="I71" s="55"/>
      <c r="J71" s="56"/>
    </row>
    <row r="72" spans="5:10" s="23" customFormat="1" ht="12.75" customHeight="1">
      <c r="E72" s="58"/>
      <c r="F72" s="57"/>
      <c r="G72" s="55"/>
      <c r="H72" s="55"/>
      <c r="I72" s="55"/>
      <c r="J72" s="56"/>
    </row>
    <row r="73" spans="5:10" s="23" customFormat="1" ht="12.75" customHeight="1">
      <c r="E73" s="45"/>
      <c r="F73" s="57"/>
      <c r="G73" s="55"/>
      <c r="H73" s="55"/>
      <c r="I73" s="55"/>
      <c r="J73" s="56"/>
    </row>
    <row r="74" spans="5:10" s="23" customFormat="1" ht="12.75" customHeight="1">
      <c r="E74" s="52"/>
      <c r="F74" s="57"/>
      <c r="G74" s="55"/>
      <c r="H74" s="55"/>
      <c r="I74" s="55"/>
      <c r="J74" s="56"/>
    </row>
    <row r="75" spans="5:10" s="23" customFormat="1" ht="12.75" customHeight="1">
      <c r="E75" s="52"/>
      <c r="F75" s="57"/>
      <c r="G75" s="55"/>
      <c r="H75" s="55"/>
      <c r="I75" s="55"/>
      <c r="J75" s="56"/>
    </row>
    <row r="76" spans="5:10" s="23" customFormat="1" ht="12.75" customHeight="1">
      <c r="E76" s="52"/>
      <c r="F76" s="57"/>
      <c r="G76" s="55"/>
      <c r="H76" s="55"/>
      <c r="I76" s="55"/>
      <c r="J76" s="56"/>
    </row>
    <row r="77" spans="5:10" s="23" customFormat="1" ht="12.75" customHeight="1">
      <c r="E77" s="45"/>
      <c r="F77" s="57"/>
      <c r="G77" s="55"/>
      <c r="H77" s="55"/>
      <c r="I77" s="55"/>
      <c r="J77" s="56"/>
    </row>
    <row r="78" spans="5:10" s="23" customFormat="1" ht="12.75" customHeight="1">
      <c r="E78" s="52"/>
      <c r="F78" s="57"/>
      <c r="G78" s="55"/>
      <c r="H78" s="55"/>
      <c r="I78" s="55"/>
      <c r="J78" s="56"/>
    </row>
    <row r="79" spans="5:10" s="23" customFormat="1" ht="12.75" customHeight="1">
      <c r="E79" s="52"/>
      <c r="F79" s="57"/>
      <c r="G79" s="55"/>
      <c r="H79" s="55"/>
      <c r="I79" s="55"/>
      <c r="J79" s="56"/>
    </row>
    <row r="80" spans="5:10" s="23" customFormat="1" ht="12.75" customHeight="1">
      <c r="E80" s="45"/>
      <c r="F80" s="57"/>
      <c r="G80" s="55"/>
      <c r="H80" s="55"/>
      <c r="I80" s="55"/>
      <c r="J80" s="56"/>
    </row>
    <row r="81" spans="5:10" s="23" customFormat="1" ht="12.75" customHeight="1">
      <c r="E81" s="45"/>
      <c r="F81" s="57"/>
      <c r="G81" s="55"/>
      <c r="H81" s="55"/>
      <c r="I81" s="55"/>
      <c r="J81" s="56"/>
    </row>
    <row r="82" spans="5:10" s="23" customFormat="1" ht="12.75" customHeight="1">
      <c r="E82" s="44"/>
      <c r="F82" s="57"/>
      <c r="G82" s="55"/>
      <c r="H82" s="55"/>
      <c r="I82" s="55"/>
      <c r="J82" s="56"/>
    </row>
    <row r="83" spans="5:10" s="23" customFormat="1" ht="12.75" customHeight="1">
      <c r="E83" s="48"/>
      <c r="F83" s="57"/>
      <c r="G83" s="55"/>
      <c r="H83" s="55"/>
      <c r="I83" s="55"/>
      <c r="J83" s="56"/>
    </row>
    <row r="84" spans="5:10" s="23" customFormat="1" ht="12.75" customHeight="1">
      <c r="E84" s="43"/>
      <c r="F84" s="57"/>
      <c r="G84" s="55"/>
      <c r="H84" s="55"/>
      <c r="I84" s="55"/>
      <c r="J84" s="56"/>
    </row>
    <row r="85" spans="5:10" s="23" customFormat="1" ht="12.75" customHeight="1">
      <c r="E85" s="43"/>
      <c r="F85" s="57"/>
      <c r="G85" s="55"/>
      <c r="H85" s="55"/>
      <c r="I85" s="55"/>
      <c r="J85" s="56"/>
    </row>
    <row r="86" spans="5:10" s="23" customFormat="1" ht="12.75" customHeight="1">
      <c r="E86" s="43"/>
      <c r="F86" s="57"/>
      <c r="G86" s="55"/>
      <c r="H86" s="55"/>
      <c r="I86" s="55"/>
      <c r="J86" s="56"/>
    </row>
    <row r="87" spans="5:10" s="23" customFormat="1" ht="12.75" customHeight="1">
      <c r="E87" s="59"/>
      <c r="F87" s="57"/>
      <c r="G87" s="55"/>
      <c r="H87" s="55"/>
      <c r="I87" s="55"/>
      <c r="J87" s="56"/>
    </row>
    <row r="88" spans="5:10" s="23" customFormat="1" ht="12.75" customHeight="1">
      <c r="E88" s="43"/>
      <c r="F88" s="57"/>
      <c r="G88" s="55"/>
      <c r="H88" s="55"/>
      <c r="I88" s="55"/>
      <c r="J88" s="56"/>
    </row>
    <row r="89" spans="5:10" s="23" customFormat="1" ht="12.75" customHeight="1">
      <c r="E89" s="43"/>
      <c r="F89" s="57"/>
      <c r="G89" s="55"/>
      <c r="H89" s="55"/>
      <c r="I89" s="55"/>
      <c r="J89" s="56"/>
    </row>
    <row r="90" spans="5:10" s="23" customFormat="1" ht="12.75" customHeight="1">
      <c r="E90" s="43"/>
      <c r="F90" s="57"/>
      <c r="G90" s="55"/>
      <c r="H90" s="55"/>
      <c r="I90" s="55"/>
      <c r="J90" s="56"/>
    </row>
    <row r="91" spans="5:10" s="23" customFormat="1" ht="12.75" customHeight="1">
      <c r="E91" s="43"/>
      <c r="F91" s="57"/>
      <c r="G91" s="55"/>
      <c r="H91" s="55"/>
      <c r="I91" s="55"/>
      <c r="J91" s="56"/>
    </row>
    <row r="92" spans="5:10" s="23" customFormat="1" ht="12.75" customHeight="1">
      <c r="E92" s="43"/>
      <c r="F92" s="57"/>
      <c r="G92" s="55"/>
      <c r="H92" s="55"/>
      <c r="I92" s="55"/>
      <c r="J92" s="56"/>
    </row>
    <row r="93" spans="5:10" s="23" customFormat="1" ht="12.75" customHeight="1">
      <c r="E93" s="43"/>
      <c r="F93" s="57"/>
      <c r="G93" s="55"/>
      <c r="H93" s="55"/>
      <c r="I93" s="55"/>
      <c r="J93" s="56"/>
    </row>
    <row r="94" spans="5:10" s="23" customFormat="1" ht="12.75" customHeight="1">
      <c r="E94" s="43"/>
      <c r="F94" s="57"/>
      <c r="G94" s="55"/>
      <c r="H94" s="55"/>
      <c r="I94" s="55"/>
      <c r="J94" s="56"/>
    </row>
    <row r="95" spans="5:10" s="23" customFormat="1" ht="12.75" customHeight="1">
      <c r="E95" s="43"/>
      <c r="F95" s="57"/>
      <c r="G95" s="55"/>
      <c r="H95" s="55"/>
      <c r="I95" s="55"/>
      <c r="J95" s="56"/>
    </row>
    <row r="96" spans="5:10" s="23" customFormat="1" ht="12.75" customHeight="1">
      <c r="E96" s="43"/>
      <c r="F96" s="57"/>
      <c r="G96" s="55"/>
      <c r="H96" s="55"/>
      <c r="I96" s="55"/>
      <c r="J96" s="56"/>
    </row>
    <row r="97" spans="5:10" s="23" customFormat="1" ht="12.75" customHeight="1">
      <c r="E97" s="43"/>
      <c r="F97" s="57"/>
      <c r="G97" s="55"/>
      <c r="H97" s="55"/>
      <c r="I97" s="55"/>
      <c r="J97" s="56"/>
    </row>
    <row r="98" spans="5:10" s="23" customFormat="1" ht="12.75" customHeight="1">
      <c r="E98" s="43"/>
      <c r="F98" s="57"/>
      <c r="G98" s="55"/>
      <c r="H98" s="55"/>
      <c r="I98" s="55"/>
      <c r="J98" s="56"/>
    </row>
    <row r="99" spans="5:10" s="23" customFormat="1" ht="12.75" customHeight="1">
      <c r="E99" s="43"/>
      <c r="F99" s="57"/>
      <c r="G99" s="55"/>
      <c r="H99" s="55"/>
      <c r="I99" s="55"/>
      <c r="J99" s="56"/>
    </row>
    <row r="100" spans="5:10" s="23" customFormat="1" ht="12.75" customHeight="1">
      <c r="E100" s="43"/>
      <c r="F100" s="57"/>
      <c r="G100" s="55"/>
      <c r="H100" s="55"/>
      <c r="I100" s="55"/>
      <c r="J100" s="56"/>
    </row>
    <row r="101" spans="5:10" s="23" customFormat="1" ht="12.75" customHeight="1">
      <c r="E101" s="43"/>
      <c r="F101" s="57"/>
      <c r="G101" s="55"/>
      <c r="H101" s="55"/>
      <c r="I101" s="55"/>
      <c r="J101" s="56"/>
    </row>
    <row r="102" spans="5:10" s="23" customFormat="1" ht="12.75" customHeight="1">
      <c r="E102" s="43"/>
      <c r="F102" s="57"/>
      <c r="G102" s="55"/>
      <c r="H102" s="55"/>
      <c r="I102" s="55"/>
      <c r="J102" s="56"/>
    </row>
    <row r="103" spans="5:10" s="23" customFormat="1" ht="12.75" customHeight="1">
      <c r="E103" s="43"/>
      <c r="F103" s="57"/>
      <c r="G103" s="55"/>
      <c r="H103" s="55"/>
      <c r="I103" s="55"/>
      <c r="J103" s="56"/>
    </row>
    <row r="104" spans="5:10" s="23" customFormat="1" ht="12.75" customHeight="1">
      <c r="E104" s="43"/>
      <c r="F104" s="57"/>
      <c r="G104" s="55"/>
      <c r="H104" s="55"/>
      <c r="I104" s="55"/>
      <c r="J104" s="56"/>
    </row>
    <row r="105" spans="5:10" s="23" customFormat="1" ht="12.75" customHeight="1">
      <c r="E105" s="43"/>
      <c r="F105" s="57"/>
      <c r="G105" s="55"/>
      <c r="H105" s="55"/>
      <c r="I105" s="55"/>
      <c r="J105" s="56"/>
    </row>
    <row r="106" spans="5:10" s="23" customFormat="1" ht="12.75" customHeight="1">
      <c r="E106" s="43"/>
      <c r="F106" s="57"/>
      <c r="G106" s="55"/>
      <c r="H106" s="55"/>
      <c r="I106" s="55"/>
      <c r="J106" s="56"/>
    </row>
    <row r="107" spans="5:10" s="23" customFormat="1" ht="12.75" customHeight="1">
      <c r="E107" s="43"/>
      <c r="F107" s="57"/>
      <c r="G107" s="55"/>
      <c r="H107" s="55"/>
      <c r="I107" s="55"/>
      <c r="J107" s="56"/>
    </row>
    <row r="108" spans="5:10" s="23" customFormat="1" ht="12.75" customHeight="1">
      <c r="E108" s="43"/>
      <c r="F108" s="57"/>
      <c r="G108" s="55"/>
      <c r="H108" s="55"/>
      <c r="I108" s="55"/>
      <c r="J108" s="56"/>
    </row>
    <row r="109" spans="5:10" s="23" customFormat="1" ht="12.75" customHeight="1">
      <c r="E109" s="52"/>
      <c r="F109" s="57"/>
      <c r="G109" s="55"/>
      <c r="H109" s="55"/>
      <c r="I109" s="55"/>
      <c r="J109" s="56"/>
    </row>
    <row r="110" spans="5:10" s="23" customFormat="1" ht="12.75" customHeight="1">
      <c r="E110" s="43"/>
      <c r="F110" s="57"/>
      <c r="G110" s="55"/>
      <c r="H110" s="55"/>
      <c r="I110" s="55"/>
      <c r="J110" s="56"/>
    </row>
    <row r="111" spans="5:10" s="23" customFormat="1" ht="12.75" customHeight="1">
      <c r="E111" s="43"/>
      <c r="F111" s="57"/>
      <c r="G111" s="55"/>
      <c r="H111" s="55"/>
      <c r="I111" s="55"/>
      <c r="J111" s="56"/>
    </row>
    <row r="112" spans="5:10" s="23" customFormat="1" ht="12.75" customHeight="1">
      <c r="E112" s="43"/>
      <c r="F112" s="57"/>
      <c r="G112" s="55"/>
      <c r="H112" s="55"/>
      <c r="I112" s="55"/>
      <c r="J112" s="56"/>
    </row>
    <row r="113" spans="5:10" s="23" customFormat="1" ht="12.75" customHeight="1">
      <c r="E113" s="43"/>
      <c r="F113" s="57"/>
      <c r="G113" s="55"/>
      <c r="H113" s="55"/>
      <c r="I113" s="55"/>
      <c r="J113" s="56"/>
    </row>
    <row r="114" spans="5:10" s="23" customFormat="1" ht="12.75" customHeight="1">
      <c r="E114" s="43"/>
      <c r="F114" s="57"/>
      <c r="G114" s="55"/>
      <c r="H114" s="55"/>
      <c r="I114" s="55"/>
      <c r="J114" s="56"/>
    </row>
    <row r="115" spans="5:10" s="23" customFormat="1" ht="12.75" customHeight="1">
      <c r="E115" s="43"/>
      <c r="F115" s="57"/>
      <c r="G115" s="55"/>
      <c r="H115" s="55"/>
      <c r="I115" s="55"/>
      <c r="J115" s="56"/>
    </row>
    <row r="116" spans="5:10" s="23" customFormat="1" ht="12.75" customHeight="1">
      <c r="E116" s="43"/>
      <c r="F116" s="57"/>
      <c r="G116" s="55"/>
      <c r="H116" s="55"/>
      <c r="I116" s="55"/>
      <c r="J116" s="56"/>
    </row>
    <row r="117" spans="5:10" s="23" customFormat="1" ht="12.75" customHeight="1">
      <c r="E117" s="43"/>
      <c r="F117" s="57"/>
      <c r="G117" s="55"/>
      <c r="H117" s="55"/>
      <c r="I117" s="55"/>
      <c r="J117" s="56"/>
    </row>
    <row r="118" spans="5:10" s="23" customFormat="1" ht="12.75" customHeight="1">
      <c r="E118" s="43"/>
      <c r="F118" s="57"/>
      <c r="G118" s="55"/>
      <c r="H118" s="55"/>
      <c r="I118" s="55"/>
      <c r="J118" s="56"/>
    </row>
    <row r="119" spans="5:10" s="23" customFormat="1" ht="12.75" customHeight="1">
      <c r="E119" s="43"/>
      <c r="F119" s="57"/>
      <c r="G119" s="55"/>
      <c r="H119" s="55"/>
      <c r="I119" s="55"/>
      <c r="J119" s="56"/>
    </row>
    <row r="120" spans="5:10" s="23" customFormat="1" ht="12.75" customHeight="1">
      <c r="E120" s="43"/>
      <c r="F120" s="57"/>
      <c r="G120" s="55"/>
      <c r="H120" s="55"/>
      <c r="I120" s="55"/>
      <c r="J120" s="56"/>
    </row>
    <row r="121" spans="5:10" s="23" customFormat="1" ht="12.75" customHeight="1">
      <c r="E121" s="43"/>
      <c r="F121" s="57"/>
      <c r="G121" s="55"/>
      <c r="H121" s="55"/>
      <c r="I121" s="55"/>
      <c r="J121" s="56"/>
    </row>
    <row r="122" spans="5:10" s="23" customFormat="1" ht="12.75" customHeight="1">
      <c r="E122" s="59"/>
      <c r="F122" s="57"/>
      <c r="G122" s="55"/>
      <c r="H122" s="55"/>
      <c r="I122" s="55"/>
      <c r="J122" s="56"/>
    </row>
    <row r="123" spans="5:10" s="23" customFormat="1" ht="12.75" customHeight="1">
      <c r="E123" s="59"/>
      <c r="F123" s="57"/>
      <c r="G123" s="55"/>
      <c r="H123" s="55"/>
      <c r="I123" s="55"/>
      <c r="J123" s="56"/>
    </row>
    <row r="124" spans="5:10" s="23" customFormat="1" ht="12.75" customHeight="1">
      <c r="E124" s="59"/>
      <c r="F124" s="57"/>
      <c r="G124" s="55"/>
      <c r="H124" s="55"/>
      <c r="I124" s="55"/>
      <c r="J124" s="56"/>
    </row>
    <row r="125" spans="5:10" s="23" customFormat="1" ht="12.75" customHeight="1">
      <c r="E125" s="59"/>
      <c r="F125" s="57"/>
      <c r="G125" s="55"/>
      <c r="H125" s="55"/>
      <c r="I125" s="55"/>
      <c r="J125" s="56"/>
    </row>
    <row r="126" spans="5:10" s="23" customFormat="1" ht="12.75" customHeight="1">
      <c r="E126" s="59"/>
      <c r="F126" s="57"/>
      <c r="G126" s="55"/>
      <c r="H126" s="55"/>
      <c r="I126" s="55"/>
      <c r="J126" s="56"/>
    </row>
    <row r="127" spans="5:10" s="23" customFormat="1" ht="12.75" customHeight="1">
      <c r="E127" s="52"/>
      <c r="F127" s="57"/>
      <c r="G127" s="55"/>
      <c r="H127" s="55"/>
      <c r="I127" s="55"/>
      <c r="J127" s="56"/>
    </row>
    <row r="128" spans="5:10" s="23" customFormat="1" ht="12.75" customHeight="1">
      <c r="E128" s="60"/>
      <c r="F128" s="57"/>
      <c r="G128" s="55"/>
      <c r="H128" s="55"/>
      <c r="I128" s="55"/>
      <c r="J128" s="56"/>
    </row>
    <row r="129" spans="5:10" s="23" customFormat="1" ht="12.75" customHeight="1">
      <c r="E129" s="59"/>
      <c r="F129" s="57"/>
      <c r="G129" s="55"/>
      <c r="H129" s="55"/>
      <c r="I129" s="55"/>
      <c r="J129" s="56"/>
    </row>
    <row r="130" spans="5:10" s="23" customFormat="1" ht="12.75" customHeight="1">
      <c r="E130" s="43"/>
      <c r="F130" s="57"/>
      <c r="G130" s="55"/>
      <c r="H130" s="55"/>
      <c r="I130" s="55"/>
      <c r="J130" s="56"/>
    </row>
    <row r="131" spans="5:10" s="23" customFormat="1" ht="12.75" customHeight="1">
      <c r="E131" s="39"/>
      <c r="F131" s="57"/>
      <c r="G131" s="55"/>
      <c r="H131" s="55"/>
      <c r="I131" s="55"/>
      <c r="J131" s="56"/>
    </row>
    <row r="132" spans="5:10" s="23" customFormat="1" ht="12.75" customHeight="1">
      <c r="E132" s="43"/>
      <c r="F132" s="57"/>
      <c r="G132" s="55"/>
      <c r="H132" s="55"/>
      <c r="I132" s="55"/>
      <c r="J132" s="56"/>
    </row>
    <row r="133" spans="5:10" s="23" customFormat="1" ht="12.75" customHeight="1">
      <c r="E133" s="46"/>
      <c r="F133" s="57"/>
      <c r="G133" s="55"/>
      <c r="H133" s="55"/>
      <c r="I133" s="55"/>
      <c r="J133" s="56"/>
    </row>
    <row r="134" spans="5:10" s="23" customFormat="1" ht="12.75" customHeight="1">
      <c r="E134" s="43"/>
      <c r="F134" s="57"/>
      <c r="G134" s="55"/>
      <c r="H134" s="55"/>
      <c r="I134" s="55"/>
      <c r="J134" s="56"/>
    </row>
    <row r="135" spans="5:10" s="23" customFormat="1" ht="12.75" customHeight="1">
      <c r="E135" s="43"/>
      <c r="F135" s="57"/>
      <c r="G135" s="55"/>
      <c r="H135" s="55"/>
      <c r="I135" s="55"/>
      <c r="J135" s="56"/>
    </row>
    <row r="136" spans="5:10" s="23" customFormat="1" ht="12.75" customHeight="1">
      <c r="E136" s="43"/>
      <c r="F136" s="57"/>
      <c r="G136" s="55"/>
      <c r="H136" s="55"/>
      <c r="I136" s="55"/>
      <c r="J136" s="56"/>
    </row>
    <row r="137" spans="5:10" s="23" customFormat="1" ht="12.75" customHeight="1">
      <c r="E137" s="43"/>
      <c r="F137" s="57"/>
      <c r="G137" s="55"/>
      <c r="H137" s="55"/>
      <c r="I137" s="55"/>
      <c r="J137" s="56"/>
    </row>
    <row r="138" spans="5:10" s="23" customFormat="1" ht="12.75" customHeight="1">
      <c r="E138" s="43"/>
      <c r="F138" s="57"/>
      <c r="G138" s="55"/>
      <c r="H138" s="55"/>
      <c r="I138" s="55"/>
      <c r="J138" s="56"/>
    </row>
    <row r="139" spans="5:10" s="23" customFormat="1" ht="12.75" customHeight="1">
      <c r="E139" s="43"/>
      <c r="F139" s="57"/>
      <c r="G139" s="55"/>
      <c r="H139" s="55"/>
      <c r="I139" s="55"/>
      <c r="J139" s="56"/>
    </row>
    <row r="140" spans="5:10" s="23" customFormat="1" ht="12.75" customHeight="1">
      <c r="E140" s="43"/>
      <c r="F140" s="57"/>
      <c r="G140" s="55"/>
      <c r="H140" s="55"/>
      <c r="I140" s="55"/>
      <c r="J140" s="56"/>
    </row>
    <row r="141" spans="5:10" s="23" customFormat="1" ht="12.75">
      <c r="E141" s="43"/>
      <c r="F141" s="57"/>
      <c r="G141" s="55"/>
      <c r="H141" s="55"/>
      <c r="I141" s="55"/>
      <c r="J141" s="56"/>
    </row>
    <row r="142" spans="5:10" s="23" customFormat="1" ht="12.75">
      <c r="E142" s="43"/>
      <c r="F142" s="57"/>
      <c r="G142" s="55"/>
      <c r="H142" s="55"/>
      <c r="I142" s="55"/>
      <c r="J142" s="56"/>
    </row>
  </sheetData>
  <mergeCells count="8">
    <mergeCell ref="C3:D3"/>
    <mergeCell ref="C31:D31"/>
    <mergeCell ref="C32:D32"/>
    <mergeCell ref="C33:D33"/>
    <mergeCell ref="C4:D4"/>
    <mergeCell ref="C14:D14"/>
    <mergeCell ref="C24:D24"/>
    <mergeCell ref="C26:D26"/>
  </mergeCells>
  <printOptions/>
  <pageMargins left="0.8661417322834646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8"/>
  <sheetViews>
    <sheetView showGridLines="0" view="pageBreakPreview" zoomScale="80" zoomScaleSheetLayoutView="8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3" customWidth="1"/>
    <col min="6" max="6" width="11.28125" style="43" customWidth="1"/>
    <col min="7" max="7" width="9.28125" style="40" customWidth="1"/>
    <col min="8" max="8" width="36.8515625" style="40" customWidth="1"/>
    <col min="9" max="16384" width="9.140625" style="1" customWidth="1"/>
  </cols>
  <sheetData>
    <row r="1" spans="2:8" s="31" customFormat="1" ht="15">
      <c r="B1" s="289"/>
      <c r="C1" s="290" t="s">
        <v>53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10" ht="39" thickTop="1">
      <c r="B3" s="309"/>
      <c r="C3" s="437" t="s">
        <v>136</v>
      </c>
      <c r="D3" s="437"/>
      <c r="E3" s="313" t="s">
        <v>204</v>
      </c>
      <c r="F3" s="313" t="s">
        <v>205</v>
      </c>
      <c r="G3" s="232" t="s">
        <v>206</v>
      </c>
      <c r="H3" s="107"/>
      <c r="I3" s="13"/>
      <c r="J3" s="13"/>
    </row>
    <row r="4" spans="2:8" ht="12.75" customHeight="1">
      <c r="B4" s="233">
        <v>1</v>
      </c>
      <c r="C4" s="429" t="s">
        <v>119</v>
      </c>
      <c r="D4" s="429"/>
      <c r="E4" s="243">
        <f>E5+E6+E12</f>
        <v>0</v>
      </c>
      <c r="F4" s="243">
        <f>F5+F6+F12</f>
        <v>842918</v>
      </c>
      <c r="G4" s="239">
        <f>F4-E4</f>
        <v>842918</v>
      </c>
      <c r="H4" s="47"/>
    </row>
    <row r="5" spans="2:16" ht="12.75" customHeight="1">
      <c r="B5" s="236"/>
      <c r="C5" s="406" t="s">
        <v>0</v>
      </c>
      <c r="D5" s="406" t="s">
        <v>29</v>
      </c>
      <c r="E5" s="238">
        <v>0</v>
      </c>
      <c r="F5" s="238">
        <f>884+12943+110893+3704+943+27730</f>
        <v>157097</v>
      </c>
      <c r="G5" s="239">
        <f aca="true" t="shared" si="0" ref="G5:G35">F5-E5</f>
        <v>157097</v>
      </c>
      <c r="H5" s="47"/>
      <c r="I5" s="13"/>
      <c r="J5" s="13"/>
      <c r="K5" s="13"/>
      <c r="L5" s="13"/>
      <c r="M5" s="13"/>
      <c r="N5" s="13"/>
      <c r="O5" s="13"/>
      <c r="P5" s="13"/>
    </row>
    <row r="6" spans="2:8" ht="12.75" customHeight="1">
      <c r="B6" s="236"/>
      <c r="C6" s="406"/>
      <c r="D6" s="406" t="s">
        <v>30</v>
      </c>
      <c r="E6" s="238">
        <f>SUM(E7:E11)</f>
        <v>0</v>
      </c>
      <c r="F6" s="238">
        <f>SUM(F7:F11)</f>
        <v>422078</v>
      </c>
      <c r="G6" s="239">
        <f t="shared" si="0"/>
        <v>422078</v>
      </c>
      <c r="H6" s="47"/>
    </row>
    <row r="7" spans="2:8" ht="12.75" customHeight="1">
      <c r="B7" s="236"/>
      <c r="C7" s="406"/>
      <c r="D7" s="405" t="s">
        <v>44</v>
      </c>
      <c r="E7" s="238">
        <v>0</v>
      </c>
      <c r="F7" s="238">
        <f>1+3171</f>
        <v>3172</v>
      </c>
      <c r="G7" s="239">
        <f t="shared" si="0"/>
        <v>3172</v>
      </c>
      <c r="H7" s="47"/>
    </row>
    <row r="8" spans="2:8" ht="12.75" customHeight="1">
      <c r="B8" s="236"/>
      <c r="C8" s="406"/>
      <c r="D8" s="405" t="s">
        <v>40</v>
      </c>
      <c r="E8" s="238">
        <v>0</v>
      </c>
      <c r="F8" s="238">
        <f>15461+59+16612</f>
        <v>32132</v>
      </c>
      <c r="G8" s="239">
        <f t="shared" si="0"/>
        <v>32132</v>
      </c>
      <c r="H8" s="47"/>
    </row>
    <row r="9" spans="2:8" ht="12.75" customHeight="1">
      <c r="B9" s="236"/>
      <c r="C9" s="406"/>
      <c r="D9" s="405" t="s">
        <v>41</v>
      </c>
      <c r="E9" s="238">
        <v>0</v>
      </c>
      <c r="F9" s="238">
        <f>680+41375</f>
        <v>42055</v>
      </c>
      <c r="G9" s="239">
        <f t="shared" si="0"/>
        <v>42055</v>
      </c>
      <c r="H9" s="47"/>
    </row>
    <row r="10" spans="2:8" ht="12.75" customHeight="1">
      <c r="B10" s="236"/>
      <c r="C10" s="406"/>
      <c r="D10" s="405" t="s">
        <v>42</v>
      </c>
      <c r="E10" s="238">
        <v>0</v>
      </c>
      <c r="F10" s="238">
        <f>138</f>
        <v>138</v>
      </c>
      <c r="G10" s="239">
        <f t="shared" si="0"/>
        <v>138</v>
      </c>
      <c r="H10" s="47"/>
    </row>
    <row r="11" spans="2:8" ht="12.75" customHeight="1">
      <c r="B11" s="236"/>
      <c r="C11" s="406"/>
      <c r="D11" s="405" t="s">
        <v>43</v>
      </c>
      <c r="E11" s="238">
        <v>0</v>
      </c>
      <c r="F11" s="238">
        <f>949+448852-107089+1869</f>
        <v>344581</v>
      </c>
      <c r="G11" s="239">
        <f t="shared" si="0"/>
        <v>344581</v>
      </c>
      <c r="H11" s="47"/>
    </row>
    <row r="12" spans="2:8" ht="12.75" customHeight="1">
      <c r="B12" s="236"/>
      <c r="C12" s="406"/>
      <c r="D12" s="406" t="s">
        <v>31</v>
      </c>
      <c r="E12" s="238">
        <v>0</v>
      </c>
      <c r="F12" s="238">
        <f>1134+260938+94+799+615+163</f>
        <v>263743</v>
      </c>
      <c r="G12" s="239">
        <f t="shared" si="0"/>
        <v>263743</v>
      </c>
      <c r="H12" s="47"/>
    </row>
    <row r="13" spans="2:8" ht="12.75" customHeight="1">
      <c r="B13" s="233"/>
      <c r="C13" s="406"/>
      <c r="D13" s="406"/>
      <c r="E13" s="238"/>
      <c r="F13" s="238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0</v>
      </c>
      <c r="F14" s="243">
        <f>F15+F20</f>
        <v>840275</v>
      </c>
      <c r="G14" s="239">
        <f t="shared" si="0"/>
        <v>840275</v>
      </c>
      <c r="H14" s="47"/>
    </row>
    <row r="15" spans="2:8" ht="12.75" customHeight="1">
      <c r="B15" s="236"/>
      <c r="C15" s="406" t="s">
        <v>0</v>
      </c>
      <c r="D15" s="406" t="s">
        <v>32</v>
      </c>
      <c r="E15" s="238">
        <f>SUM(E16:E19)</f>
        <v>0</v>
      </c>
      <c r="F15" s="238">
        <f>SUM(F16:F19)</f>
        <v>784495</v>
      </c>
      <c r="G15" s="239">
        <f t="shared" si="0"/>
        <v>784495</v>
      </c>
      <c r="H15" s="47"/>
    </row>
    <row r="16" spans="2:9" ht="12.75" customHeight="1">
      <c r="B16" s="236"/>
      <c r="C16" s="406"/>
      <c r="D16" s="405" t="s">
        <v>34</v>
      </c>
      <c r="E16" s="238">
        <v>0</v>
      </c>
      <c r="F16" s="238">
        <f>86549+20047+811+16358+4578+394+3176+6444+1733+13928+1037+13044+24</f>
        <v>168123</v>
      </c>
      <c r="G16" s="239">
        <f t="shared" si="0"/>
        <v>168123</v>
      </c>
      <c r="H16" s="47"/>
      <c r="I16" s="13"/>
    </row>
    <row r="17" spans="2:13" ht="12.75" customHeight="1">
      <c r="B17" s="236"/>
      <c r="C17" s="406"/>
      <c r="D17" s="405" t="s">
        <v>35</v>
      </c>
      <c r="E17" s="238">
        <v>0</v>
      </c>
      <c r="F17" s="238">
        <f>1138+45+6603+234+47+507+151837+107089-1869-107089+1869</f>
        <v>160411</v>
      </c>
      <c r="G17" s="239">
        <f t="shared" si="0"/>
        <v>160411</v>
      </c>
      <c r="H17" s="47"/>
      <c r="I17" s="13"/>
      <c r="M17" s="2"/>
    </row>
    <row r="18" spans="2:13" ht="12.75" customHeight="1">
      <c r="B18" s="236"/>
      <c r="C18" s="406"/>
      <c r="D18" s="405" t="s">
        <v>36</v>
      </c>
      <c r="E18" s="238">
        <v>0</v>
      </c>
      <c r="F18" s="238">
        <f>996+454932+33</f>
        <v>455961</v>
      </c>
      <c r="G18" s="239">
        <f t="shared" si="0"/>
        <v>455961</v>
      </c>
      <c r="H18" s="47"/>
      <c r="M18" s="2"/>
    </row>
    <row r="19" spans="2:13" ht="12.75" customHeight="1">
      <c r="B19" s="236"/>
      <c r="C19" s="406"/>
      <c r="D19" s="405" t="s">
        <v>37</v>
      </c>
      <c r="E19" s="238">
        <v>0</v>
      </c>
      <c r="F19" s="238">
        <v>0</v>
      </c>
      <c r="G19" s="239">
        <f t="shared" si="0"/>
        <v>0</v>
      </c>
      <c r="H19" s="47"/>
      <c r="M19" s="2"/>
    </row>
    <row r="20" spans="2:8" ht="12.75" customHeight="1">
      <c r="B20" s="236"/>
      <c r="C20" s="406"/>
      <c r="D20" s="406" t="s">
        <v>33</v>
      </c>
      <c r="E20" s="238">
        <f>SUM(E21:E22)</f>
        <v>0</v>
      </c>
      <c r="F20" s="238">
        <f>SUM(F21:F22)</f>
        <v>55780</v>
      </c>
      <c r="G20" s="239">
        <f t="shared" si="0"/>
        <v>55780</v>
      </c>
      <c r="H20" s="47"/>
    </row>
    <row r="21" spans="2:8" ht="12.75" customHeight="1">
      <c r="B21" s="236"/>
      <c r="C21" s="406"/>
      <c r="D21" s="405" t="s">
        <v>38</v>
      </c>
      <c r="E21" s="238">
        <v>0</v>
      </c>
      <c r="F21" s="238">
        <f>293+56+9227+36914+810</f>
        <v>47300</v>
      </c>
      <c r="G21" s="239">
        <f t="shared" si="0"/>
        <v>47300</v>
      </c>
      <c r="H21" s="47"/>
    </row>
    <row r="22" spans="2:8" ht="12.75" customHeight="1">
      <c r="B22" s="233"/>
      <c r="C22" s="406"/>
      <c r="D22" s="405" t="s">
        <v>39</v>
      </c>
      <c r="E22" s="238">
        <v>0</v>
      </c>
      <c r="F22" s="238">
        <f>7027+1453</f>
        <v>8480</v>
      </c>
      <c r="G22" s="239">
        <f t="shared" si="0"/>
        <v>8480</v>
      </c>
      <c r="H22" s="47"/>
    </row>
    <row r="23" spans="2:8" ht="12.75" customHeight="1">
      <c r="B23" s="236"/>
      <c r="C23" s="407"/>
      <c r="D23" s="407"/>
      <c r="E23" s="261"/>
      <c r="F23" s="261"/>
      <c r="G23" s="315"/>
      <c r="H23" s="47"/>
    </row>
    <row r="24" spans="2:8" ht="12.75" customHeight="1">
      <c r="B24" s="244">
        <v>3</v>
      </c>
      <c r="C24" s="434" t="s">
        <v>121</v>
      </c>
      <c r="D24" s="434"/>
      <c r="E24" s="279">
        <f>E4-E14</f>
        <v>0</v>
      </c>
      <c r="F24" s="279">
        <f>F4-F14</f>
        <v>2643</v>
      </c>
      <c r="G24" s="337">
        <f t="shared" si="0"/>
        <v>2643</v>
      </c>
      <c r="H24" s="47"/>
    </row>
    <row r="25" spans="2:8" ht="12.75" customHeight="1">
      <c r="B25" s="236"/>
      <c r="C25" s="407"/>
      <c r="D25" s="407"/>
      <c r="E25" s="261"/>
      <c r="F25" s="261"/>
      <c r="G25" s="242"/>
      <c r="H25" s="47"/>
    </row>
    <row r="26" spans="2:8" ht="12.75" customHeight="1">
      <c r="B26" s="257">
        <v>4</v>
      </c>
      <c r="C26" s="430" t="s">
        <v>122</v>
      </c>
      <c r="D26" s="430"/>
      <c r="E26" s="261">
        <v>0</v>
      </c>
      <c r="F26" s="261">
        <f>F27+F28</f>
        <v>0</v>
      </c>
      <c r="G26" s="239">
        <f t="shared" si="0"/>
        <v>0</v>
      </c>
      <c r="H26" s="47"/>
    </row>
    <row r="27" spans="2:8" ht="12.75" customHeight="1">
      <c r="B27" s="257"/>
      <c r="C27" s="407"/>
      <c r="D27" s="406" t="s">
        <v>14</v>
      </c>
      <c r="E27" s="261">
        <v>0</v>
      </c>
      <c r="F27" s="261">
        <v>0</v>
      </c>
      <c r="G27" s="239">
        <f t="shared" si="0"/>
        <v>0</v>
      </c>
      <c r="H27" s="47"/>
    </row>
    <row r="28" spans="2:8" ht="12.75" customHeight="1">
      <c r="B28" s="257"/>
      <c r="C28" s="407"/>
      <c r="D28" s="406" t="s">
        <v>4</v>
      </c>
      <c r="E28" s="261">
        <v>0</v>
      </c>
      <c r="F28" s="258">
        <v>0</v>
      </c>
      <c r="G28" s="239">
        <f t="shared" si="0"/>
        <v>0</v>
      </c>
      <c r="H28" s="47"/>
    </row>
    <row r="29" spans="2:8" ht="12.75" customHeight="1">
      <c r="B29" s="236"/>
      <c r="C29" s="407"/>
      <c r="D29" s="407"/>
      <c r="E29" s="261"/>
      <c r="F29" s="261"/>
      <c r="G29" s="242"/>
      <c r="H29" s="47"/>
    </row>
    <row r="30" spans="2:10" ht="12.75" customHeight="1">
      <c r="B30" s="233">
        <v>5</v>
      </c>
      <c r="C30" s="430" t="s">
        <v>139</v>
      </c>
      <c r="D30" s="430"/>
      <c r="E30" s="243">
        <v>0</v>
      </c>
      <c r="F30" s="243">
        <f>F31</f>
        <v>-8688</v>
      </c>
      <c r="G30" s="239">
        <f t="shared" si="0"/>
        <v>-8688</v>
      </c>
      <c r="H30" s="47"/>
      <c r="J30" s="2"/>
    </row>
    <row r="31" spans="2:8" ht="12.75" customHeight="1">
      <c r="B31" s="236"/>
      <c r="C31" s="406"/>
      <c r="D31" s="406" t="s">
        <v>194</v>
      </c>
      <c r="E31" s="238">
        <v>0</v>
      </c>
      <c r="F31" s="238">
        <v>-8688</v>
      </c>
      <c r="G31" s="239">
        <f t="shared" si="0"/>
        <v>-8688</v>
      </c>
      <c r="H31" s="47"/>
    </row>
    <row r="32" spans="2:8" ht="12.75" customHeight="1">
      <c r="B32" s="236"/>
      <c r="C32" s="406"/>
      <c r="D32" s="406"/>
      <c r="E32" s="238"/>
      <c r="F32" s="238"/>
      <c r="G32" s="315"/>
      <c r="H32" s="47"/>
    </row>
    <row r="33" spans="2:8" ht="12.75" customHeight="1">
      <c r="B33" s="244">
        <v>6</v>
      </c>
      <c r="C33" s="434" t="s">
        <v>123</v>
      </c>
      <c r="D33" s="434"/>
      <c r="E33" s="245">
        <f>E4-E14+E30</f>
        <v>0</v>
      </c>
      <c r="F33" s="245">
        <f>F4-F14+F30</f>
        <v>-6045</v>
      </c>
      <c r="G33" s="337">
        <f t="shared" si="0"/>
        <v>-6045</v>
      </c>
      <c r="H33" s="47"/>
    </row>
    <row r="34" spans="2:8" ht="12.75" customHeight="1">
      <c r="B34" s="267"/>
      <c r="C34" s="447" t="s">
        <v>5</v>
      </c>
      <c r="D34" s="447"/>
      <c r="E34" s="250">
        <f>E4+E27+E31</f>
        <v>0</v>
      </c>
      <c r="F34" s="250">
        <f>F4+F27</f>
        <v>842918</v>
      </c>
      <c r="G34" s="239">
        <f t="shared" si="0"/>
        <v>842918</v>
      </c>
      <c r="H34" s="47"/>
    </row>
    <row r="35" spans="2:9" ht="12.75" customHeight="1">
      <c r="B35" s="251"/>
      <c r="C35" s="448" t="s">
        <v>6</v>
      </c>
      <c r="D35" s="448"/>
      <c r="E35" s="252">
        <f>E14+E28</f>
        <v>0</v>
      </c>
      <c r="F35" s="252">
        <f>F14+F28-F31</f>
        <v>848963</v>
      </c>
      <c r="G35" s="296">
        <f t="shared" si="0"/>
        <v>848963</v>
      </c>
      <c r="H35" s="47"/>
      <c r="I35" s="2"/>
    </row>
    <row r="36" spans="2:9" ht="12.75" customHeight="1" thickBot="1">
      <c r="B36" s="316"/>
      <c r="C36" s="293"/>
      <c r="D36" s="293"/>
      <c r="E36" s="317"/>
      <c r="F36" s="317"/>
      <c r="G36" s="318"/>
      <c r="H36" s="47"/>
      <c r="I36" s="3"/>
    </row>
    <row r="37" spans="2:10" ht="39" thickTop="1">
      <c r="B37" s="230"/>
      <c r="C37" s="431" t="s">
        <v>155</v>
      </c>
      <c r="D37" s="431"/>
      <c r="E37" s="319"/>
      <c r="F37" s="319"/>
      <c r="G37" s="320" t="s">
        <v>205</v>
      </c>
      <c r="H37" s="109"/>
      <c r="J37" s="2"/>
    </row>
    <row r="38" spans="2:8" ht="12.75" customHeight="1">
      <c r="B38" s="257">
        <v>7</v>
      </c>
      <c r="C38" s="271" t="s">
        <v>133</v>
      </c>
      <c r="D38" s="271"/>
      <c r="E38" s="196"/>
      <c r="F38" s="321"/>
      <c r="G38" s="284">
        <f>G44-G39</f>
        <v>1869</v>
      </c>
      <c r="H38" s="110"/>
    </row>
    <row r="39" spans="2:8" ht="12.75" customHeight="1">
      <c r="B39" s="259">
        <v>8</v>
      </c>
      <c r="C39" s="432" t="s">
        <v>143</v>
      </c>
      <c r="D39" s="432"/>
      <c r="E39" s="196"/>
      <c r="F39" s="321"/>
      <c r="G39" s="260">
        <f>G40+G41+G42</f>
        <v>8502</v>
      </c>
      <c r="H39" s="111"/>
    </row>
    <row r="40" spans="2:8" ht="27" customHeight="1">
      <c r="B40" s="236"/>
      <c r="C40" s="404"/>
      <c r="D40" s="445" t="s">
        <v>101</v>
      </c>
      <c r="E40" s="445"/>
      <c r="F40" s="446"/>
      <c r="G40" s="261">
        <v>0</v>
      </c>
      <c r="H40" s="38"/>
    </row>
    <row r="41" spans="2:8" ht="12.75" customHeight="1">
      <c r="B41" s="236"/>
      <c r="C41" s="404"/>
      <c r="D41" s="162" t="s">
        <v>102</v>
      </c>
      <c r="E41" s="196"/>
      <c r="F41" s="321"/>
      <c r="G41" s="261">
        <v>8502</v>
      </c>
      <c r="H41" s="38"/>
    </row>
    <row r="42" spans="2:8" ht="26.25" customHeight="1">
      <c r="B42" s="236"/>
      <c r="C42" s="404"/>
      <c r="D42" s="445" t="s">
        <v>114</v>
      </c>
      <c r="E42" s="445"/>
      <c r="F42" s="446"/>
      <c r="G42" s="261">
        <v>0</v>
      </c>
      <c r="H42" s="38"/>
    </row>
    <row r="43" spans="2:8" ht="12.75" customHeight="1">
      <c r="B43" s="236"/>
      <c r="C43" s="162"/>
      <c r="D43" s="162"/>
      <c r="E43" s="196"/>
      <c r="F43" s="321"/>
      <c r="G43" s="261"/>
      <c r="H43" s="38"/>
    </row>
    <row r="44" spans="2:8" ht="12.75" customHeight="1">
      <c r="B44" s="259">
        <v>9</v>
      </c>
      <c r="C44" s="432" t="s">
        <v>142</v>
      </c>
      <c r="D44" s="432"/>
      <c r="E44" s="196"/>
      <c r="F44" s="321"/>
      <c r="G44" s="260">
        <f>G45+G46+G47</f>
        <v>10371</v>
      </c>
      <c r="H44" s="111"/>
    </row>
    <row r="45" spans="2:8" ht="12.75" customHeight="1">
      <c r="B45" s="236"/>
      <c r="C45" s="162"/>
      <c r="D45" s="162" t="s">
        <v>22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106</v>
      </c>
      <c r="E46" s="196"/>
      <c r="F46" s="321"/>
      <c r="G46" s="261">
        <f>4471+5900</f>
        <v>10371</v>
      </c>
      <c r="H46" s="38"/>
    </row>
    <row r="47" spans="2:8" ht="12.75" customHeight="1">
      <c r="B47" s="236"/>
      <c r="C47" s="162"/>
      <c r="D47" s="162" t="s">
        <v>107</v>
      </c>
      <c r="E47" s="196"/>
      <c r="F47" s="321"/>
      <c r="G47" s="261">
        <f>1048-1048</f>
        <v>0</v>
      </c>
      <c r="H47" s="38"/>
    </row>
    <row r="48" spans="2:8" ht="12.75" customHeight="1">
      <c r="B48" s="236"/>
      <c r="C48" s="162"/>
      <c r="D48" s="162"/>
      <c r="E48" s="196"/>
      <c r="F48" s="321"/>
      <c r="G48" s="261"/>
      <c r="H48" s="38"/>
    </row>
    <row r="49" spans="2:8" ht="12.75" customHeight="1">
      <c r="B49" s="257">
        <v>10</v>
      </c>
      <c r="C49" s="271" t="s">
        <v>124</v>
      </c>
      <c r="D49" s="271"/>
      <c r="E49" s="196"/>
      <c r="F49" s="321"/>
      <c r="G49" s="284">
        <f>G50-G54</f>
        <v>0</v>
      </c>
      <c r="H49" s="110"/>
    </row>
    <row r="50" spans="2:8" ht="12.75" customHeight="1">
      <c r="B50" s="259">
        <v>11</v>
      </c>
      <c r="C50" s="432" t="s">
        <v>141</v>
      </c>
      <c r="D50" s="432"/>
      <c r="E50" s="196"/>
      <c r="F50" s="321"/>
      <c r="G50" s="260">
        <f>G51+G52</f>
        <v>0</v>
      </c>
      <c r="H50" s="111"/>
    </row>
    <row r="51" spans="2:8" ht="12.75" customHeight="1">
      <c r="B51" s="259"/>
      <c r="C51" s="162"/>
      <c r="D51" s="162" t="s">
        <v>115</v>
      </c>
      <c r="E51" s="196"/>
      <c r="F51" s="321"/>
      <c r="G51" s="261">
        <v>0</v>
      </c>
      <c r="H51" s="38"/>
    </row>
    <row r="52" spans="2:8" ht="12.75" customHeight="1">
      <c r="B52" s="280"/>
      <c r="C52" s="264"/>
      <c r="D52" s="264" t="s">
        <v>109</v>
      </c>
      <c r="E52" s="265"/>
      <c r="F52" s="322"/>
      <c r="G52" s="266">
        <v>0</v>
      </c>
      <c r="H52" s="38"/>
    </row>
    <row r="53" spans="2:8" ht="12.75" customHeight="1">
      <c r="B53" s="323"/>
      <c r="C53" s="268"/>
      <c r="D53" s="268"/>
      <c r="E53" s="269"/>
      <c r="F53" s="324"/>
      <c r="G53" s="270"/>
      <c r="H53" s="38"/>
    </row>
    <row r="54" spans="2:8" ht="12.75" customHeight="1">
      <c r="B54" s="259">
        <v>12</v>
      </c>
      <c r="C54" s="432" t="s">
        <v>140</v>
      </c>
      <c r="D54" s="432"/>
      <c r="E54" s="196"/>
      <c r="F54" s="321"/>
      <c r="G54" s="260">
        <f>G55+G56</f>
        <v>0</v>
      </c>
      <c r="H54" s="111"/>
    </row>
    <row r="55" spans="2:8" ht="27" customHeight="1">
      <c r="B55" s="236"/>
      <c r="C55" s="162"/>
      <c r="D55" s="445" t="s">
        <v>110</v>
      </c>
      <c r="E55" s="445"/>
      <c r="F55" s="446"/>
      <c r="G55" s="261">
        <v>0</v>
      </c>
      <c r="H55" s="38"/>
    </row>
    <row r="56" spans="2:8" ht="12.75" customHeight="1">
      <c r="B56" s="236"/>
      <c r="C56" s="162"/>
      <c r="D56" s="162" t="s">
        <v>111</v>
      </c>
      <c r="E56" s="196"/>
      <c r="F56" s="321"/>
      <c r="G56" s="261">
        <v>0</v>
      </c>
      <c r="H56" s="38"/>
    </row>
    <row r="57" spans="2:8" ht="12.75" customHeight="1">
      <c r="B57" s="236"/>
      <c r="C57" s="404"/>
      <c r="D57" s="162"/>
      <c r="E57" s="196"/>
      <c r="F57" s="321"/>
      <c r="G57" s="261"/>
      <c r="H57" s="38"/>
    </row>
    <row r="58" spans="2:8" ht="12.75" customHeight="1">
      <c r="B58" s="244">
        <v>16</v>
      </c>
      <c r="C58" s="275" t="s">
        <v>191</v>
      </c>
      <c r="D58" s="276"/>
      <c r="E58" s="300"/>
      <c r="F58" s="325"/>
      <c r="G58" s="279">
        <f>G38-G49</f>
        <v>1869</v>
      </c>
      <c r="H58" s="78"/>
    </row>
  </sheetData>
  <mergeCells count="17">
    <mergeCell ref="C3:D3"/>
    <mergeCell ref="C44:D44"/>
    <mergeCell ref="C50:D50"/>
    <mergeCell ref="C54:D54"/>
    <mergeCell ref="C4:D4"/>
    <mergeCell ref="C14:D14"/>
    <mergeCell ref="C33:D33"/>
    <mergeCell ref="C24:D24"/>
    <mergeCell ref="C26:D26"/>
    <mergeCell ref="C34:D34"/>
    <mergeCell ref="C35:D35"/>
    <mergeCell ref="C30:D30"/>
    <mergeCell ref="C37:D37"/>
    <mergeCell ref="C39:D39"/>
    <mergeCell ref="D42:F42"/>
    <mergeCell ref="D40:F40"/>
    <mergeCell ref="D55:F55"/>
  </mergeCells>
  <printOptions/>
  <pageMargins left="0.8661417322834646" right="0.6299212598425197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52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97"/>
  <sheetViews>
    <sheetView showGridLines="0" view="pageBreakPreview" zoomScale="80" zoomScaleSheetLayoutView="80" workbookViewId="0" topLeftCell="B40">
      <selection activeCell="E17" sqref="E17:E22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7109375" style="1" customWidth="1"/>
    <col min="5" max="5" width="9.8515625" style="51" customWidth="1"/>
    <col min="6" max="6" width="10.28125" style="51" customWidth="1"/>
    <col min="7" max="8" width="10.57421875" style="42" customWidth="1"/>
    <col min="9" max="9" width="11.8515625" style="1" customWidth="1"/>
    <col min="10" max="16384" width="9.140625" style="1" customWidth="1"/>
  </cols>
  <sheetData>
    <row r="1" spans="2:8" s="31" customFormat="1" ht="15">
      <c r="B1" s="289"/>
      <c r="C1" s="290" t="s">
        <v>71</v>
      </c>
      <c r="D1" s="289"/>
      <c r="E1" s="327"/>
      <c r="F1" s="327"/>
      <c r="G1" s="292"/>
      <c r="H1" s="36"/>
    </row>
    <row r="2" spans="2:8" s="31" customFormat="1" ht="12.75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50" t="s">
        <v>119</v>
      </c>
      <c r="D4" s="450"/>
      <c r="E4" s="234">
        <f>E5+E11</f>
        <v>88462</v>
      </c>
      <c r="F4" s="234">
        <f>F5+F11</f>
        <v>61084</v>
      </c>
      <c r="G4" s="235">
        <f>F4-E4</f>
        <v>-27378</v>
      </c>
      <c r="H4" s="78"/>
    </row>
    <row r="5" spans="2:8" ht="12.75" customHeight="1">
      <c r="B5" s="236"/>
      <c r="C5" s="406" t="s">
        <v>0</v>
      </c>
      <c r="D5" s="406" t="s">
        <v>30</v>
      </c>
      <c r="E5" s="238">
        <f>E6+E7+E8+E9+E10</f>
        <v>88263</v>
      </c>
      <c r="F5" s="238">
        <f>F6+F7+F8+F9+F10</f>
        <v>60985</v>
      </c>
      <c r="G5" s="239">
        <f aca="true" t="shared" si="0" ref="G5:G28">F5-E5</f>
        <v>-27278</v>
      </c>
      <c r="H5" s="38"/>
    </row>
    <row r="6" spans="2:8" ht="12.75" customHeight="1">
      <c r="B6" s="236"/>
      <c r="C6" s="406"/>
      <c r="D6" s="405" t="s">
        <v>44</v>
      </c>
      <c r="E6" s="238">
        <v>0</v>
      </c>
      <c r="F6" s="238">
        <v>0</v>
      </c>
      <c r="G6" s="239">
        <f t="shared" si="0"/>
        <v>0</v>
      </c>
      <c r="H6" s="38"/>
    </row>
    <row r="7" spans="2:8" ht="12.75" customHeight="1">
      <c r="B7" s="236"/>
      <c r="C7" s="406"/>
      <c r="D7" s="405" t="s">
        <v>40</v>
      </c>
      <c r="E7" s="238">
        <v>0</v>
      </c>
      <c r="F7" s="238">
        <v>0</v>
      </c>
      <c r="G7" s="239">
        <f t="shared" si="0"/>
        <v>0</v>
      </c>
      <c r="H7" s="38"/>
    </row>
    <row r="8" spans="2:8" ht="12.75" customHeight="1">
      <c r="B8" s="236"/>
      <c r="C8" s="406"/>
      <c r="D8" s="405" t="s">
        <v>41</v>
      </c>
      <c r="E8" s="238">
        <v>0</v>
      </c>
      <c r="F8" s="238">
        <v>0</v>
      </c>
      <c r="G8" s="239">
        <f t="shared" si="0"/>
        <v>0</v>
      </c>
      <c r="H8" s="38"/>
    </row>
    <row r="9" spans="2:8" ht="12.75" customHeight="1">
      <c r="B9" s="236"/>
      <c r="C9" s="406"/>
      <c r="D9" s="405" t="s">
        <v>42</v>
      </c>
      <c r="E9" s="238">
        <v>10257</v>
      </c>
      <c r="F9" s="238">
        <v>5458</v>
      </c>
      <c r="G9" s="239">
        <f t="shared" si="0"/>
        <v>-4799</v>
      </c>
      <c r="H9" s="38"/>
    </row>
    <row r="10" spans="2:13" ht="12.75" customHeight="1">
      <c r="B10" s="236"/>
      <c r="C10" s="406"/>
      <c r="D10" s="405" t="s">
        <v>43</v>
      </c>
      <c r="E10" s="238">
        <v>78006</v>
      </c>
      <c r="F10" s="238">
        <v>55527</v>
      </c>
      <c r="G10" s="239">
        <f t="shared" si="0"/>
        <v>-22479</v>
      </c>
      <c r="H10" s="38"/>
      <c r="I10" s="3"/>
      <c r="J10" s="3"/>
      <c r="K10" s="3"/>
      <c r="L10" s="3"/>
      <c r="M10" s="3"/>
    </row>
    <row r="11" spans="2:13" ht="12.75" customHeight="1">
      <c r="B11" s="236"/>
      <c r="C11" s="406"/>
      <c r="D11" s="406" t="s">
        <v>31</v>
      </c>
      <c r="E11" s="238">
        <v>199</v>
      </c>
      <c r="F11" s="238">
        <v>99</v>
      </c>
      <c r="G11" s="239">
        <f t="shared" si="0"/>
        <v>-100</v>
      </c>
      <c r="H11" s="38"/>
      <c r="I11" s="3"/>
      <c r="J11" s="3"/>
      <c r="K11" s="3"/>
      <c r="L11" s="3"/>
      <c r="M11" s="3"/>
    </row>
    <row r="12" spans="2:13" ht="12.75" customHeight="1">
      <c r="B12" s="236"/>
      <c r="C12" s="406"/>
      <c r="D12" s="406"/>
      <c r="E12" s="238"/>
      <c r="F12" s="238"/>
      <c r="G12" s="239"/>
      <c r="H12" s="38"/>
      <c r="I12" s="3"/>
      <c r="J12" s="3"/>
      <c r="K12" s="3"/>
      <c r="L12" s="3"/>
      <c r="M12" s="3"/>
    </row>
    <row r="13" spans="2:13" ht="12.75" customHeight="1">
      <c r="B13" s="236"/>
      <c r="C13" s="406"/>
      <c r="D13" s="406"/>
      <c r="E13" s="238"/>
      <c r="F13" s="238"/>
      <c r="G13" s="242"/>
      <c r="H13" s="47"/>
      <c r="I13" s="3"/>
      <c r="J13" s="3"/>
      <c r="K13" s="3"/>
      <c r="L13" s="3"/>
      <c r="M13" s="3"/>
    </row>
    <row r="14" spans="2:13" ht="12.75" customHeight="1">
      <c r="B14" s="233">
        <v>2</v>
      </c>
      <c r="C14" s="429" t="s">
        <v>120</v>
      </c>
      <c r="D14" s="429"/>
      <c r="E14" s="243">
        <f>E15+E20</f>
        <v>67585</v>
      </c>
      <c r="F14" s="243">
        <f>F15+F20</f>
        <v>55052</v>
      </c>
      <c r="G14" s="235">
        <f t="shared" si="0"/>
        <v>-12533</v>
      </c>
      <c r="H14" s="78"/>
      <c r="I14" s="3"/>
      <c r="J14" s="3"/>
      <c r="K14" s="3"/>
      <c r="L14" s="3"/>
      <c r="M14" s="3"/>
    </row>
    <row r="15" spans="2:13" ht="12.75" customHeight="1">
      <c r="B15" s="236"/>
      <c r="C15" s="406" t="s">
        <v>0</v>
      </c>
      <c r="D15" s="406" t="s">
        <v>32</v>
      </c>
      <c r="E15" s="238">
        <f>E16+E17+E18+E19</f>
        <v>51175</v>
      </c>
      <c r="F15" s="238">
        <f>F16+F17+F18+F19</f>
        <v>45795</v>
      </c>
      <c r="G15" s="239">
        <f t="shared" si="0"/>
        <v>-5380</v>
      </c>
      <c r="H15" s="38"/>
      <c r="I15" s="3"/>
      <c r="J15" s="3"/>
      <c r="K15" s="3"/>
      <c r="L15" s="3"/>
      <c r="M15" s="3"/>
    </row>
    <row r="16" spans="2:13" ht="12.75" customHeight="1">
      <c r="B16" s="236"/>
      <c r="C16" s="406"/>
      <c r="D16" s="405" t="s">
        <v>34</v>
      </c>
      <c r="E16" s="238">
        <f>210+121</f>
        <v>331</v>
      </c>
      <c r="F16" s="238">
        <f>182+84</f>
        <v>266</v>
      </c>
      <c r="G16" s="239">
        <f t="shared" si="0"/>
        <v>-65</v>
      </c>
      <c r="H16" s="38"/>
      <c r="I16" s="3"/>
      <c r="J16" s="3"/>
      <c r="K16" s="3"/>
      <c r="L16" s="3"/>
      <c r="M16" s="3"/>
    </row>
    <row r="17" spans="2:13" ht="12.75" customHeight="1">
      <c r="B17" s="236"/>
      <c r="C17" s="406"/>
      <c r="D17" s="405" t="s">
        <v>35</v>
      </c>
      <c r="E17" s="238">
        <v>377</v>
      </c>
      <c r="F17" s="238">
        <v>316</v>
      </c>
      <c r="G17" s="239">
        <f t="shared" si="0"/>
        <v>-61</v>
      </c>
      <c r="H17" s="38"/>
      <c r="I17" s="3"/>
      <c r="J17" s="3"/>
      <c r="K17" s="3"/>
      <c r="L17" s="3"/>
      <c r="M17" s="3"/>
    </row>
    <row r="18" spans="2:13" ht="12.75" customHeight="1">
      <c r="B18" s="236"/>
      <c r="C18" s="406"/>
      <c r="D18" s="405" t="s">
        <v>36</v>
      </c>
      <c r="E18" s="238">
        <v>50467</v>
      </c>
      <c r="F18" s="238">
        <v>45213</v>
      </c>
      <c r="G18" s="239">
        <f t="shared" si="0"/>
        <v>-5254</v>
      </c>
      <c r="H18" s="38"/>
      <c r="I18" s="3"/>
      <c r="J18" s="3"/>
      <c r="K18" s="3"/>
      <c r="L18" s="3"/>
      <c r="M18" s="3"/>
    </row>
    <row r="19" spans="2:13" ht="12.75" customHeight="1">
      <c r="B19" s="236"/>
      <c r="C19" s="406"/>
      <c r="D19" s="405" t="s">
        <v>37</v>
      </c>
      <c r="E19" s="238">
        <v>0</v>
      </c>
      <c r="F19" s="238">
        <v>0</v>
      </c>
      <c r="G19" s="239">
        <f t="shared" si="0"/>
        <v>0</v>
      </c>
      <c r="H19" s="38"/>
      <c r="I19" s="3"/>
      <c r="J19" s="3"/>
      <c r="K19" s="3"/>
      <c r="L19" s="3"/>
      <c r="M19" s="3"/>
    </row>
    <row r="20" spans="2:13" ht="12.75" customHeight="1">
      <c r="B20" s="236"/>
      <c r="C20" s="406"/>
      <c r="D20" s="406" t="s">
        <v>33</v>
      </c>
      <c r="E20" s="238">
        <f>E21+E22</f>
        <v>16410</v>
      </c>
      <c r="F20" s="238">
        <f>F21+F22</f>
        <v>9257</v>
      </c>
      <c r="G20" s="239">
        <f t="shared" si="0"/>
        <v>-7153</v>
      </c>
      <c r="H20" s="38"/>
      <c r="I20" s="3"/>
      <c r="J20" s="3"/>
      <c r="K20" s="3"/>
      <c r="L20" s="3"/>
      <c r="M20" s="3"/>
    </row>
    <row r="21" spans="2:13" ht="12.75" customHeight="1">
      <c r="B21" s="236"/>
      <c r="C21" s="406"/>
      <c r="D21" s="405" t="s">
        <v>38</v>
      </c>
      <c r="E21" s="238">
        <v>4</v>
      </c>
      <c r="F21" s="238">
        <v>0</v>
      </c>
      <c r="G21" s="239">
        <f t="shared" si="0"/>
        <v>-4</v>
      </c>
      <c r="H21" s="38"/>
      <c r="I21" s="3"/>
      <c r="J21" s="3"/>
      <c r="K21" s="3"/>
      <c r="L21" s="3"/>
      <c r="M21" s="3"/>
    </row>
    <row r="22" spans="2:13" ht="12.75" customHeight="1">
      <c r="B22" s="236"/>
      <c r="C22" s="406"/>
      <c r="D22" s="405" t="s">
        <v>39</v>
      </c>
      <c r="E22" s="238">
        <v>16406</v>
      </c>
      <c r="F22" s="238">
        <v>9257</v>
      </c>
      <c r="G22" s="239">
        <f t="shared" si="0"/>
        <v>-7149</v>
      </c>
      <c r="H22" s="38"/>
      <c r="I22" s="3"/>
      <c r="J22" s="3"/>
      <c r="K22" s="3"/>
      <c r="L22" s="3"/>
      <c r="M22" s="3"/>
    </row>
    <row r="23" spans="2:13" ht="12.75" customHeight="1">
      <c r="B23" s="236"/>
      <c r="C23" s="407"/>
      <c r="D23" s="407"/>
      <c r="E23" s="261"/>
      <c r="F23" s="261"/>
      <c r="G23" s="242"/>
      <c r="H23" s="47"/>
      <c r="I23" s="29"/>
      <c r="J23" s="29"/>
      <c r="K23" s="29"/>
      <c r="L23" s="29"/>
      <c r="M23" s="3"/>
    </row>
    <row r="24" spans="2:13" ht="12.75" customHeight="1">
      <c r="B24" s="244">
        <v>3</v>
      </c>
      <c r="C24" s="434" t="s">
        <v>121</v>
      </c>
      <c r="D24" s="434"/>
      <c r="E24" s="245">
        <f>E4-E14</f>
        <v>20877</v>
      </c>
      <c r="F24" s="245">
        <f>F4-F14</f>
        <v>6032</v>
      </c>
      <c r="G24" s="246">
        <f t="shared" si="0"/>
        <v>-14845</v>
      </c>
      <c r="H24" s="78"/>
      <c r="I24" s="16"/>
      <c r="J24" s="16"/>
      <c r="K24" s="16"/>
      <c r="L24" s="16"/>
      <c r="M24" s="3"/>
    </row>
    <row r="25" spans="2:13" ht="12.75" customHeight="1">
      <c r="B25" s="236"/>
      <c r="C25" s="328"/>
      <c r="D25" s="328"/>
      <c r="E25" s="243"/>
      <c r="F25" s="243"/>
      <c r="G25" s="242"/>
      <c r="H25" s="47"/>
      <c r="I25" s="16"/>
      <c r="J25" s="16"/>
      <c r="K25" s="16"/>
      <c r="L25" s="16"/>
      <c r="M25" s="3"/>
    </row>
    <row r="26" spans="2:13" ht="12.75" customHeight="1">
      <c r="B26" s="257">
        <v>4</v>
      </c>
      <c r="C26" s="430" t="s">
        <v>122</v>
      </c>
      <c r="D26" s="430"/>
      <c r="E26" s="258">
        <f>E27+E28</f>
        <v>0</v>
      </c>
      <c r="F26" s="258">
        <f>F27+F28</f>
        <v>8447</v>
      </c>
      <c r="G26" s="235">
        <f t="shared" si="0"/>
        <v>8447</v>
      </c>
      <c r="H26" s="78"/>
      <c r="I26" s="29"/>
      <c r="J26" s="29"/>
      <c r="K26" s="29"/>
      <c r="L26" s="29"/>
      <c r="M26" s="3"/>
    </row>
    <row r="27" spans="2:13" ht="12.75" customHeight="1">
      <c r="B27" s="257"/>
      <c r="C27" s="407"/>
      <c r="D27" s="406" t="s">
        <v>14</v>
      </c>
      <c r="E27" s="261">
        <v>0</v>
      </c>
      <c r="F27" s="261">
        <v>5779</v>
      </c>
      <c r="G27" s="239">
        <f t="shared" si="0"/>
        <v>5779</v>
      </c>
      <c r="H27" s="38"/>
      <c r="I27" s="29"/>
      <c r="J27" s="29"/>
      <c r="K27" s="29"/>
      <c r="L27" s="29"/>
      <c r="M27" s="3"/>
    </row>
    <row r="28" spans="2:13" ht="12.75" customHeight="1">
      <c r="B28" s="257"/>
      <c r="C28" s="407"/>
      <c r="D28" s="406" t="s">
        <v>4</v>
      </c>
      <c r="E28" s="261">
        <v>0</v>
      </c>
      <c r="F28" s="261">
        <v>2668</v>
      </c>
      <c r="G28" s="239">
        <f t="shared" si="0"/>
        <v>2668</v>
      </c>
      <c r="H28" s="38"/>
      <c r="I28" s="29"/>
      <c r="J28" s="29"/>
      <c r="K28" s="29"/>
      <c r="L28" s="29"/>
      <c r="M28" s="3"/>
    </row>
    <row r="29" spans="2:13" ht="12.75" customHeight="1">
      <c r="B29" s="257"/>
      <c r="C29" s="407"/>
      <c r="D29" s="406"/>
      <c r="E29" s="261"/>
      <c r="F29" s="261"/>
      <c r="G29" s="242"/>
      <c r="H29" s="47"/>
      <c r="I29" s="29"/>
      <c r="J29" s="29"/>
      <c r="K29" s="29"/>
      <c r="L29" s="29"/>
      <c r="M29" s="3"/>
    </row>
    <row r="30" spans="2:13" ht="12.75" customHeight="1">
      <c r="B30" s="257">
        <v>5</v>
      </c>
      <c r="C30" s="433" t="s">
        <v>280</v>
      </c>
      <c r="D30" s="433"/>
      <c r="E30" s="258">
        <v>0</v>
      </c>
      <c r="F30" s="258">
        <v>0</v>
      </c>
      <c r="G30" s="235">
        <f>F30-E30</f>
        <v>0</v>
      </c>
      <c r="H30" s="78"/>
      <c r="I30" s="29"/>
      <c r="J30" s="29"/>
      <c r="K30" s="29"/>
      <c r="L30" s="29"/>
      <c r="M30" s="3"/>
    </row>
    <row r="31" spans="2:13" ht="12.75" customHeight="1">
      <c r="B31" s="236"/>
      <c r="C31" s="407"/>
      <c r="D31" s="330"/>
      <c r="E31" s="261"/>
      <c r="F31" s="261"/>
      <c r="G31" s="242"/>
      <c r="H31" s="47"/>
      <c r="I31" s="16"/>
      <c r="J31" s="16"/>
      <c r="K31" s="16"/>
      <c r="L31" s="16"/>
      <c r="M31" s="3"/>
    </row>
    <row r="32" spans="2:13" ht="12.75" customHeight="1">
      <c r="B32" s="244">
        <v>6</v>
      </c>
      <c r="C32" s="434" t="s">
        <v>123</v>
      </c>
      <c r="D32" s="434"/>
      <c r="E32" s="245">
        <f>E24+E26</f>
        <v>20877</v>
      </c>
      <c r="F32" s="245">
        <f>F24+F26</f>
        <v>14479</v>
      </c>
      <c r="G32" s="246">
        <f>F32-E32</f>
        <v>-6398</v>
      </c>
      <c r="H32" s="222"/>
      <c r="I32" s="227"/>
      <c r="J32" s="29"/>
      <c r="K32" s="29"/>
      <c r="L32" s="29"/>
      <c r="M32" s="3"/>
    </row>
    <row r="33" spans="2:13" ht="12.75" customHeight="1">
      <c r="B33" s="236"/>
      <c r="C33" s="449" t="s">
        <v>5</v>
      </c>
      <c r="D33" s="449"/>
      <c r="E33" s="238">
        <f>E4+E27</f>
        <v>88462</v>
      </c>
      <c r="F33" s="238">
        <f>F4+F27</f>
        <v>66863</v>
      </c>
      <c r="G33" s="239">
        <f>F33-E33</f>
        <v>-21599</v>
      </c>
      <c r="H33" s="47"/>
      <c r="I33" s="4"/>
      <c r="J33" s="3"/>
      <c r="K33" s="3"/>
      <c r="L33" s="4"/>
      <c r="M33" s="4"/>
    </row>
    <row r="34" spans="2:13" ht="12.75" customHeight="1">
      <c r="B34" s="251"/>
      <c r="C34" s="448" t="s">
        <v>6</v>
      </c>
      <c r="D34" s="448"/>
      <c r="E34" s="252">
        <f>E14-E28</f>
        <v>67585</v>
      </c>
      <c r="F34" s="252">
        <f>F14-F28</f>
        <v>52384</v>
      </c>
      <c r="G34" s="239">
        <f>F34-E34</f>
        <v>-15201</v>
      </c>
      <c r="H34" s="47"/>
      <c r="I34" s="4"/>
      <c r="J34" s="3"/>
      <c r="K34" s="3"/>
      <c r="L34" s="4"/>
      <c r="M34" s="4"/>
    </row>
    <row r="35" spans="2:13" ht="12.75" customHeight="1" thickBot="1">
      <c r="B35" s="331"/>
      <c r="C35" s="332"/>
      <c r="D35" s="333"/>
      <c r="E35" s="334"/>
      <c r="F35" s="334"/>
      <c r="G35" s="335"/>
      <c r="H35" s="47"/>
      <c r="I35" s="4"/>
      <c r="J35" s="3"/>
      <c r="K35" s="3"/>
      <c r="L35" s="3"/>
      <c r="M35" s="3"/>
    </row>
    <row r="36" spans="2:13" ht="26.25" thickTop="1">
      <c r="B36" s="230"/>
      <c r="C36" s="431" t="s">
        <v>155</v>
      </c>
      <c r="D36" s="431"/>
      <c r="E36" s="319"/>
      <c r="F36" s="319"/>
      <c r="G36" s="320" t="s">
        <v>205</v>
      </c>
      <c r="H36" s="109"/>
      <c r="I36" s="3"/>
      <c r="J36" s="3"/>
      <c r="K36" s="3"/>
      <c r="L36" s="3"/>
      <c r="M36" s="3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6032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  <c r="H38" s="111"/>
    </row>
    <row r="39" spans="2:8" ht="27.75" customHeight="1">
      <c r="B39" s="236"/>
      <c r="C39" s="404"/>
      <c r="D39" s="445" t="s">
        <v>101</v>
      </c>
      <c r="E39" s="445"/>
      <c r="F39" s="446"/>
      <c r="G39" s="261">
        <v>0</v>
      </c>
      <c r="H39" s="38"/>
    </row>
    <row r="40" spans="2:8" ht="12.75" customHeight="1">
      <c r="B40" s="236"/>
      <c r="C40" s="404"/>
      <c r="D40" s="162" t="s">
        <v>102</v>
      </c>
      <c r="E40" s="196"/>
      <c r="F40" s="321"/>
      <c r="G40" s="261">
        <v>0</v>
      </c>
      <c r="H40" s="38"/>
    </row>
    <row r="41" spans="2:8" ht="27" customHeight="1">
      <c r="B41" s="236"/>
      <c r="C41" s="404"/>
      <c r="D41" s="445" t="s">
        <v>114</v>
      </c>
      <c r="E41" s="445"/>
      <c r="F41" s="446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80"/>
      <c r="C51" s="264"/>
      <c r="D51" s="264" t="s">
        <v>109</v>
      </c>
      <c r="E51" s="265"/>
      <c r="F51" s="322"/>
      <c r="G51" s="266">
        <v>0</v>
      </c>
      <c r="H51" s="38"/>
    </row>
    <row r="52" spans="2:8" ht="12.75" customHeight="1">
      <c r="B52" s="323"/>
      <c r="C52" s="268"/>
      <c r="D52" s="268"/>
      <c r="E52" s="269"/>
      <c r="F52" s="324"/>
      <c r="G52" s="270"/>
      <c r="H52" s="38"/>
    </row>
    <row r="53" spans="2:8" ht="12.75" customHeight="1">
      <c r="B53" s="259">
        <v>12</v>
      </c>
      <c r="C53" s="432" t="s">
        <v>140</v>
      </c>
      <c r="D53" s="432"/>
      <c r="E53" s="196"/>
      <c r="F53" s="321"/>
      <c r="G53" s="260">
        <f>G54+G55</f>
        <v>0</v>
      </c>
      <c r="H53" s="111"/>
    </row>
    <row r="54" spans="2:8" ht="27.75" customHeight="1">
      <c r="B54" s="236"/>
      <c r="C54" s="162"/>
      <c r="D54" s="445" t="s">
        <v>110</v>
      </c>
      <c r="E54" s="445"/>
      <c r="F54" s="446"/>
      <c r="G54" s="261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0</v>
      </c>
      <c r="H55" s="38"/>
    </row>
    <row r="56" spans="2:8" ht="12.75" customHeight="1">
      <c r="B56" s="236"/>
      <c r="C56" s="404"/>
      <c r="D56" s="162"/>
      <c r="E56" s="196"/>
      <c r="F56" s="321"/>
      <c r="G56" s="261"/>
      <c r="H56" s="38"/>
    </row>
    <row r="57" spans="2:9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8447</v>
      </c>
      <c r="H57" s="228"/>
      <c r="I57" s="38"/>
    </row>
    <row r="58" spans="2:8" ht="12.75" customHeight="1">
      <c r="B58" s="236"/>
      <c r="C58" s="404"/>
      <c r="D58" s="404"/>
      <c r="E58" s="196"/>
      <c r="F58" s="321"/>
      <c r="G58" s="261"/>
      <c r="H58" s="38"/>
    </row>
    <row r="59" spans="2:10" ht="12.75" customHeight="1">
      <c r="B59" s="257">
        <v>14</v>
      </c>
      <c r="C59" s="433" t="s">
        <v>281</v>
      </c>
      <c r="D59" s="433"/>
      <c r="E59" s="196"/>
      <c r="F59" s="321"/>
      <c r="G59" s="284">
        <v>0</v>
      </c>
      <c r="H59" s="110"/>
      <c r="J59" s="71"/>
    </row>
    <row r="60" spans="2:8" ht="12.75" customHeight="1">
      <c r="B60" s="236"/>
      <c r="C60" s="404"/>
      <c r="D60" s="162"/>
      <c r="E60" s="196"/>
      <c r="F60" s="321"/>
      <c r="G60" s="261"/>
      <c r="H60" s="38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6032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38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337">
        <f>G37-G48+G57+G59</f>
        <v>14479</v>
      </c>
      <c r="H63" s="65"/>
    </row>
    <row r="64" spans="2:8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0</v>
      </c>
      <c r="H64" s="111"/>
    </row>
    <row r="65" spans="2:8" ht="12.75" customHeight="1" thickBot="1">
      <c r="B65" s="332"/>
      <c r="C65" s="332"/>
      <c r="D65" s="333"/>
      <c r="E65" s="334"/>
      <c r="F65" s="334"/>
      <c r="G65" s="335"/>
      <c r="H65" s="47"/>
    </row>
    <row r="66" spans="2:8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109"/>
    </row>
    <row r="67" spans="2:8" ht="12.75" customHeight="1">
      <c r="B67" s="233">
        <v>18</v>
      </c>
      <c r="C67" s="429" t="s">
        <v>135</v>
      </c>
      <c r="D67" s="429"/>
      <c r="E67" s="196"/>
      <c r="F67" s="196"/>
      <c r="G67" s="258">
        <f>F32*(-1)</f>
        <v>-14479</v>
      </c>
      <c r="H67" s="78"/>
    </row>
    <row r="68" spans="2:8" ht="12.75" customHeight="1">
      <c r="B68" s="236"/>
      <c r="C68" s="404"/>
      <c r="D68" s="404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11811</v>
      </c>
      <c r="H69" s="110"/>
    </row>
    <row r="70" spans="2:8" ht="12.75" customHeight="1">
      <c r="B70" s="236"/>
      <c r="C70" s="405"/>
      <c r="D70" s="162" t="s">
        <v>68</v>
      </c>
      <c r="E70" s="196"/>
      <c r="F70" s="326"/>
      <c r="G70" s="261">
        <f>G61</f>
        <v>6032</v>
      </c>
      <c r="H70" s="65"/>
    </row>
    <row r="71" spans="2:8" ht="12.75" customHeight="1">
      <c r="B71" s="236"/>
      <c r="C71" s="404"/>
      <c r="D71" s="162" t="s">
        <v>23</v>
      </c>
      <c r="E71" s="196"/>
      <c r="F71" s="326"/>
      <c r="G71" s="261">
        <f>G72-G73</f>
        <v>0</v>
      </c>
      <c r="H71" s="65"/>
    </row>
    <row r="72" spans="2:8" ht="12.75" customHeight="1">
      <c r="B72" s="236"/>
      <c r="C72" s="404"/>
      <c r="D72" s="162" t="s">
        <v>78</v>
      </c>
      <c r="E72" s="196"/>
      <c r="F72" s="326"/>
      <c r="G72" s="261">
        <v>0</v>
      </c>
      <c r="H72" s="65"/>
    </row>
    <row r="73" spans="2:8" s="7" customFormat="1" ht="12.75" customHeight="1">
      <c r="B73" s="233"/>
      <c r="C73" s="404"/>
      <c r="D73" s="162" t="s">
        <v>116</v>
      </c>
      <c r="E73" s="196"/>
      <c r="F73" s="326"/>
      <c r="G73" s="261">
        <v>0</v>
      </c>
      <c r="H73" s="65"/>
    </row>
    <row r="74" spans="2:8" ht="12.75" customHeight="1">
      <c r="B74" s="236"/>
      <c r="C74" s="404"/>
      <c r="D74" s="162" t="s">
        <v>24</v>
      </c>
      <c r="E74" s="196"/>
      <c r="F74" s="326"/>
      <c r="G74" s="261">
        <f>G75-G76</f>
        <v>0</v>
      </c>
      <c r="H74" s="65"/>
    </row>
    <row r="75" spans="2:8" ht="12.75" customHeight="1">
      <c r="B75" s="236"/>
      <c r="C75" s="404"/>
      <c r="D75" s="162" t="s">
        <v>117</v>
      </c>
      <c r="E75" s="196"/>
      <c r="F75" s="326"/>
      <c r="G75" s="261">
        <v>0</v>
      </c>
      <c r="H75" s="65"/>
    </row>
    <row r="76" spans="2:8" ht="12.75" customHeight="1">
      <c r="B76" s="236"/>
      <c r="C76" s="404"/>
      <c r="D76" s="162" t="s">
        <v>118</v>
      </c>
      <c r="E76" s="196"/>
      <c r="F76" s="326"/>
      <c r="G76" s="261">
        <v>0</v>
      </c>
      <c r="H76" s="65"/>
    </row>
    <row r="77" spans="2:8" ht="12.75" customHeight="1">
      <c r="B77" s="236"/>
      <c r="C77" s="162"/>
      <c r="D77" s="162" t="s">
        <v>80</v>
      </c>
      <c r="E77" s="196"/>
      <c r="F77" s="326"/>
      <c r="G77" s="261">
        <f>F27</f>
        <v>5779</v>
      </c>
      <c r="H77" s="65"/>
    </row>
    <row r="78" spans="2:8" ht="12.75" customHeight="1">
      <c r="B78" s="236"/>
      <c r="C78" s="162"/>
      <c r="D78" s="162"/>
      <c r="E78" s="196"/>
      <c r="F78" s="326"/>
      <c r="G78" s="258"/>
      <c r="H78" s="78"/>
    </row>
    <row r="79" spans="2:8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2668</v>
      </c>
      <c r="H79" s="38"/>
    </row>
    <row r="80" spans="2:8" ht="12.75" customHeight="1">
      <c r="B80" s="236"/>
      <c r="C80" s="162"/>
      <c r="D80" s="162" t="s">
        <v>81</v>
      </c>
      <c r="E80" s="286"/>
      <c r="F80" s="340"/>
      <c r="G80" s="261">
        <f>F28</f>
        <v>2668</v>
      </c>
      <c r="H80" s="38"/>
    </row>
    <row r="81" spans="2:8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  <c r="H81" s="38"/>
    </row>
    <row r="82" spans="2:8" ht="12.75" customHeight="1">
      <c r="B82" s="236"/>
      <c r="C82" s="162"/>
      <c r="D82" s="162" t="s">
        <v>95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26"/>
      <c r="G83" s="261">
        <v>0</v>
      </c>
      <c r="H83" s="38"/>
    </row>
    <row r="84" spans="2:13" ht="12.75" customHeight="1">
      <c r="B84" s="236"/>
      <c r="C84" s="162"/>
      <c r="D84" s="162" t="s">
        <v>83</v>
      </c>
      <c r="E84" s="196"/>
      <c r="F84" s="326"/>
      <c r="G84" s="261">
        <v>0</v>
      </c>
      <c r="H84" s="38"/>
      <c r="M84" s="2"/>
    </row>
    <row r="85" spans="2:8" ht="12.75" customHeight="1">
      <c r="B85" s="236"/>
      <c r="C85" s="162"/>
      <c r="D85" s="162" t="s">
        <v>84</v>
      </c>
      <c r="E85" s="196"/>
      <c r="F85" s="326"/>
      <c r="G85" s="261">
        <v>0</v>
      </c>
      <c r="H85" s="38"/>
    </row>
    <row r="86" spans="2:8" ht="12.75" customHeight="1">
      <c r="B86" s="236"/>
      <c r="C86" s="162"/>
      <c r="D86" s="162" t="s">
        <v>166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26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0</v>
      </c>
      <c r="H88" s="110"/>
    </row>
    <row r="89" spans="2:8" ht="12.75" customHeight="1">
      <c r="B89" s="236"/>
      <c r="C89" s="162"/>
      <c r="D89" s="162" t="s">
        <v>159</v>
      </c>
      <c r="E89" s="196"/>
      <c r="F89" s="326"/>
      <c r="G89" s="261">
        <f>-G64</f>
        <v>0</v>
      </c>
      <c r="H89" s="38"/>
    </row>
    <row r="90" spans="2:9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  <c r="H90" s="38"/>
      <c r="I90" s="2"/>
    </row>
    <row r="91" spans="2:8" ht="12.75" customHeight="1">
      <c r="B91" s="236"/>
      <c r="C91" s="162"/>
      <c r="D91" s="162"/>
      <c r="E91" s="196"/>
      <c r="F91" s="326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  <c r="H92" s="78"/>
    </row>
    <row r="93" spans="5:8" ht="12.75" customHeight="1">
      <c r="E93" s="43"/>
      <c r="F93" s="43"/>
      <c r="G93" s="40"/>
      <c r="H93" s="40"/>
    </row>
    <row r="94" spans="5:8" ht="12.75" customHeight="1">
      <c r="E94" s="43"/>
      <c r="F94" s="43"/>
      <c r="G94" s="40"/>
      <c r="H94" s="40"/>
    </row>
    <row r="95" spans="5:8" ht="12.75" customHeight="1">
      <c r="E95" s="43"/>
      <c r="F95" s="43"/>
      <c r="G95" s="40"/>
      <c r="H95" s="40"/>
    </row>
    <row r="96" spans="5:8" ht="12.75">
      <c r="E96" s="43"/>
      <c r="F96" s="43"/>
      <c r="G96" s="83"/>
      <c r="H96" s="83"/>
    </row>
    <row r="97" spans="5:8" ht="12.75">
      <c r="E97" s="43"/>
      <c r="F97" s="43"/>
      <c r="G97" s="40"/>
      <c r="H97" s="40"/>
    </row>
  </sheetData>
  <mergeCells count="24">
    <mergeCell ref="C26:D26"/>
    <mergeCell ref="C57:D57"/>
    <mergeCell ref="C53:D53"/>
    <mergeCell ref="C24:D24"/>
    <mergeCell ref="C3:D3"/>
    <mergeCell ref="C43:D43"/>
    <mergeCell ref="C38:D38"/>
    <mergeCell ref="C30:D30"/>
    <mergeCell ref="C4:D4"/>
    <mergeCell ref="C14:D14"/>
    <mergeCell ref="C59:D59"/>
    <mergeCell ref="C32:D32"/>
    <mergeCell ref="C49:D49"/>
    <mergeCell ref="C33:D33"/>
    <mergeCell ref="C88:D88"/>
    <mergeCell ref="C66:D66"/>
    <mergeCell ref="C67:D67"/>
    <mergeCell ref="C79:D79"/>
    <mergeCell ref="C34:D34"/>
    <mergeCell ref="C36:D36"/>
    <mergeCell ref="C61:D61"/>
    <mergeCell ref="D39:F39"/>
    <mergeCell ref="D41:F41"/>
    <mergeCell ref="D54:F5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r:id="rId1"/>
  <rowBreaks count="1" manualBreakCount="1">
    <brk id="51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138"/>
  <sheetViews>
    <sheetView showGridLines="0" view="pageBreakPreview" zoomScale="80" zoomScaleSheetLayoutView="80" workbookViewId="0" topLeftCell="A1">
      <selection activeCell="E15" sqref="E15:E22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3" customWidth="1"/>
    <col min="6" max="6" width="11.140625" style="43" customWidth="1"/>
    <col min="7" max="7" width="9.8515625" style="42" customWidth="1"/>
    <col min="8" max="8" width="10.57421875" style="42" customWidth="1"/>
    <col min="9" max="10" width="9.140625" style="1" customWidth="1"/>
    <col min="11" max="11" width="3.00390625" style="1" customWidth="1"/>
    <col min="12" max="16384" width="9.140625" style="1" customWidth="1"/>
  </cols>
  <sheetData>
    <row r="1" spans="2:8" s="31" customFormat="1" ht="15">
      <c r="B1" s="289"/>
      <c r="C1" s="290" t="s">
        <v>54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customHeight="1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50" t="s">
        <v>119</v>
      </c>
      <c r="D4" s="450"/>
      <c r="E4" s="234">
        <f>E5+E11</f>
        <v>85472</v>
      </c>
      <c r="F4" s="234">
        <f>F5+F11</f>
        <v>85795</v>
      </c>
      <c r="G4" s="235">
        <f aca="true" t="shared" si="0" ref="G4:G11">F4-E4</f>
        <v>323</v>
      </c>
      <c r="H4" s="78"/>
    </row>
    <row r="5" spans="2:8" ht="12.75" customHeight="1">
      <c r="B5" s="236"/>
      <c r="C5" s="237" t="s">
        <v>0</v>
      </c>
      <c r="D5" s="237" t="s">
        <v>30</v>
      </c>
      <c r="E5" s="238">
        <f>E6+E7+E8+E9+E10</f>
        <v>30568</v>
      </c>
      <c r="F5" s="238">
        <f>F6+F7+F8+F9+F10</f>
        <v>30891</v>
      </c>
      <c r="G5" s="239">
        <f t="shared" si="0"/>
        <v>323</v>
      </c>
      <c r="H5" s="38"/>
    </row>
    <row r="6" spans="2:8" ht="12.75" customHeight="1">
      <c r="B6" s="236"/>
      <c r="C6" s="237"/>
      <c r="D6" s="240" t="s">
        <v>44</v>
      </c>
      <c r="E6" s="238">
        <v>0</v>
      </c>
      <c r="F6" s="238">
        <v>0</v>
      </c>
      <c r="G6" s="239">
        <f t="shared" si="0"/>
        <v>0</v>
      </c>
      <c r="H6" s="38"/>
    </row>
    <row r="7" spans="2:8" ht="12.75" customHeight="1">
      <c r="B7" s="236"/>
      <c r="C7" s="237"/>
      <c r="D7" s="240" t="s">
        <v>40</v>
      </c>
      <c r="E7" s="238">
        <v>0</v>
      </c>
      <c r="F7" s="238">
        <v>264</v>
      </c>
      <c r="G7" s="239">
        <f t="shared" si="0"/>
        <v>264</v>
      </c>
      <c r="H7" s="38"/>
    </row>
    <row r="8" spans="2:8" ht="12.75" customHeight="1">
      <c r="B8" s="236"/>
      <c r="C8" s="237"/>
      <c r="D8" s="240" t="s">
        <v>41</v>
      </c>
      <c r="E8" s="238">
        <v>0</v>
      </c>
      <c r="F8" s="238">
        <v>0</v>
      </c>
      <c r="G8" s="239">
        <f t="shared" si="0"/>
        <v>0</v>
      </c>
      <c r="H8" s="38"/>
    </row>
    <row r="9" spans="2:8" ht="12.75" customHeight="1">
      <c r="B9" s="236"/>
      <c r="C9" s="237"/>
      <c r="D9" s="240" t="s">
        <v>42</v>
      </c>
      <c r="E9" s="238">
        <v>30236</v>
      </c>
      <c r="F9" s="238">
        <v>28645</v>
      </c>
      <c r="G9" s="239">
        <f t="shared" si="0"/>
        <v>-1591</v>
      </c>
      <c r="H9" s="38"/>
    </row>
    <row r="10" spans="2:8" ht="12.75" customHeight="1">
      <c r="B10" s="236"/>
      <c r="C10" s="237"/>
      <c r="D10" s="240" t="s">
        <v>43</v>
      </c>
      <c r="E10" s="238">
        <v>332</v>
      </c>
      <c r="F10" s="238">
        <v>1982</v>
      </c>
      <c r="G10" s="239">
        <f t="shared" si="0"/>
        <v>1650</v>
      </c>
      <c r="H10" s="38"/>
    </row>
    <row r="11" spans="2:8" ht="12.75" customHeight="1">
      <c r="B11" s="236"/>
      <c r="C11" s="237"/>
      <c r="D11" s="237" t="s">
        <v>31</v>
      </c>
      <c r="E11" s="238">
        <v>54904</v>
      </c>
      <c r="F11" s="238">
        <v>54904</v>
      </c>
      <c r="G11" s="239">
        <f t="shared" si="0"/>
        <v>0</v>
      </c>
      <c r="H11" s="38"/>
    </row>
    <row r="12" spans="2:8" ht="12.75" customHeight="1">
      <c r="B12" s="236"/>
      <c r="C12" s="237"/>
      <c r="D12" s="237"/>
      <c r="E12" s="238"/>
      <c r="F12" s="238"/>
      <c r="G12" s="239"/>
      <c r="H12" s="38"/>
    </row>
    <row r="13" spans="2:8" ht="12.75" customHeight="1">
      <c r="B13" s="236"/>
      <c r="C13" s="237"/>
      <c r="D13" s="237"/>
      <c r="E13" s="238"/>
      <c r="F13" s="238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4736</v>
      </c>
      <c r="F14" s="243">
        <f>F15+F20</f>
        <v>4576</v>
      </c>
      <c r="G14" s="235">
        <f aca="true" t="shared" si="1" ref="G14:G22">F14-E14</f>
        <v>-160</v>
      </c>
      <c r="H14" s="7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3811</v>
      </c>
      <c r="F15" s="238">
        <f>F16+F17+F18+F19</f>
        <v>4361</v>
      </c>
      <c r="G15" s="239">
        <f t="shared" si="1"/>
        <v>550</v>
      </c>
      <c r="H15" s="38"/>
    </row>
    <row r="16" spans="2:8" ht="12.75" customHeight="1">
      <c r="B16" s="236"/>
      <c r="C16" s="237"/>
      <c r="D16" s="240" t="s">
        <v>34</v>
      </c>
      <c r="E16" s="238">
        <f>795+293</f>
        <v>1088</v>
      </c>
      <c r="F16" s="238">
        <f>643+254</f>
        <v>897</v>
      </c>
      <c r="G16" s="239">
        <f t="shared" si="1"/>
        <v>-191</v>
      </c>
      <c r="H16" s="38"/>
    </row>
    <row r="17" spans="2:8" ht="12.75" customHeight="1">
      <c r="B17" s="236"/>
      <c r="C17" s="237"/>
      <c r="D17" s="240" t="s">
        <v>35</v>
      </c>
      <c r="E17" s="238">
        <v>2723</v>
      </c>
      <c r="F17" s="238">
        <v>3462</v>
      </c>
      <c r="G17" s="239">
        <f t="shared" si="1"/>
        <v>739</v>
      </c>
      <c r="H17" s="38"/>
    </row>
    <row r="18" spans="2:8" ht="12.75" customHeight="1">
      <c r="B18" s="236"/>
      <c r="C18" s="237"/>
      <c r="D18" s="240" t="s">
        <v>36</v>
      </c>
      <c r="E18" s="238">
        <v>0</v>
      </c>
      <c r="F18" s="238">
        <v>2</v>
      </c>
      <c r="G18" s="239">
        <f t="shared" si="1"/>
        <v>2</v>
      </c>
      <c r="H18" s="38"/>
    </row>
    <row r="19" spans="2:8" ht="12.75" customHeight="1">
      <c r="B19" s="236"/>
      <c r="C19" s="237"/>
      <c r="D19" s="240" t="s">
        <v>37</v>
      </c>
      <c r="E19" s="238"/>
      <c r="F19" s="238"/>
      <c r="G19" s="239">
        <f t="shared" si="1"/>
        <v>0</v>
      </c>
      <c r="H19" s="38"/>
    </row>
    <row r="20" spans="2:8" ht="12.75" customHeight="1">
      <c r="B20" s="236"/>
      <c r="C20" s="237"/>
      <c r="D20" s="237" t="s">
        <v>33</v>
      </c>
      <c r="E20" s="238">
        <f>E21+E22</f>
        <v>925</v>
      </c>
      <c r="F20" s="238">
        <f>F21+F22</f>
        <v>215</v>
      </c>
      <c r="G20" s="239">
        <f t="shared" si="1"/>
        <v>-710</v>
      </c>
      <c r="H20" s="38"/>
    </row>
    <row r="21" spans="2:8" ht="12.75" customHeight="1">
      <c r="B21" s="236"/>
      <c r="C21" s="237"/>
      <c r="D21" s="240" t="s">
        <v>38</v>
      </c>
      <c r="E21" s="238">
        <v>494</v>
      </c>
      <c r="F21" s="238">
        <v>43</v>
      </c>
      <c r="G21" s="239">
        <f t="shared" si="1"/>
        <v>-451</v>
      </c>
      <c r="H21" s="38"/>
    </row>
    <row r="22" spans="2:8" ht="12.75" customHeight="1">
      <c r="B22" s="236"/>
      <c r="C22" s="237"/>
      <c r="D22" s="240" t="s">
        <v>39</v>
      </c>
      <c r="E22" s="238">
        <v>431</v>
      </c>
      <c r="F22" s="238">
        <v>172</v>
      </c>
      <c r="G22" s="239">
        <f t="shared" si="1"/>
        <v>-259</v>
      </c>
      <c r="H22" s="38"/>
    </row>
    <row r="23" spans="2:8" ht="12.75" customHeight="1">
      <c r="B23" s="236"/>
      <c r="C23" s="314"/>
      <c r="D23" s="314"/>
      <c r="E23" s="238"/>
      <c r="F23" s="261"/>
      <c r="G23" s="242"/>
      <c r="H23" s="47"/>
    </row>
    <row r="24" spans="2:8" ht="12.75" customHeight="1">
      <c r="B24" s="244">
        <v>3</v>
      </c>
      <c r="C24" s="434" t="s">
        <v>121</v>
      </c>
      <c r="D24" s="434"/>
      <c r="E24" s="245">
        <f>E4-E14</f>
        <v>80736</v>
      </c>
      <c r="F24" s="245">
        <f>F4-F14</f>
        <v>81219</v>
      </c>
      <c r="G24" s="246">
        <f>F24-E24</f>
        <v>483</v>
      </c>
      <c r="H24" s="78"/>
    </row>
    <row r="25" spans="2:8" ht="12.75" customHeight="1">
      <c r="B25" s="236"/>
      <c r="C25" s="314"/>
      <c r="D25" s="314"/>
      <c r="E25" s="238"/>
      <c r="F25" s="261"/>
      <c r="G25" s="242"/>
      <c r="H25" s="47"/>
    </row>
    <row r="26" spans="2:8" ht="12.75" customHeight="1">
      <c r="B26" s="233">
        <v>4</v>
      </c>
      <c r="C26" s="430" t="s">
        <v>282</v>
      </c>
      <c r="D26" s="430"/>
      <c r="E26" s="258">
        <f>E27+E28</f>
        <v>0</v>
      </c>
      <c r="F26" s="258">
        <f>F27+F28</f>
        <v>54</v>
      </c>
      <c r="G26" s="235">
        <f>F26-E26</f>
        <v>54</v>
      </c>
      <c r="H26" s="78"/>
    </row>
    <row r="27" spans="2:8" ht="12.75" customHeight="1">
      <c r="B27" s="236"/>
      <c r="C27" s="314"/>
      <c r="D27" s="237" t="s">
        <v>14</v>
      </c>
      <c r="E27" s="238">
        <v>0</v>
      </c>
      <c r="F27" s="261">
        <v>-4</v>
      </c>
      <c r="G27" s="239">
        <f>F27-E27</f>
        <v>-4</v>
      </c>
      <c r="H27" s="47"/>
    </row>
    <row r="28" spans="2:8" ht="12.75" customHeight="1">
      <c r="B28" s="236"/>
      <c r="C28" s="314"/>
      <c r="D28" s="237" t="s">
        <v>4</v>
      </c>
      <c r="E28" s="261">
        <v>0</v>
      </c>
      <c r="F28" s="261">
        <v>58</v>
      </c>
      <c r="G28" s="239">
        <f>F28-E28</f>
        <v>58</v>
      </c>
      <c r="H28" s="47"/>
    </row>
    <row r="29" spans="2:8" ht="12.75" customHeight="1">
      <c r="B29" s="236"/>
      <c r="C29" s="314"/>
      <c r="D29" s="237"/>
      <c r="E29" s="261"/>
      <c r="F29" s="261"/>
      <c r="G29" s="242"/>
      <c r="H29" s="47"/>
    </row>
    <row r="30" spans="2:8" ht="12.75" customHeight="1">
      <c r="B30" s="233">
        <v>5</v>
      </c>
      <c r="C30" s="433" t="s">
        <v>280</v>
      </c>
      <c r="D30" s="433"/>
      <c r="E30" s="258">
        <v>0</v>
      </c>
      <c r="F30" s="258">
        <v>0</v>
      </c>
      <c r="G30" s="239">
        <f>F30-E30</f>
        <v>0</v>
      </c>
      <c r="H30" s="47"/>
    </row>
    <row r="31" spans="2:8" ht="12.75" customHeight="1">
      <c r="B31" s="236"/>
      <c r="C31" s="314"/>
      <c r="D31" s="314"/>
      <c r="E31" s="243"/>
      <c r="F31" s="261"/>
      <c r="G31" s="242"/>
      <c r="H31" s="47"/>
    </row>
    <row r="32" spans="2:9" ht="12.75" customHeight="1">
      <c r="B32" s="244">
        <v>6</v>
      </c>
      <c r="C32" s="434" t="s">
        <v>123</v>
      </c>
      <c r="D32" s="434"/>
      <c r="E32" s="245">
        <f>E24+E26</f>
        <v>80736</v>
      </c>
      <c r="F32" s="245">
        <f>F24+F26</f>
        <v>81273</v>
      </c>
      <c r="G32" s="246">
        <f>F32-E32</f>
        <v>537</v>
      </c>
      <c r="H32" s="78"/>
      <c r="I32" s="2"/>
    </row>
    <row r="33" spans="2:8" ht="12.75" customHeight="1">
      <c r="B33" s="267"/>
      <c r="C33" s="447" t="s">
        <v>5</v>
      </c>
      <c r="D33" s="447"/>
      <c r="E33" s="250">
        <f>E4+E27</f>
        <v>85472</v>
      </c>
      <c r="F33" s="250">
        <f>F4+F27</f>
        <v>85791</v>
      </c>
      <c r="G33" s="239">
        <f>F33-E33</f>
        <v>319</v>
      </c>
      <c r="H33" s="47"/>
    </row>
    <row r="34" spans="2:8" ht="12.75" customHeight="1">
      <c r="B34" s="251"/>
      <c r="C34" s="448" t="s">
        <v>6</v>
      </c>
      <c r="D34" s="448"/>
      <c r="E34" s="252">
        <f>E14-E28</f>
        <v>4736</v>
      </c>
      <c r="F34" s="252">
        <f>F14-F28</f>
        <v>4518</v>
      </c>
      <c r="G34" s="239">
        <f>F34-E34</f>
        <v>-218</v>
      </c>
      <c r="H34" s="47"/>
    </row>
    <row r="35" spans="2:11" ht="12.75" customHeight="1" thickBot="1">
      <c r="B35" s="331"/>
      <c r="C35" s="343"/>
      <c r="D35" s="343"/>
      <c r="E35" s="334"/>
      <c r="F35" s="344"/>
      <c r="G35" s="335"/>
      <c r="H35" s="47"/>
      <c r="K35" s="3"/>
    </row>
    <row r="36" spans="2:8" ht="39" thickTop="1">
      <c r="B36" s="230"/>
      <c r="C36" s="431" t="s">
        <v>155</v>
      </c>
      <c r="D36" s="431"/>
      <c r="E36" s="319"/>
      <c r="F36" s="319"/>
      <c r="G36" s="320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G43-G38+G60</f>
        <v>81220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55898</v>
      </c>
      <c r="H38" s="111"/>
    </row>
    <row r="39" spans="2:8" ht="26.25" customHeight="1">
      <c r="B39" s="236"/>
      <c r="C39" s="262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262"/>
      <c r="D40" s="162" t="s">
        <v>102</v>
      </c>
      <c r="E40" s="196"/>
      <c r="F40" s="321"/>
      <c r="G40" s="261">
        <v>55898</v>
      </c>
      <c r="H40" s="38"/>
    </row>
    <row r="41" spans="2:8" ht="24.75" customHeight="1">
      <c r="B41" s="236"/>
      <c r="C41" s="262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135937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135937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G49-G52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80"/>
      <c r="C51" s="264"/>
      <c r="D51" s="264" t="s">
        <v>109</v>
      </c>
      <c r="E51" s="265"/>
      <c r="F51" s="322"/>
      <c r="G51" s="266">
        <v>0</v>
      </c>
      <c r="H51" s="38"/>
    </row>
    <row r="52" spans="2:8" ht="12.75" customHeight="1">
      <c r="B52" s="323">
        <v>12</v>
      </c>
      <c r="C52" s="451" t="s">
        <v>140</v>
      </c>
      <c r="D52" s="451"/>
      <c r="E52" s="269"/>
      <c r="F52" s="324"/>
      <c r="G52" s="345">
        <f>G53+G54</f>
        <v>0</v>
      </c>
      <c r="H52" s="111"/>
    </row>
    <row r="53" spans="2:8" ht="24" customHeight="1">
      <c r="B53" s="236"/>
      <c r="C53" s="162"/>
      <c r="D53" s="346" t="s">
        <v>110</v>
      </c>
      <c r="E53" s="347"/>
      <c r="F53" s="348"/>
      <c r="G53" s="261">
        <v>0</v>
      </c>
      <c r="H53" s="38"/>
    </row>
    <row r="54" spans="2:8" ht="12.75" customHeight="1">
      <c r="B54" s="236"/>
      <c r="C54" s="162"/>
      <c r="D54" s="162" t="s">
        <v>111</v>
      </c>
      <c r="E54" s="196"/>
      <c r="F54" s="321"/>
      <c r="G54" s="261">
        <v>0</v>
      </c>
      <c r="H54" s="38"/>
    </row>
    <row r="55" spans="2:8" ht="12.75" customHeight="1">
      <c r="B55" s="236"/>
      <c r="C55" s="262"/>
      <c r="D55" s="162"/>
      <c r="E55" s="196"/>
      <c r="F55" s="321"/>
      <c r="G55" s="261"/>
      <c r="H55" s="38"/>
    </row>
    <row r="56" spans="2:8" ht="12.75" customHeight="1">
      <c r="B56" s="257">
        <v>13</v>
      </c>
      <c r="C56" s="430" t="s">
        <v>125</v>
      </c>
      <c r="D56" s="430"/>
      <c r="E56" s="196"/>
      <c r="F56" s="321"/>
      <c r="G56" s="284">
        <f>F26</f>
        <v>54</v>
      </c>
      <c r="H56" s="110"/>
    </row>
    <row r="57" spans="2:8" ht="12.75" customHeight="1">
      <c r="B57" s="236"/>
      <c r="C57" s="262"/>
      <c r="D57" s="262"/>
      <c r="E57" s="196"/>
      <c r="F57" s="321"/>
      <c r="G57" s="261"/>
      <c r="H57" s="38"/>
    </row>
    <row r="58" spans="2:8" ht="12.75" customHeight="1">
      <c r="B58" s="257">
        <v>14</v>
      </c>
      <c r="C58" s="433" t="s">
        <v>281</v>
      </c>
      <c r="D58" s="433"/>
      <c r="E58" s="196"/>
      <c r="F58" s="321"/>
      <c r="G58" s="284">
        <v>0</v>
      </c>
      <c r="H58" s="110"/>
    </row>
    <row r="59" spans="2:8" ht="12.75" customHeight="1">
      <c r="B59" s="236"/>
      <c r="C59" s="262"/>
      <c r="D59" s="162"/>
      <c r="E59" s="196"/>
      <c r="F59" s="321"/>
      <c r="G59" s="261"/>
      <c r="H59" s="38"/>
    </row>
    <row r="60" spans="2:8" ht="12.75" customHeight="1">
      <c r="B60" s="259">
        <v>15</v>
      </c>
      <c r="C60" s="432" t="s">
        <v>126</v>
      </c>
      <c r="D60" s="432"/>
      <c r="E60" s="196"/>
      <c r="F60" s="196"/>
      <c r="G60" s="260">
        <v>1181</v>
      </c>
      <c r="H60" s="111"/>
    </row>
    <row r="61" spans="2:8" ht="12.75" customHeight="1">
      <c r="B61" s="236"/>
      <c r="C61" s="264"/>
      <c r="D61" s="264"/>
      <c r="E61" s="265"/>
      <c r="F61" s="322"/>
      <c r="G61" s="266"/>
      <c r="H61" s="38"/>
    </row>
    <row r="62" spans="2:8" ht="12.75" customHeight="1">
      <c r="B62" s="244">
        <v>16</v>
      </c>
      <c r="C62" s="275" t="s">
        <v>127</v>
      </c>
      <c r="D62" s="276"/>
      <c r="E62" s="300"/>
      <c r="F62" s="325"/>
      <c r="G62" s="337">
        <f>G37-G48+G56+G58</f>
        <v>81274</v>
      </c>
      <c r="H62" s="65"/>
    </row>
    <row r="63" spans="2:8" ht="12.75" customHeight="1">
      <c r="B63" s="280">
        <v>17</v>
      </c>
      <c r="C63" s="281" t="s">
        <v>128</v>
      </c>
      <c r="D63" s="281"/>
      <c r="E63" s="265"/>
      <c r="F63" s="322"/>
      <c r="G63" s="338">
        <f>G62-F32</f>
        <v>1</v>
      </c>
      <c r="H63" s="111"/>
    </row>
    <row r="64" spans="2:8" ht="12.75" customHeight="1" thickBot="1">
      <c r="B64" s="332"/>
      <c r="C64" s="332"/>
      <c r="D64" s="333"/>
      <c r="E64" s="334"/>
      <c r="F64" s="334"/>
      <c r="G64" s="335"/>
      <c r="H64" s="47"/>
    </row>
    <row r="65" spans="2:9" ht="26.25" customHeight="1" thickTop="1">
      <c r="B65" s="230"/>
      <c r="C65" s="431" t="s">
        <v>149</v>
      </c>
      <c r="D65" s="431"/>
      <c r="E65" s="319"/>
      <c r="F65" s="319"/>
      <c r="G65" s="320" t="s">
        <v>205</v>
      </c>
      <c r="H65" s="109"/>
      <c r="I65" s="40"/>
    </row>
    <row r="66" spans="2:8" ht="12.75" customHeight="1">
      <c r="B66" s="233">
        <v>18</v>
      </c>
      <c r="C66" s="429" t="s">
        <v>135</v>
      </c>
      <c r="D66" s="429"/>
      <c r="E66" s="196"/>
      <c r="F66" s="196"/>
      <c r="G66" s="258">
        <f>F32*(-1)</f>
        <v>-81273</v>
      </c>
      <c r="H66" s="78"/>
    </row>
    <row r="67" spans="2:8" ht="12.75" customHeight="1">
      <c r="B67" s="236"/>
      <c r="C67" s="262"/>
      <c r="D67" s="262"/>
      <c r="E67" s="196"/>
      <c r="F67" s="196"/>
      <c r="G67" s="283"/>
      <c r="H67" s="79"/>
    </row>
    <row r="68" spans="2:8" ht="12.75" customHeight="1">
      <c r="B68" s="257">
        <v>19</v>
      </c>
      <c r="C68" s="271" t="s">
        <v>129</v>
      </c>
      <c r="D68" s="339"/>
      <c r="E68" s="196"/>
      <c r="F68" s="326"/>
      <c r="G68" s="284">
        <f>G69+G70+G73+G76</f>
        <v>81216</v>
      </c>
      <c r="H68" s="110"/>
    </row>
    <row r="69" spans="2:8" ht="12.75" customHeight="1">
      <c r="B69" s="236"/>
      <c r="C69" s="240"/>
      <c r="D69" s="162" t="s">
        <v>68</v>
      </c>
      <c r="E69" s="196"/>
      <c r="F69" s="326"/>
      <c r="G69" s="261">
        <f>G60</f>
        <v>1181</v>
      </c>
      <c r="H69" s="65"/>
    </row>
    <row r="70" spans="2:8" ht="12.75" customHeight="1">
      <c r="B70" s="236"/>
      <c r="C70" s="262"/>
      <c r="D70" s="162" t="s">
        <v>23</v>
      </c>
      <c r="E70" s="196"/>
      <c r="F70" s="326"/>
      <c r="G70" s="261">
        <f>G71-G72</f>
        <v>80039</v>
      </c>
      <c r="H70" s="65"/>
    </row>
    <row r="71" spans="2:8" ht="12.75" customHeight="1">
      <c r="B71" s="236"/>
      <c r="C71" s="262"/>
      <c r="D71" s="162" t="s">
        <v>78</v>
      </c>
      <c r="E71" s="196"/>
      <c r="F71" s="326"/>
      <c r="G71" s="261">
        <f>G45</f>
        <v>135937</v>
      </c>
      <c r="H71" s="38"/>
    </row>
    <row r="72" spans="2:8" ht="12.75" customHeight="1">
      <c r="B72" s="233"/>
      <c r="C72" s="262"/>
      <c r="D72" s="162" t="s">
        <v>116</v>
      </c>
      <c r="E72" s="196"/>
      <c r="F72" s="326"/>
      <c r="G72" s="261">
        <f>G40</f>
        <v>55898</v>
      </c>
      <c r="H72" s="38"/>
    </row>
    <row r="73" spans="2:8" ht="12.75" customHeight="1">
      <c r="B73" s="236"/>
      <c r="C73" s="262"/>
      <c r="D73" s="162" t="s">
        <v>24</v>
      </c>
      <c r="E73" s="196"/>
      <c r="F73" s="326"/>
      <c r="G73" s="261">
        <f>G74-G75</f>
        <v>0</v>
      </c>
      <c r="H73" s="65"/>
    </row>
    <row r="74" spans="2:8" ht="12.75" customHeight="1">
      <c r="B74" s="236"/>
      <c r="C74" s="262"/>
      <c r="D74" s="162" t="s">
        <v>117</v>
      </c>
      <c r="E74" s="196"/>
      <c r="F74" s="326"/>
      <c r="G74" s="261">
        <v>0</v>
      </c>
      <c r="H74" s="38"/>
    </row>
    <row r="75" spans="2:8" ht="12.75" customHeight="1">
      <c r="B75" s="236"/>
      <c r="C75" s="262"/>
      <c r="D75" s="162" t="s">
        <v>118</v>
      </c>
      <c r="E75" s="196"/>
      <c r="F75" s="326"/>
      <c r="G75" s="261">
        <v>0</v>
      </c>
      <c r="H75" s="38"/>
    </row>
    <row r="76" spans="2:8" ht="12.75" customHeight="1">
      <c r="B76" s="236"/>
      <c r="C76" s="162"/>
      <c r="D76" s="162" t="s">
        <v>80</v>
      </c>
      <c r="E76" s="196"/>
      <c r="F76" s="326"/>
      <c r="G76" s="261">
        <f>F27</f>
        <v>-4</v>
      </c>
      <c r="H76" s="65"/>
    </row>
    <row r="77" spans="2:8" ht="12.75" customHeight="1">
      <c r="B77" s="236"/>
      <c r="C77" s="162"/>
      <c r="D77" s="162"/>
      <c r="E77" s="196"/>
      <c r="F77" s="326"/>
      <c r="G77" s="258"/>
      <c r="H77" s="78"/>
    </row>
    <row r="78" spans="2:8" ht="12.75" customHeight="1">
      <c r="B78" s="257">
        <v>20</v>
      </c>
      <c r="C78" s="430" t="s">
        <v>130</v>
      </c>
      <c r="D78" s="430"/>
      <c r="E78" s="196"/>
      <c r="F78" s="326"/>
      <c r="G78" s="284">
        <f>G79+G80+G83+G84+G85</f>
        <v>58</v>
      </c>
      <c r="H78" s="110"/>
    </row>
    <row r="79" spans="2:8" ht="12.75" customHeight="1">
      <c r="B79" s="236"/>
      <c r="C79" s="162"/>
      <c r="D79" s="162" t="s">
        <v>81</v>
      </c>
      <c r="E79" s="286"/>
      <c r="F79" s="340"/>
      <c r="G79" s="261">
        <f>F28</f>
        <v>58</v>
      </c>
      <c r="H79" s="38"/>
    </row>
    <row r="80" spans="2:8" ht="12.75" customHeight="1">
      <c r="B80" s="236"/>
      <c r="C80" s="162"/>
      <c r="D80" s="162" t="s">
        <v>82</v>
      </c>
      <c r="E80" s="196"/>
      <c r="F80" s="326"/>
      <c r="G80" s="261">
        <f>G81+G82</f>
        <v>0</v>
      </c>
      <c r="H80" s="65"/>
    </row>
    <row r="81" spans="2:8" ht="12.75" customHeight="1">
      <c r="B81" s="236"/>
      <c r="C81" s="162"/>
      <c r="D81" s="162" t="s">
        <v>95</v>
      </c>
      <c r="E81" s="196"/>
      <c r="F81" s="326"/>
      <c r="G81" s="261">
        <v>0</v>
      </c>
      <c r="H81" s="38"/>
    </row>
    <row r="82" spans="2:8" ht="12.75" customHeight="1">
      <c r="B82" s="236"/>
      <c r="C82" s="162"/>
      <c r="D82" s="162" t="s">
        <v>96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83</v>
      </c>
      <c r="E83" s="196"/>
      <c r="F83" s="326"/>
      <c r="G83" s="261">
        <v>0</v>
      </c>
      <c r="H83" s="65"/>
    </row>
    <row r="84" spans="2:8" ht="12.75" customHeight="1">
      <c r="B84" s="236"/>
      <c r="C84" s="162"/>
      <c r="D84" s="162" t="s">
        <v>84</v>
      </c>
      <c r="E84" s="196"/>
      <c r="F84" s="326"/>
      <c r="G84" s="261">
        <v>0</v>
      </c>
      <c r="H84" s="65"/>
    </row>
    <row r="85" spans="2:8" ht="12.75" customHeight="1">
      <c r="B85" s="236"/>
      <c r="C85" s="162"/>
      <c r="D85" s="162" t="s">
        <v>166</v>
      </c>
      <c r="E85" s="196"/>
      <c r="F85" s="326"/>
      <c r="G85" s="261">
        <v>0</v>
      </c>
      <c r="H85" s="38"/>
    </row>
    <row r="86" spans="2:8" ht="12.75" customHeight="1">
      <c r="B86" s="236"/>
      <c r="C86" s="162"/>
      <c r="D86" s="162"/>
      <c r="E86" s="196"/>
      <c r="F86" s="326"/>
      <c r="G86" s="261"/>
      <c r="H86" s="38"/>
    </row>
    <row r="87" spans="2:8" ht="12.75" customHeight="1">
      <c r="B87" s="257">
        <v>21</v>
      </c>
      <c r="C87" s="430" t="s">
        <v>134</v>
      </c>
      <c r="D87" s="430"/>
      <c r="E87" s="196"/>
      <c r="F87" s="326"/>
      <c r="G87" s="284">
        <f>G88+G89</f>
        <v>-1</v>
      </c>
      <c r="H87" s="110"/>
    </row>
    <row r="88" spans="2:8" ht="12.75" customHeight="1">
      <c r="B88" s="236"/>
      <c r="C88" s="162"/>
      <c r="D88" s="162" t="s">
        <v>159</v>
      </c>
      <c r="E88" s="196"/>
      <c r="F88" s="326"/>
      <c r="G88" s="261">
        <f>-G63</f>
        <v>-1</v>
      </c>
      <c r="H88" s="38"/>
    </row>
    <row r="89" spans="2:8" ht="12.75" customHeight="1">
      <c r="B89" s="236"/>
      <c r="C89" s="162"/>
      <c r="D89" s="162" t="s">
        <v>160</v>
      </c>
      <c r="E89" s="196"/>
      <c r="F89" s="326"/>
      <c r="G89" s="261">
        <f>G91-(G66+G68+G78)-G88</f>
        <v>0</v>
      </c>
      <c r="H89" s="38"/>
    </row>
    <row r="90" spans="2:8" ht="12.75" customHeight="1">
      <c r="B90" s="236"/>
      <c r="C90" s="162"/>
      <c r="D90" s="162"/>
      <c r="E90" s="196"/>
      <c r="F90" s="326"/>
      <c r="G90" s="261"/>
      <c r="H90" s="38"/>
    </row>
    <row r="91" spans="2:8" ht="12.75" customHeight="1">
      <c r="B91" s="244">
        <v>22</v>
      </c>
      <c r="C91" s="275" t="s">
        <v>176</v>
      </c>
      <c r="D91" s="275"/>
      <c r="E91" s="277"/>
      <c r="F91" s="341"/>
      <c r="G91" s="279">
        <v>0</v>
      </c>
      <c r="H91" s="78"/>
    </row>
    <row r="92" spans="5:8" ht="12.75" customHeight="1">
      <c r="E92" s="1"/>
      <c r="F92" s="1"/>
      <c r="G92" s="1"/>
      <c r="H92" s="1"/>
    </row>
    <row r="93" spans="5:8" ht="12.75" customHeight="1">
      <c r="E93" s="1"/>
      <c r="F93" s="1"/>
      <c r="G93" s="1"/>
      <c r="H93" s="1"/>
    </row>
    <row r="94" spans="5:8" ht="12.75" customHeight="1">
      <c r="E94" s="1"/>
      <c r="F94" s="1"/>
      <c r="G94" s="1"/>
      <c r="H94" s="1"/>
    </row>
    <row r="95" spans="5:8" ht="12.75" customHeight="1">
      <c r="E95" s="1"/>
      <c r="F95" s="1"/>
      <c r="G95" s="18"/>
      <c r="H95" s="18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5:8" ht="12.75" customHeight="1">
      <c r="E121" s="1"/>
      <c r="F121" s="1"/>
      <c r="G121" s="1"/>
      <c r="H121" s="1"/>
    </row>
    <row r="122" spans="5:8" ht="12.75" customHeight="1">
      <c r="E122" s="1"/>
      <c r="F122" s="1"/>
      <c r="G122" s="1"/>
      <c r="H122" s="1"/>
    </row>
    <row r="123" spans="5:8" ht="12.75" customHeight="1">
      <c r="E123" s="1"/>
      <c r="F123" s="1"/>
      <c r="G123" s="1"/>
      <c r="H123" s="1"/>
    </row>
    <row r="124" spans="5:8" ht="12.75" customHeight="1">
      <c r="E124" s="1"/>
      <c r="F124" s="1"/>
      <c r="G124" s="1"/>
      <c r="H124" s="1"/>
    </row>
    <row r="125" spans="5:8" ht="12.75" customHeight="1">
      <c r="E125" s="1"/>
      <c r="F125" s="1"/>
      <c r="G125" s="1"/>
      <c r="H125" s="1"/>
    </row>
    <row r="126" spans="5:8" ht="12.75" customHeight="1">
      <c r="E126" s="1"/>
      <c r="F126" s="1"/>
      <c r="G126" s="1"/>
      <c r="H126" s="1"/>
    </row>
    <row r="127" spans="5:8" ht="12.75" customHeight="1">
      <c r="E127" s="1"/>
      <c r="F127" s="1"/>
      <c r="G127" s="1"/>
      <c r="H127" s="1"/>
    </row>
    <row r="128" spans="5:8" ht="12.75" customHeight="1">
      <c r="E128" s="1"/>
      <c r="F128" s="1"/>
      <c r="G128" s="1"/>
      <c r="H128" s="1"/>
    </row>
    <row r="129" spans="7:8" ht="12.75" customHeight="1">
      <c r="G129" s="40"/>
      <c r="H129" s="40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 customHeight="1">
      <c r="G136" s="40"/>
      <c r="H136" s="40"/>
    </row>
    <row r="137" spans="7:8" ht="12.75">
      <c r="G137" s="40"/>
      <c r="H137" s="40"/>
    </row>
    <row r="138" spans="7:8" ht="12.75">
      <c r="G138" s="40"/>
      <c r="H138" s="40"/>
    </row>
  </sheetData>
  <mergeCells count="21">
    <mergeCell ref="C26:D26"/>
    <mergeCell ref="C30:D30"/>
    <mergeCell ref="C3:D3"/>
    <mergeCell ref="C4:D4"/>
    <mergeCell ref="C14:D14"/>
    <mergeCell ref="C24:D24"/>
    <mergeCell ref="C87:D87"/>
    <mergeCell ref="C56:D56"/>
    <mergeCell ref="C36:D36"/>
    <mergeCell ref="C38:D38"/>
    <mergeCell ref="C43:D43"/>
    <mergeCell ref="C78:D78"/>
    <mergeCell ref="C32:D32"/>
    <mergeCell ref="C33:D33"/>
    <mergeCell ref="C34:D34"/>
    <mergeCell ref="C66:D66"/>
    <mergeCell ref="C49:D49"/>
    <mergeCell ref="C52:D52"/>
    <mergeCell ref="C58:D58"/>
    <mergeCell ref="C60:D60"/>
    <mergeCell ref="C65:D65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51" min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K138"/>
  <sheetViews>
    <sheetView showGridLines="0" view="pageBreakPreview" zoomScale="80" zoomScaleSheetLayoutView="80" workbookViewId="0" topLeftCell="A67">
      <selection activeCell="F13" sqref="F13"/>
    </sheetView>
  </sheetViews>
  <sheetFormatPr defaultColWidth="9.140625" defaultRowHeight="12.75"/>
  <cols>
    <col min="1" max="1" width="6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3" customWidth="1"/>
    <col min="6" max="6" width="10.57421875" style="43" customWidth="1"/>
    <col min="7" max="7" width="9.421875" style="42" customWidth="1"/>
    <col min="8" max="8" width="10.57421875" style="42" customWidth="1"/>
    <col min="9" max="16384" width="9.140625" style="1" customWidth="1"/>
  </cols>
  <sheetData>
    <row r="1" spans="2:8" s="31" customFormat="1" ht="15">
      <c r="B1" s="289"/>
      <c r="C1" s="290" t="s">
        <v>55</v>
      </c>
      <c r="D1" s="289"/>
      <c r="E1" s="312"/>
      <c r="F1" s="312"/>
      <c r="G1" s="292"/>
      <c r="H1" s="36"/>
    </row>
    <row r="2" spans="2:8" ht="12.75" customHeight="1" thickBot="1">
      <c r="B2" s="306"/>
      <c r="C2" s="307"/>
      <c r="D2" s="306"/>
      <c r="E2" s="308"/>
      <c r="F2" s="308"/>
      <c r="G2" s="308" t="s">
        <v>199</v>
      </c>
      <c r="H2" s="74"/>
    </row>
    <row r="3" spans="2:8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349">
        <v>1</v>
      </c>
      <c r="C4" s="450" t="s">
        <v>119</v>
      </c>
      <c r="D4" s="453"/>
      <c r="E4" s="234">
        <f>E6+E12+E5</f>
        <v>113610</v>
      </c>
      <c r="F4" s="234">
        <f>F6+F12+F5</f>
        <v>39024</v>
      </c>
      <c r="G4" s="235">
        <f>F4-E4</f>
        <v>-74586</v>
      </c>
      <c r="H4" s="78"/>
    </row>
    <row r="5" spans="2:8" ht="12.75" customHeight="1">
      <c r="B5" s="236"/>
      <c r="C5" s="237" t="s">
        <v>0</v>
      </c>
      <c r="D5" s="310" t="s">
        <v>29</v>
      </c>
      <c r="E5" s="238">
        <v>1156</v>
      </c>
      <c r="F5" s="238">
        <v>1183</v>
      </c>
      <c r="G5" s="239">
        <f aca="true" t="shared" si="0" ref="G5:G22">F5-E5</f>
        <v>27</v>
      </c>
      <c r="H5" s="38"/>
    </row>
    <row r="6" spans="2:8" ht="12.75" customHeight="1">
      <c r="B6" s="236"/>
      <c r="C6" s="237"/>
      <c r="D6" s="310" t="s">
        <v>30</v>
      </c>
      <c r="E6" s="238">
        <f>E7+E8+E9+E10+E11</f>
        <v>112454</v>
      </c>
      <c r="F6" s="238">
        <f>F7+F8+F9+F10+F11</f>
        <v>37841</v>
      </c>
      <c r="G6" s="239">
        <f t="shared" si="0"/>
        <v>-74613</v>
      </c>
      <c r="H6" s="38"/>
    </row>
    <row r="7" spans="2:8" ht="12.75" customHeight="1">
      <c r="B7" s="236"/>
      <c r="C7" s="237"/>
      <c r="D7" s="241" t="s">
        <v>44</v>
      </c>
      <c r="E7" s="238">
        <v>2655</v>
      </c>
      <c r="F7" s="238">
        <v>1946</v>
      </c>
      <c r="G7" s="239">
        <f t="shared" si="0"/>
        <v>-709</v>
      </c>
      <c r="H7" s="38"/>
    </row>
    <row r="8" spans="2:8" ht="12.75" customHeight="1">
      <c r="B8" s="236"/>
      <c r="C8" s="237"/>
      <c r="D8" s="241" t="s">
        <v>40</v>
      </c>
      <c r="E8" s="238">
        <v>43443</v>
      </c>
      <c r="F8" s="238">
        <v>35385</v>
      </c>
      <c r="G8" s="239">
        <f t="shared" si="0"/>
        <v>-8058</v>
      </c>
      <c r="H8" s="38"/>
    </row>
    <row r="9" spans="2:8" ht="12.75" customHeight="1">
      <c r="B9" s="236"/>
      <c r="C9" s="237"/>
      <c r="D9" s="241" t="s">
        <v>41</v>
      </c>
      <c r="E9" s="238">
        <v>66000</v>
      </c>
      <c r="F9" s="238">
        <v>0</v>
      </c>
      <c r="G9" s="239">
        <f t="shared" si="0"/>
        <v>-66000</v>
      </c>
      <c r="H9" s="38"/>
    </row>
    <row r="10" spans="2:8" ht="12.75" customHeight="1">
      <c r="B10" s="236"/>
      <c r="C10" s="237"/>
      <c r="D10" s="241" t="s">
        <v>42</v>
      </c>
      <c r="E10" s="238">
        <v>319</v>
      </c>
      <c r="F10" s="238">
        <v>404</v>
      </c>
      <c r="G10" s="239">
        <f t="shared" si="0"/>
        <v>85</v>
      </c>
      <c r="H10" s="38"/>
    </row>
    <row r="11" spans="2:8" ht="12.75" customHeight="1">
      <c r="B11" s="236"/>
      <c r="C11" s="237"/>
      <c r="D11" s="241" t="s">
        <v>43</v>
      </c>
      <c r="E11" s="238">
        <v>37</v>
      </c>
      <c r="F11" s="238">
        <v>106</v>
      </c>
      <c r="G11" s="239">
        <f t="shared" si="0"/>
        <v>69</v>
      </c>
      <c r="H11" s="38"/>
    </row>
    <row r="12" spans="2:8" ht="12.75" customHeight="1">
      <c r="B12" s="236"/>
      <c r="C12" s="237"/>
      <c r="D12" s="310" t="s">
        <v>31</v>
      </c>
      <c r="E12" s="238">
        <v>0</v>
      </c>
      <c r="F12" s="238">
        <v>0</v>
      </c>
      <c r="G12" s="242">
        <f t="shared" si="0"/>
        <v>0</v>
      </c>
      <c r="H12" s="47"/>
    </row>
    <row r="13" spans="2:8" ht="12.75" customHeight="1">
      <c r="B13" s="233"/>
      <c r="C13" s="237"/>
      <c r="D13" s="310"/>
      <c r="E13" s="238"/>
      <c r="F13" s="238"/>
      <c r="G13" s="235"/>
      <c r="H13" s="78"/>
    </row>
    <row r="14" spans="2:8" ht="12.75" customHeight="1">
      <c r="B14" s="233">
        <v>2</v>
      </c>
      <c r="C14" s="429" t="s">
        <v>120</v>
      </c>
      <c r="D14" s="444"/>
      <c r="E14" s="243">
        <f>E15+E20</f>
        <v>46060</v>
      </c>
      <c r="F14" s="243">
        <f>F15+F20</f>
        <v>40924</v>
      </c>
      <c r="G14" s="329">
        <f t="shared" si="0"/>
        <v>-5136</v>
      </c>
      <c r="H14" s="108"/>
    </row>
    <row r="15" spans="2:8" ht="12.75" customHeight="1">
      <c r="B15" s="236"/>
      <c r="C15" s="237" t="s">
        <v>0</v>
      </c>
      <c r="D15" s="310" t="s">
        <v>32</v>
      </c>
      <c r="E15" s="238">
        <f>E16+E17+E18+E19</f>
        <v>6660</v>
      </c>
      <c r="F15" s="238">
        <f>F16+F17+F18+F19</f>
        <v>8245</v>
      </c>
      <c r="G15" s="239">
        <f t="shared" si="0"/>
        <v>1585</v>
      </c>
      <c r="H15" s="38"/>
    </row>
    <row r="16" spans="2:8" ht="12.75" customHeight="1">
      <c r="B16" s="236"/>
      <c r="C16" s="237"/>
      <c r="D16" s="241" t="s">
        <v>34</v>
      </c>
      <c r="E16" s="238">
        <f>553+218</f>
        <v>771</v>
      </c>
      <c r="F16" s="238">
        <f>546+203</f>
        <v>749</v>
      </c>
      <c r="G16" s="239">
        <f t="shared" si="0"/>
        <v>-22</v>
      </c>
      <c r="H16" s="38"/>
    </row>
    <row r="17" spans="2:8" ht="12.75" customHeight="1">
      <c r="B17" s="236"/>
      <c r="C17" s="237"/>
      <c r="D17" s="241" t="s">
        <v>35</v>
      </c>
      <c r="E17" s="238">
        <v>3016</v>
      </c>
      <c r="F17" s="238">
        <v>2999</v>
      </c>
      <c r="G17" s="239">
        <f t="shared" si="0"/>
        <v>-17</v>
      </c>
      <c r="H17" s="38"/>
    </row>
    <row r="18" spans="2:8" ht="12.75" customHeight="1">
      <c r="B18" s="236"/>
      <c r="C18" s="237"/>
      <c r="D18" s="241" t="s">
        <v>36</v>
      </c>
      <c r="E18" s="238">
        <v>2873</v>
      </c>
      <c r="F18" s="238">
        <v>4497</v>
      </c>
      <c r="G18" s="239">
        <f t="shared" si="0"/>
        <v>1624</v>
      </c>
      <c r="H18" s="38"/>
    </row>
    <row r="19" spans="2:8" ht="12.75" customHeight="1">
      <c r="B19" s="236"/>
      <c r="C19" s="237"/>
      <c r="D19" s="241" t="s">
        <v>37</v>
      </c>
      <c r="E19" s="238"/>
      <c r="F19" s="238">
        <v>0</v>
      </c>
      <c r="G19" s="239"/>
      <c r="H19" s="38"/>
    </row>
    <row r="20" spans="2:8" ht="12.75" customHeight="1">
      <c r="B20" s="236"/>
      <c r="C20" s="237"/>
      <c r="D20" s="310" t="s">
        <v>33</v>
      </c>
      <c r="E20" s="238">
        <f>E21+E22</f>
        <v>39400</v>
      </c>
      <c r="F20" s="238">
        <f>F21+F22</f>
        <v>32679</v>
      </c>
      <c r="G20" s="239">
        <f t="shared" si="0"/>
        <v>-6721</v>
      </c>
      <c r="H20" s="38"/>
    </row>
    <row r="21" spans="2:8" ht="12.75" customHeight="1">
      <c r="B21" s="236"/>
      <c r="C21" s="237"/>
      <c r="D21" s="241" t="s">
        <v>38</v>
      </c>
      <c r="E21" s="238">
        <v>13</v>
      </c>
      <c r="F21" s="238">
        <v>38</v>
      </c>
      <c r="G21" s="239">
        <f t="shared" si="0"/>
        <v>25</v>
      </c>
      <c r="H21" s="38"/>
    </row>
    <row r="22" spans="2:8" ht="12.75" customHeight="1">
      <c r="B22" s="236"/>
      <c r="C22" s="237"/>
      <c r="D22" s="241" t="s">
        <v>39</v>
      </c>
      <c r="E22" s="238">
        <v>39387</v>
      </c>
      <c r="F22" s="238">
        <v>32641</v>
      </c>
      <c r="G22" s="239">
        <f t="shared" si="0"/>
        <v>-6746</v>
      </c>
      <c r="H22" s="38"/>
    </row>
    <row r="23" spans="2:8" ht="12.75" customHeight="1">
      <c r="B23" s="233"/>
      <c r="C23" s="162"/>
      <c r="D23" s="304"/>
      <c r="E23" s="261"/>
      <c r="F23" s="261"/>
      <c r="G23" s="242"/>
      <c r="H23" s="47"/>
    </row>
    <row r="24" spans="2:8" ht="12.75" customHeight="1">
      <c r="B24" s="244">
        <v>3</v>
      </c>
      <c r="C24" s="434" t="s">
        <v>121</v>
      </c>
      <c r="D24" s="435"/>
      <c r="E24" s="245">
        <f>E4-E14</f>
        <v>67550</v>
      </c>
      <c r="F24" s="245">
        <f>F4-F14</f>
        <v>-1900</v>
      </c>
      <c r="G24" s="246">
        <f>F24-E24</f>
        <v>-69450</v>
      </c>
      <c r="H24" s="78"/>
    </row>
    <row r="25" spans="2:8" ht="12.75" customHeight="1">
      <c r="B25" s="233"/>
      <c r="C25" s="314"/>
      <c r="D25" s="350"/>
      <c r="E25" s="261"/>
      <c r="F25" s="261"/>
      <c r="G25" s="235"/>
      <c r="H25" s="78"/>
    </row>
    <row r="26" spans="2:8" ht="12.75" customHeight="1">
      <c r="B26" s="233">
        <v>4</v>
      </c>
      <c r="C26" s="430" t="s">
        <v>167</v>
      </c>
      <c r="D26" s="452"/>
      <c r="E26" s="258">
        <f>E27+E28</f>
        <v>0</v>
      </c>
      <c r="F26" s="258">
        <f>F27+F28</f>
        <v>5052</v>
      </c>
      <c r="G26" s="235">
        <f>F26-E26</f>
        <v>5052</v>
      </c>
      <c r="H26" s="78"/>
    </row>
    <row r="27" spans="2:8" ht="12.75" customHeight="1">
      <c r="B27" s="236"/>
      <c r="C27" s="314"/>
      <c r="D27" s="310" t="s">
        <v>3</v>
      </c>
      <c r="E27" s="261">
        <v>0</v>
      </c>
      <c r="F27" s="261">
        <v>1635</v>
      </c>
      <c r="G27" s="239">
        <f aca="true" t="shared" si="1" ref="G27:G28">F27-E27</f>
        <v>1635</v>
      </c>
      <c r="H27" s="78"/>
    </row>
    <row r="28" spans="2:8" ht="12.75" customHeight="1">
      <c r="B28" s="236"/>
      <c r="C28" s="314"/>
      <c r="D28" s="310" t="s">
        <v>15</v>
      </c>
      <c r="E28" s="261">
        <v>0</v>
      </c>
      <c r="F28" s="261">
        <f>4112-695</f>
        <v>3417</v>
      </c>
      <c r="G28" s="239">
        <f t="shared" si="1"/>
        <v>3417</v>
      </c>
      <c r="H28" s="78"/>
    </row>
    <row r="29" spans="2:8" ht="12.75" customHeight="1">
      <c r="B29" s="233"/>
      <c r="C29" s="314"/>
      <c r="D29" s="310"/>
      <c r="E29" s="261"/>
      <c r="F29" s="258"/>
      <c r="G29" s="235"/>
      <c r="H29" s="78"/>
    </row>
    <row r="30" spans="2:8" ht="12.75" customHeight="1">
      <c r="B30" s="233">
        <v>5</v>
      </c>
      <c r="C30" s="433" t="s">
        <v>280</v>
      </c>
      <c r="D30" s="442"/>
      <c r="E30" s="258">
        <v>0</v>
      </c>
      <c r="F30" s="258">
        <v>0</v>
      </c>
      <c r="G30" s="235">
        <f aca="true" t="shared" si="2" ref="G30">F30-E30</f>
        <v>0</v>
      </c>
      <c r="H30" s="78"/>
    </row>
    <row r="31" spans="2:10" ht="12.75" customHeight="1">
      <c r="B31" s="233"/>
      <c r="C31" s="314"/>
      <c r="D31" s="351"/>
      <c r="E31" s="261"/>
      <c r="F31" s="261"/>
      <c r="G31" s="235"/>
      <c r="H31" s="78"/>
      <c r="J31" s="2"/>
    </row>
    <row r="32" spans="2:11" ht="12.75" customHeight="1">
      <c r="B32" s="244">
        <v>6</v>
      </c>
      <c r="C32" s="434" t="s">
        <v>123</v>
      </c>
      <c r="D32" s="435"/>
      <c r="E32" s="245">
        <f>E24+E26</f>
        <v>67550</v>
      </c>
      <c r="F32" s="245">
        <f>F24+F26</f>
        <v>3152</v>
      </c>
      <c r="G32" s="246">
        <f>F32-E32</f>
        <v>-64398</v>
      </c>
      <c r="H32" s="78"/>
      <c r="I32" s="2"/>
      <c r="K32" s="2"/>
    </row>
    <row r="33" spans="2:8" ht="12.75" customHeight="1">
      <c r="B33" s="267"/>
      <c r="C33" s="447" t="s">
        <v>5</v>
      </c>
      <c r="D33" s="454"/>
      <c r="E33" s="250">
        <f>E4+E27</f>
        <v>113610</v>
      </c>
      <c r="F33" s="250">
        <f>F4+F27</f>
        <v>40659</v>
      </c>
      <c r="G33" s="239">
        <f aca="true" t="shared" si="3" ref="G33:G34">F33-E33</f>
        <v>-72951</v>
      </c>
      <c r="H33" s="47"/>
    </row>
    <row r="34" spans="2:8" ht="12.75" customHeight="1">
      <c r="B34" s="251"/>
      <c r="C34" s="448" t="s">
        <v>6</v>
      </c>
      <c r="D34" s="455"/>
      <c r="E34" s="252">
        <f>E14-E28</f>
        <v>46060</v>
      </c>
      <c r="F34" s="252">
        <f>F14-F28</f>
        <v>37507</v>
      </c>
      <c r="G34" s="239">
        <f t="shared" si="3"/>
        <v>-8553</v>
      </c>
      <c r="H34" s="47"/>
    </row>
    <row r="35" spans="2:9" ht="12.75" customHeight="1" thickBot="1">
      <c r="B35" s="332"/>
      <c r="C35" s="343"/>
      <c r="D35" s="343"/>
      <c r="E35" s="344"/>
      <c r="F35" s="344"/>
      <c r="G35" s="335"/>
      <c r="H35" s="47"/>
      <c r="I35" s="3"/>
    </row>
    <row r="36" spans="2:8" ht="39" thickTop="1">
      <c r="B36" s="230"/>
      <c r="C36" s="431" t="s">
        <v>155</v>
      </c>
      <c r="D36" s="431"/>
      <c r="E36" s="319"/>
      <c r="F36" s="319"/>
      <c r="G36" s="320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-1897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1973</v>
      </c>
      <c r="H38" s="111"/>
    </row>
    <row r="39" spans="2:8" ht="24.75" customHeight="1">
      <c r="B39" s="236"/>
      <c r="C39" s="262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262"/>
      <c r="D40" s="162" t="s">
        <v>102</v>
      </c>
      <c r="E40" s="196"/>
      <c r="F40" s="321"/>
      <c r="G40" s="261">
        <v>1973</v>
      </c>
      <c r="H40" s="38"/>
    </row>
    <row r="41" spans="2:8" ht="27" customHeight="1">
      <c r="B41" s="236"/>
      <c r="C41" s="262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7821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7821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59"/>
      <c r="C51" s="162"/>
      <c r="D51" s="162" t="s">
        <v>109</v>
      </c>
      <c r="E51" s="196"/>
      <c r="F51" s="321"/>
      <c r="G51" s="261">
        <v>0</v>
      </c>
      <c r="H51" s="38"/>
    </row>
    <row r="52" spans="2:8" ht="12.75" customHeight="1">
      <c r="B52" s="280"/>
      <c r="C52" s="264"/>
      <c r="D52" s="264"/>
      <c r="E52" s="265"/>
      <c r="F52" s="322"/>
      <c r="G52" s="266"/>
      <c r="H52" s="38"/>
    </row>
    <row r="53" spans="2:8" ht="12.75" customHeight="1">
      <c r="B53" s="323">
        <v>12</v>
      </c>
      <c r="C53" s="451" t="s">
        <v>140</v>
      </c>
      <c r="D53" s="451"/>
      <c r="E53" s="269"/>
      <c r="F53" s="374"/>
      <c r="G53" s="375">
        <f>G54+G55</f>
        <v>0</v>
      </c>
      <c r="H53" s="111"/>
    </row>
    <row r="54" spans="2:8" ht="24.75" customHeight="1">
      <c r="B54" s="236"/>
      <c r="C54" s="162"/>
      <c r="D54" s="346" t="s">
        <v>110</v>
      </c>
      <c r="E54" s="347"/>
      <c r="F54" s="348"/>
      <c r="G54" s="261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0</v>
      </c>
      <c r="H55" s="38"/>
    </row>
    <row r="56" spans="2:8" ht="12.75" customHeight="1">
      <c r="B56" s="236"/>
      <c r="C56" s="262"/>
      <c r="D56" s="162"/>
      <c r="E56" s="196"/>
      <c r="F56" s="321"/>
      <c r="G56" s="261"/>
      <c r="H56" s="38"/>
    </row>
    <row r="57" spans="2:8" ht="12.75" customHeight="1">
      <c r="B57" s="257">
        <v>13</v>
      </c>
      <c r="C57" s="430" t="s">
        <v>125</v>
      </c>
      <c r="D57" s="430"/>
      <c r="E57" s="196"/>
      <c r="F57" s="321"/>
      <c r="G57" s="284">
        <f>F26</f>
        <v>5052</v>
      </c>
      <c r="H57" s="110"/>
    </row>
    <row r="58" spans="2:8" ht="12.75" customHeight="1">
      <c r="B58" s="236"/>
      <c r="C58" s="262"/>
      <c r="D58" s="262"/>
      <c r="E58" s="196"/>
      <c r="F58" s="321"/>
      <c r="G58" s="261"/>
      <c r="H58" s="38"/>
    </row>
    <row r="59" spans="2:8" ht="12.75" customHeight="1">
      <c r="B59" s="257">
        <v>14</v>
      </c>
      <c r="C59" s="433" t="s">
        <v>281</v>
      </c>
      <c r="D59" s="433"/>
      <c r="E59" s="196"/>
      <c r="F59" s="321"/>
      <c r="G59" s="284">
        <v>0</v>
      </c>
      <c r="H59" s="110"/>
    </row>
    <row r="60" spans="2:8" ht="12.75" customHeight="1">
      <c r="B60" s="236"/>
      <c r="C60" s="262"/>
      <c r="D60" s="162"/>
      <c r="E60" s="196"/>
      <c r="F60" s="321"/>
      <c r="G60" s="261"/>
      <c r="H60" s="38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-7745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65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279">
        <f>G37-G48+G57</f>
        <v>3155</v>
      </c>
      <c r="H63" s="78"/>
    </row>
    <row r="64" spans="2:8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3</v>
      </c>
      <c r="H64" s="111"/>
    </row>
    <row r="65" spans="2:8" ht="12.75" customHeight="1" thickBot="1">
      <c r="B65" s="332"/>
      <c r="C65" s="332"/>
      <c r="D65" s="333"/>
      <c r="E65" s="334"/>
      <c r="F65" s="334"/>
      <c r="G65" s="335"/>
      <c r="H65" s="47"/>
    </row>
    <row r="66" spans="2:9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109"/>
      <c r="I66" s="40"/>
    </row>
    <row r="67" spans="2:8" ht="12.75" customHeight="1">
      <c r="B67" s="233">
        <v>18</v>
      </c>
      <c r="C67" s="429" t="s">
        <v>135</v>
      </c>
      <c r="D67" s="429"/>
      <c r="E67" s="196"/>
      <c r="F67" s="196"/>
      <c r="G67" s="258">
        <f>F32*(-1)</f>
        <v>-3152</v>
      </c>
      <c r="H67" s="78"/>
    </row>
    <row r="68" spans="2:8" ht="12.75" customHeight="1">
      <c r="B68" s="236"/>
      <c r="C68" s="262"/>
      <c r="D68" s="262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26"/>
      <c r="G69" s="284">
        <f>G70+G71+G74+G77</f>
        <v>-262</v>
      </c>
      <c r="H69" s="110"/>
    </row>
    <row r="70" spans="2:8" ht="12.75" customHeight="1">
      <c r="B70" s="236"/>
      <c r="C70" s="240"/>
      <c r="D70" s="162" t="s">
        <v>68</v>
      </c>
      <c r="E70" s="196"/>
      <c r="F70" s="326"/>
      <c r="G70" s="261">
        <f>G61</f>
        <v>-7745</v>
      </c>
      <c r="H70" s="65"/>
    </row>
    <row r="71" spans="2:8" ht="12.75" customHeight="1">
      <c r="B71" s="236"/>
      <c r="C71" s="262"/>
      <c r="D71" s="162" t="s">
        <v>23</v>
      </c>
      <c r="E71" s="196"/>
      <c r="F71" s="326"/>
      <c r="G71" s="261">
        <f>G72-G73</f>
        <v>5848</v>
      </c>
      <c r="H71" s="65"/>
    </row>
    <row r="72" spans="2:8" ht="12.75" customHeight="1">
      <c r="B72" s="236"/>
      <c r="C72" s="262"/>
      <c r="D72" s="162" t="s">
        <v>78</v>
      </c>
      <c r="E72" s="196"/>
      <c r="F72" s="326"/>
      <c r="G72" s="261">
        <f>G45</f>
        <v>7821</v>
      </c>
      <c r="H72" s="38"/>
    </row>
    <row r="73" spans="2:8" ht="12.75" customHeight="1">
      <c r="B73" s="233"/>
      <c r="C73" s="262"/>
      <c r="D73" s="162" t="s">
        <v>116</v>
      </c>
      <c r="E73" s="196"/>
      <c r="F73" s="326"/>
      <c r="G73" s="261">
        <f>G40</f>
        <v>1973</v>
      </c>
      <c r="H73" s="38"/>
    </row>
    <row r="74" spans="2:8" ht="12.75" customHeight="1">
      <c r="B74" s="236"/>
      <c r="C74" s="262"/>
      <c r="D74" s="162" t="s">
        <v>24</v>
      </c>
      <c r="E74" s="196"/>
      <c r="F74" s="326"/>
      <c r="G74" s="261">
        <f>G75-G76</f>
        <v>0</v>
      </c>
      <c r="H74" s="65"/>
    </row>
    <row r="75" spans="2:8" ht="12.75" customHeight="1">
      <c r="B75" s="236"/>
      <c r="C75" s="262"/>
      <c r="D75" s="162" t="s">
        <v>117</v>
      </c>
      <c r="E75" s="196"/>
      <c r="F75" s="326"/>
      <c r="G75" s="261">
        <v>0</v>
      </c>
      <c r="H75" s="38"/>
    </row>
    <row r="76" spans="2:8" ht="12.75" customHeight="1">
      <c r="B76" s="236"/>
      <c r="C76" s="262"/>
      <c r="D76" s="162" t="s">
        <v>118</v>
      </c>
      <c r="E76" s="196"/>
      <c r="F76" s="326"/>
      <c r="G76" s="261">
        <v>0</v>
      </c>
      <c r="H76" s="38"/>
    </row>
    <row r="77" spans="2:8" ht="12.75" customHeight="1">
      <c r="B77" s="236"/>
      <c r="C77" s="162"/>
      <c r="D77" s="162" t="s">
        <v>80</v>
      </c>
      <c r="E77" s="196"/>
      <c r="F77" s="326"/>
      <c r="G77" s="261">
        <f>F27</f>
        <v>1635</v>
      </c>
      <c r="H77" s="65"/>
    </row>
    <row r="78" spans="2:8" ht="12.75" customHeight="1">
      <c r="B78" s="236"/>
      <c r="C78" s="162"/>
      <c r="D78" s="162"/>
      <c r="E78" s="196"/>
      <c r="F78" s="326"/>
      <c r="G78" s="258"/>
      <c r="H78" s="78"/>
    </row>
    <row r="79" spans="2:8" ht="12.75" customHeight="1">
      <c r="B79" s="257">
        <v>20</v>
      </c>
      <c r="C79" s="430" t="s">
        <v>130</v>
      </c>
      <c r="D79" s="430"/>
      <c r="E79" s="196"/>
      <c r="F79" s="326"/>
      <c r="G79" s="284">
        <f>G80+G81+G84+G85+G86</f>
        <v>3417</v>
      </c>
      <c r="H79" s="110"/>
    </row>
    <row r="80" spans="2:8" ht="12.75" customHeight="1">
      <c r="B80" s="236"/>
      <c r="C80" s="162"/>
      <c r="D80" s="162" t="s">
        <v>81</v>
      </c>
      <c r="E80" s="286"/>
      <c r="F80" s="340"/>
      <c r="G80" s="261">
        <f>F28</f>
        <v>3417</v>
      </c>
      <c r="H80" s="38"/>
    </row>
    <row r="81" spans="2:8" ht="12.75" customHeight="1">
      <c r="B81" s="236"/>
      <c r="C81" s="162"/>
      <c r="D81" s="162" t="s">
        <v>82</v>
      </c>
      <c r="E81" s="196"/>
      <c r="F81" s="326"/>
      <c r="G81" s="261">
        <f>G82+G83</f>
        <v>0</v>
      </c>
      <c r="H81" s="65"/>
    </row>
    <row r="82" spans="2:8" ht="12.75" customHeight="1">
      <c r="B82" s="236"/>
      <c r="C82" s="162"/>
      <c r="D82" s="162" t="s">
        <v>95</v>
      </c>
      <c r="E82" s="196"/>
      <c r="F82" s="326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26"/>
      <c r="G83" s="261">
        <v>0</v>
      </c>
      <c r="H83" s="38"/>
    </row>
    <row r="84" spans="2:8" ht="12.75" customHeight="1">
      <c r="B84" s="236"/>
      <c r="C84" s="162"/>
      <c r="D84" s="162" t="s">
        <v>83</v>
      </c>
      <c r="E84" s="196"/>
      <c r="F84" s="326"/>
      <c r="G84" s="261">
        <v>0</v>
      </c>
      <c r="H84" s="65"/>
    </row>
    <row r="85" spans="2:8" ht="12.75" customHeight="1">
      <c r="B85" s="236"/>
      <c r="C85" s="162"/>
      <c r="D85" s="162" t="s">
        <v>84</v>
      </c>
      <c r="E85" s="196"/>
      <c r="F85" s="326"/>
      <c r="G85" s="261">
        <v>0</v>
      </c>
      <c r="H85" s="65"/>
    </row>
    <row r="86" spans="2:8" ht="12.75" customHeight="1">
      <c r="B86" s="236"/>
      <c r="C86" s="162"/>
      <c r="D86" s="162" t="s">
        <v>166</v>
      </c>
      <c r="E86" s="196"/>
      <c r="F86" s="326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26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26"/>
      <c r="G88" s="284">
        <f>G89+G90</f>
        <v>-3</v>
      </c>
      <c r="H88" s="110"/>
    </row>
    <row r="89" spans="2:8" ht="12.75" customHeight="1">
      <c r="B89" s="236"/>
      <c r="C89" s="162"/>
      <c r="D89" s="162" t="s">
        <v>159</v>
      </c>
      <c r="E89" s="196"/>
      <c r="F89" s="326"/>
      <c r="G89" s="261">
        <f>-G64</f>
        <v>-3</v>
      </c>
      <c r="H89" s="38"/>
    </row>
    <row r="90" spans="2:9" ht="12.75" customHeight="1">
      <c r="B90" s="236"/>
      <c r="C90" s="162"/>
      <c r="D90" s="162" t="s">
        <v>160</v>
      </c>
      <c r="E90" s="196"/>
      <c r="F90" s="326"/>
      <c r="G90" s="261">
        <f>G92-(G67+G69+G79)-G89</f>
        <v>0</v>
      </c>
      <c r="H90" s="38"/>
      <c r="I90" s="2"/>
    </row>
    <row r="91" spans="2:8" ht="12.75" customHeight="1">
      <c r="B91" s="236"/>
      <c r="C91" s="162"/>
      <c r="D91" s="162"/>
      <c r="E91" s="196"/>
      <c r="F91" s="326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41"/>
      <c r="G92" s="279">
        <v>0</v>
      </c>
      <c r="H92" s="78"/>
    </row>
    <row r="93" spans="5:8" ht="12.75" customHeight="1">
      <c r="E93" s="1"/>
      <c r="F93" s="1"/>
      <c r="G93" s="1"/>
      <c r="H93" s="1"/>
    </row>
    <row r="94" spans="5:8" ht="12.75" customHeight="1">
      <c r="E94" s="1"/>
      <c r="F94" s="1"/>
      <c r="G94" s="1"/>
      <c r="H94" s="1"/>
    </row>
    <row r="95" spans="5:8" ht="12.75" customHeight="1">
      <c r="E95" s="1"/>
      <c r="F95" s="1"/>
      <c r="G95" s="18"/>
      <c r="H95" s="18"/>
    </row>
    <row r="96" spans="5:8" ht="12.75" customHeight="1">
      <c r="E96" s="1"/>
      <c r="F96" s="1"/>
      <c r="G96" s="1"/>
      <c r="H96" s="1"/>
    </row>
    <row r="97" spans="5:8" ht="12.75" customHeight="1">
      <c r="E97" s="1"/>
      <c r="F97" s="1"/>
      <c r="G97" s="1"/>
      <c r="H97" s="1"/>
    </row>
    <row r="98" spans="5:8" ht="12.75" customHeight="1">
      <c r="E98" s="1"/>
      <c r="F98" s="1"/>
      <c r="G98" s="1"/>
      <c r="H98" s="1"/>
    </row>
    <row r="99" spans="5:8" ht="12.75" customHeight="1">
      <c r="E99" s="1"/>
      <c r="F99" s="1"/>
      <c r="G99" s="1"/>
      <c r="H99" s="1"/>
    </row>
    <row r="100" spans="5:8" ht="12.75" customHeight="1">
      <c r="E100" s="1"/>
      <c r="F100" s="1"/>
      <c r="G100" s="1"/>
      <c r="H100" s="1"/>
    </row>
    <row r="101" spans="5:8" ht="12.75" customHeight="1">
      <c r="E101" s="1"/>
      <c r="F101" s="1"/>
      <c r="G101" s="1"/>
      <c r="H101" s="1"/>
    </row>
    <row r="102" spans="5:8" ht="12.75" customHeight="1">
      <c r="E102" s="1"/>
      <c r="F102" s="1"/>
      <c r="G102" s="1"/>
      <c r="H102" s="1"/>
    </row>
    <row r="103" spans="5:8" ht="12.75" customHeight="1">
      <c r="E103" s="1"/>
      <c r="F103" s="1"/>
      <c r="G103" s="1"/>
      <c r="H103" s="1"/>
    </row>
    <row r="104" spans="5:8" ht="12.75" customHeight="1">
      <c r="E104" s="1"/>
      <c r="F104" s="1"/>
      <c r="G104" s="1"/>
      <c r="H104" s="1"/>
    </row>
    <row r="105" spans="5:8" ht="12.75" customHeight="1">
      <c r="E105" s="1"/>
      <c r="F105" s="1"/>
      <c r="G105" s="1"/>
      <c r="H105" s="1"/>
    </row>
    <row r="106" spans="5:8" ht="12.75" customHeight="1">
      <c r="E106" s="1"/>
      <c r="F106" s="1"/>
      <c r="G106" s="1"/>
      <c r="H106" s="1"/>
    </row>
    <row r="107" spans="5:8" ht="12.75" customHeight="1">
      <c r="E107" s="1"/>
      <c r="F107" s="1"/>
      <c r="G107" s="1"/>
      <c r="H107" s="1"/>
    </row>
    <row r="108" spans="5:8" ht="12.75" customHeight="1">
      <c r="E108" s="1"/>
      <c r="F108" s="1"/>
      <c r="G108" s="1"/>
      <c r="H108" s="1"/>
    </row>
    <row r="109" spans="5:8" ht="12.75" customHeight="1">
      <c r="E109" s="1"/>
      <c r="F109" s="1"/>
      <c r="G109" s="1"/>
      <c r="H109" s="1"/>
    </row>
    <row r="110" spans="5:8" ht="12.75" customHeight="1">
      <c r="E110" s="1"/>
      <c r="F110" s="1"/>
      <c r="G110" s="1"/>
      <c r="H110" s="1"/>
    </row>
    <row r="111" spans="5:8" ht="12.75" customHeight="1">
      <c r="E111" s="1"/>
      <c r="F111" s="1"/>
      <c r="G111" s="1"/>
      <c r="H111" s="1"/>
    </row>
    <row r="112" spans="5:8" ht="12.75" customHeight="1">
      <c r="E112" s="1"/>
      <c r="F112" s="1"/>
      <c r="G112" s="1"/>
      <c r="H112" s="1"/>
    </row>
    <row r="113" spans="5:8" ht="12.75" customHeight="1">
      <c r="E113" s="1"/>
      <c r="F113" s="1"/>
      <c r="G113" s="1"/>
      <c r="H113" s="1"/>
    </row>
    <row r="114" spans="5:8" ht="12.75" customHeight="1">
      <c r="E114" s="1"/>
      <c r="F114" s="1"/>
      <c r="G114" s="1"/>
      <c r="H114" s="1"/>
    </row>
    <row r="115" spans="5:8" ht="12.75" customHeight="1">
      <c r="E115" s="1"/>
      <c r="F115" s="1"/>
      <c r="G115" s="1"/>
      <c r="H115" s="1"/>
    </row>
    <row r="116" spans="5:8" ht="12.75" customHeight="1">
      <c r="E116" s="1"/>
      <c r="F116" s="1"/>
      <c r="G116" s="1"/>
      <c r="H116" s="1"/>
    </row>
    <row r="117" spans="5:8" ht="12.75" customHeight="1">
      <c r="E117" s="1"/>
      <c r="F117" s="1"/>
      <c r="G117" s="1"/>
      <c r="H117" s="1"/>
    </row>
    <row r="118" spans="5:8" ht="12.75" customHeight="1">
      <c r="E118" s="1"/>
      <c r="F118" s="1"/>
      <c r="G118" s="1"/>
      <c r="H118" s="1"/>
    </row>
    <row r="119" spans="5:8" ht="12.75" customHeight="1">
      <c r="E119" s="1"/>
      <c r="F119" s="1"/>
      <c r="G119" s="1"/>
      <c r="H119" s="1"/>
    </row>
    <row r="120" spans="5:8" ht="12.75" customHeight="1">
      <c r="E120" s="1"/>
      <c r="F120" s="1"/>
      <c r="G120" s="1"/>
      <c r="H120" s="1"/>
    </row>
    <row r="121" spans="5:8" ht="12.75" customHeight="1">
      <c r="E121" s="1"/>
      <c r="F121" s="1"/>
      <c r="G121" s="1"/>
      <c r="H121" s="1"/>
    </row>
    <row r="122" spans="5:8" ht="12.75" customHeight="1">
      <c r="E122" s="1"/>
      <c r="F122" s="1"/>
      <c r="G122" s="1"/>
      <c r="H122" s="1"/>
    </row>
    <row r="123" spans="5:8" ht="12.75" customHeight="1">
      <c r="E123" s="1"/>
      <c r="F123" s="1"/>
      <c r="G123" s="1"/>
      <c r="H123" s="1"/>
    </row>
    <row r="124" spans="5:8" ht="12.75" customHeight="1">
      <c r="E124" s="1"/>
      <c r="F124" s="1"/>
      <c r="G124" s="1"/>
      <c r="H124" s="1"/>
    </row>
    <row r="125" spans="5:8" ht="12.75" customHeight="1">
      <c r="E125" s="1"/>
      <c r="F125" s="1"/>
      <c r="G125" s="1"/>
      <c r="H125" s="1"/>
    </row>
    <row r="126" spans="5:8" ht="12.75" customHeight="1">
      <c r="E126" s="1"/>
      <c r="F126" s="1"/>
      <c r="G126" s="1"/>
      <c r="H126" s="1"/>
    </row>
    <row r="127" spans="5:8" ht="12.75" customHeight="1">
      <c r="E127" s="1"/>
      <c r="F127" s="1"/>
      <c r="G127" s="1"/>
      <c r="H127" s="1"/>
    </row>
    <row r="128" spans="5:8" ht="12.75" customHeight="1">
      <c r="E128" s="1"/>
      <c r="F128" s="1"/>
      <c r="G128" s="1"/>
      <c r="H128" s="1"/>
    </row>
    <row r="129" spans="5:8" ht="12.75" customHeight="1">
      <c r="E129" s="1"/>
      <c r="F129" s="1"/>
      <c r="G129" s="1"/>
      <c r="H129" s="1"/>
    </row>
    <row r="130" spans="7:8" ht="12.75" customHeight="1">
      <c r="G130" s="40"/>
      <c r="H130" s="40"/>
    </row>
    <row r="131" spans="7:8" ht="12.75" customHeight="1">
      <c r="G131" s="40"/>
      <c r="H131" s="40"/>
    </row>
    <row r="132" spans="7:8" ht="12.75" customHeight="1">
      <c r="G132" s="40"/>
      <c r="H132" s="40"/>
    </row>
    <row r="133" spans="7:8" ht="12.75" customHeight="1">
      <c r="G133" s="40"/>
      <c r="H133" s="40"/>
    </row>
    <row r="134" spans="7:8" ht="12.75" customHeight="1">
      <c r="G134" s="40"/>
      <c r="H134" s="40"/>
    </row>
    <row r="135" spans="7:8" ht="12.75" customHeight="1">
      <c r="G135" s="40"/>
      <c r="H135" s="40"/>
    </row>
    <row r="136" spans="7:8" ht="12.75" customHeight="1">
      <c r="G136" s="40"/>
      <c r="H136" s="40"/>
    </row>
    <row r="137" spans="7:8" ht="12.75">
      <c r="G137" s="40"/>
      <c r="H137" s="40"/>
    </row>
    <row r="138" spans="7:8" ht="12.75">
      <c r="G138" s="40"/>
      <c r="H138" s="40"/>
    </row>
  </sheetData>
  <mergeCells count="21">
    <mergeCell ref="C61:D61"/>
    <mergeCell ref="C33:D33"/>
    <mergeCell ref="C57:D57"/>
    <mergeCell ref="C88:D88"/>
    <mergeCell ref="C38:D38"/>
    <mergeCell ref="C66:D66"/>
    <mergeCell ref="C67:D67"/>
    <mergeCell ref="C79:D79"/>
    <mergeCell ref="C59:D59"/>
    <mergeCell ref="C34:D34"/>
    <mergeCell ref="C53:D53"/>
    <mergeCell ref="C49:D49"/>
    <mergeCell ref="C14:D14"/>
    <mergeCell ref="C26:D26"/>
    <mergeCell ref="C30:D30"/>
    <mergeCell ref="C3:D3"/>
    <mergeCell ref="C43:D43"/>
    <mergeCell ref="C24:D24"/>
    <mergeCell ref="C36:D36"/>
    <mergeCell ref="C32:D32"/>
    <mergeCell ref="C4:D4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1"/>
  <rowBreaks count="1" manualBreakCount="1">
    <brk id="52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134"/>
  <sheetViews>
    <sheetView showGridLines="0" view="pageBreakPreview" zoomScale="80" zoomScaleSheetLayoutView="80" workbookViewId="0" topLeftCell="B73">
      <selection activeCell="E17" sqref="E17"/>
    </sheetView>
  </sheetViews>
  <sheetFormatPr defaultColWidth="9.140625" defaultRowHeight="12.75"/>
  <cols>
    <col min="1" max="1" width="9.140625" style="1" customWidth="1"/>
    <col min="2" max="2" width="4.140625" style="1" bestFit="1" customWidth="1"/>
    <col min="3" max="3" width="9.140625" style="1" customWidth="1"/>
    <col min="4" max="4" width="43.421875" style="1" bestFit="1" customWidth="1"/>
    <col min="5" max="5" width="9.8515625" style="43" customWidth="1"/>
    <col min="6" max="6" width="9.8515625" style="40" customWidth="1"/>
    <col min="7" max="7" width="10.57421875" style="42" customWidth="1"/>
    <col min="8" max="10" width="9.140625" style="1" customWidth="1"/>
    <col min="11" max="11" width="9.421875" style="1" bestFit="1" customWidth="1"/>
    <col min="12" max="16384" width="9.140625" style="1" customWidth="1"/>
  </cols>
  <sheetData>
    <row r="1" spans="2:7" s="31" customFormat="1" ht="15">
      <c r="B1" s="289"/>
      <c r="C1" s="290" t="s">
        <v>56</v>
      </c>
      <c r="D1" s="289"/>
      <c r="E1" s="312"/>
      <c r="F1" s="292"/>
      <c r="G1" s="292"/>
    </row>
    <row r="2" spans="2:7" ht="12.75" customHeight="1" thickBot="1">
      <c r="B2" s="306"/>
      <c r="C2" s="307"/>
      <c r="D2" s="306"/>
      <c r="E2" s="308"/>
      <c r="F2" s="308"/>
      <c r="G2" s="308" t="s">
        <v>199</v>
      </c>
    </row>
    <row r="3" spans="2:7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</row>
    <row r="4" spans="2:7" ht="12.75" customHeight="1">
      <c r="B4" s="233">
        <v>1</v>
      </c>
      <c r="C4" s="429" t="s">
        <v>119</v>
      </c>
      <c r="D4" s="429"/>
      <c r="E4" s="234">
        <f>E5+E11</f>
        <v>375940</v>
      </c>
      <c r="F4" s="234">
        <f>F5+F11</f>
        <v>546055</v>
      </c>
      <c r="G4" s="235">
        <f aca="true" t="shared" si="0" ref="G4:G11">F4-E4</f>
        <v>170115</v>
      </c>
    </row>
    <row r="5" spans="2:7" ht="12.75" customHeight="1">
      <c r="B5" s="236"/>
      <c r="C5" s="237" t="s">
        <v>0</v>
      </c>
      <c r="D5" s="237" t="s">
        <v>30</v>
      </c>
      <c r="E5" s="238">
        <f>E6+E7+E8+E9+E10</f>
        <v>375940</v>
      </c>
      <c r="F5" s="238">
        <f>F6+F7+F8+F9+F10</f>
        <v>546055</v>
      </c>
      <c r="G5" s="239">
        <f t="shared" si="0"/>
        <v>170115</v>
      </c>
    </row>
    <row r="6" spans="2:7" ht="12.75" customHeight="1">
      <c r="B6" s="236"/>
      <c r="C6" s="237"/>
      <c r="D6" s="240" t="s">
        <v>44</v>
      </c>
      <c r="E6" s="238">
        <v>374953</v>
      </c>
      <c r="F6" s="238">
        <v>544277</v>
      </c>
      <c r="G6" s="239">
        <f t="shared" si="0"/>
        <v>169324</v>
      </c>
    </row>
    <row r="7" spans="2:7" ht="12.75" customHeight="1">
      <c r="B7" s="236"/>
      <c r="C7" s="237"/>
      <c r="D7" s="240" t="s">
        <v>40</v>
      </c>
      <c r="E7" s="238">
        <v>8</v>
      </c>
      <c r="F7" s="238">
        <v>4</v>
      </c>
      <c r="G7" s="239">
        <f t="shared" si="0"/>
        <v>-4</v>
      </c>
    </row>
    <row r="8" spans="2:7" ht="12.75" customHeight="1">
      <c r="B8" s="236"/>
      <c r="C8" s="237"/>
      <c r="D8" s="240" t="s">
        <v>41</v>
      </c>
      <c r="E8" s="238">
        <v>1</v>
      </c>
      <c r="F8" s="238">
        <v>9</v>
      </c>
      <c r="G8" s="239">
        <f t="shared" si="0"/>
        <v>8</v>
      </c>
    </row>
    <row r="9" spans="2:7" ht="12.75" customHeight="1">
      <c r="B9" s="236"/>
      <c r="C9" s="237"/>
      <c r="D9" s="240" t="s">
        <v>42</v>
      </c>
      <c r="E9" s="238">
        <v>951</v>
      </c>
      <c r="F9" s="238">
        <v>1661</v>
      </c>
      <c r="G9" s="239">
        <f t="shared" si="0"/>
        <v>710</v>
      </c>
    </row>
    <row r="10" spans="2:7" ht="12.75" customHeight="1">
      <c r="B10" s="236"/>
      <c r="C10" s="237"/>
      <c r="D10" s="240" t="s">
        <v>43</v>
      </c>
      <c r="E10" s="238">
        <v>27</v>
      </c>
      <c r="F10" s="238">
        <v>104</v>
      </c>
      <c r="G10" s="239">
        <f t="shared" si="0"/>
        <v>77</v>
      </c>
    </row>
    <row r="11" spans="2:7" ht="12.75" customHeight="1">
      <c r="B11" s="236"/>
      <c r="C11" s="237"/>
      <c r="D11" s="237" t="s">
        <v>31</v>
      </c>
      <c r="E11" s="238">
        <v>0</v>
      </c>
      <c r="F11" s="238">
        <v>0</v>
      </c>
      <c r="G11" s="239">
        <f t="shared" si="0"/>
        <v>0</v>
      </c>
    </row>
    <row r="12" spans="2:7" ht="12.75" customHeight="1">
      <c r="B12" s="236"/>
      <c r="C12" s="237"/>
      <c r="D12" s="237"/>
      <c r="E12" s="238"/>
      <c r="F12" s="238"/>
      <c r="G12" s="239"/>
    </row>
    <row r="13" spans="2:7" ht="12.75" customHeight="1">
      <c r="B13" s="236"/>
      <c r="C13" s="237"/>
      <c r="D13" s="237"/>
      <c r="E13" s="238"/>
      <c r="F13" s="238"/>
      <c r="G13" s="242"/>
    </row>
    <row r="14" spans="2:7" ht="12.75" customHeight="1">
      <c r="B14" s="233">
        <v>2</v>
      </c>
      <c r="C14" s="429" t="s">
        <v>120</v>
      </c>
      <c r="D14" s="429"/>
      <c r="E14" s="243">
        <f>E15+E20</f>
        <v>413864</v>
      </c>
      <c r="F14" s="243">
        <f>F15+F20</f>
        <v>633786</v>
      </c>
      <c r="G14" s="235">
        <f>F14-E14</f>
        <v>219922</v>
      </c>
    </row>
    <row r="15" spans="2:7" ht="12.75" customHeight="1">
      <c r="B15" s="236"/>
      <c r="C15" s="237" t="s">
        <v>0</v>
      </c>
      <c r="D15" s="237" t="s">
        <v>32</v>
      </c>
      <c r="E15" s="238">
        <f>E16+E17+E18+E19</f>
        <v>413672</v>
      </c>
      <c r="F15" s="238">
        <f>F16+F17+F18+F19</f>
        <v>633723</v>
      </c>
      <c r="G15" s="239">
        <f>F15-E15</f>
        <v>220051</v>
      </c>
    </row>
    <row r="16" spans="2:7" ht="12.75" customHeight="1">
      <c r="B16" s="236"/>
      <c r="C16" s="237"/>
      <c r="D16" s="240" t="s">
        <v>34</v>
      </c>
      <c r="E16" s="238">
        <f>1972+733</f>
        <v>2705</v>
      </c>
      <c r="F16" s="238">
        <f>1961+519</f>
        <v>2480</v>
      </c>
      <c r="G16" s="239">
        <f aca="true" t="shared" si="1" ref="G16:G22">F16-E16</f>
        <v>-225</v>
      </c>
    </row>
    <row r="17" spans="2:7" ht="12.75" customHeight="1">
      <c r="B17" s="236"/>
      <c r="C17" s="237"/>
      <c r="D17" s="240" t="s">
        <v>35</v>
      </c>
      <c r="E17" s="238">
        <v>9887</v>
      </c>
      <c r="F17" s="238">
        <v>11517</v>
      </c>
      <c r="G17" s="239">
        <f t="shared" si="1"/>
        <v>1630</v>
      </c>
    </row>
    <row r="18" spans="2:7" ht="12.75" customHeight="1">
      <c r="B18" s="236"/>
      <c r="C18" s="237"/>
      <c r="D18" s="240" t="s">
        <v>52</v>
      </c>
      <c r="E18" s="238">
        <v>401051</v>
      </c>
      <c r="F18" s="238">
        <v>619699</v>
      </c>
      <c r="G18" s="239">
        <f t="shared" si="1"/>
        <v>218648</v>
      </c>
    </row>
    <row r="19" spans="2:7" ht="12.75" customHeight="1">
      <c r="B19" s="236"/>
      <c r="C19" s="237"/>
      <c r="D19" s="240" t="s">
        <v>37</v>
      </c>
      <c r="E19" s="238">
        <v>29</v>
      </c>
      <c r="F19" s="238">
        <v>27</v>
      </c>
      <c r="G19" s="239">
        <f t="shared" si="1"/>
        <v>-2</v>
      </c>
    </row>
    <row r="20" spans="2:7" ht="12.75" customHeight="1">
      <c r="B20" s="236"/>
      <c r="C20" s="237"/>
      <c r="D20" s="237" t="s">
        <v>33</v>
      </c>
      <c r="E20" s="238">
        <f>E21+E22</f>
        <v>192</v>
      </c>
      <c r="F20" s="238">
        <f>F21+F22</f>
        <v>63</v>
      </c>
      <c r="G20" s="239">
        <f t="shared" si="1"/>
        <v>-129</v>
      </c>
    </row>
    <row r="21" spans="2:7" ht="12.75" customHeight="1">
      <c r="B21" s="236"/>
      <c r="C21" s="237"/>
      <c r="D21" s="240" t="s">
        <v>38</v>
      </c>
      <c r="E21" s="238">
        <v>192</v>
      </c>
      <c r="F21" s="238">
        <v>63</v>
      </c>
      <c r="G21" s="239">
        <f t="shared" si="1"/>
        <v>-129</v>
      </c>
    </row>
    <row r="22" spans="2:7" ht="12.75" customHeight="1">
      <c r="B22" s="236"/>
      <c r="C22" s="237"/>
      <c r="D22" s="240" t="s">
        <v>74</v>
      </c>
      <c r="E22" s="238">
        <v>0</v>
      </c>
      <c r="F22" s="238">
        <v>0</v>
      </c>
      <c r="G22" s="239">
        <f t="shared" si="1"/>
        <v>0</v>
      </c>
    </row>
    <row r="23" spans="2:7" ht="12.75" customHeight="1">
      <c r="B23" s="236"/>
      <c r="C23" s="237"/>
      <c r="D23" s="355"/>
      <c r="E23" s="238"/>
      <c r="F23" s="238"/>
      <c r="G23" s="242"/>
    </row>
    <row r="24" spans="2:7" ht="12.75" customHeight="1">
      <c r="B24" s="233"/>
      <c r="C24" s="237"/>
      <c r="D24" s="237"/>
      <c r="E24" s="261"/>
      <c r="F24" s="356"/>
      <c r="G24" s="235"/>
    </row>
    <row r="25" spans="2:7" ht="12.75" customHeight="1">
      <c r="B25" s="244">
        <v>3</v>
      </c>
      <c r="C25" s="434" t="s">
        <v>121</v>
      </c>
      <c r="D25" s="434"/>
      <c r="E25" s="279">
        <f>E4-E14</f>
        <v>-37924</v>
      </c>
      <c r="F25" s="279">
        <f>F4-F14</f>
        <v>-87731</v>
      </c>
      <c r="G25" s="246">
        <f>F25-E25</f>
        <v>-49807</v>
      </c>
    </row>
    <row r="26" spans="2:7" ht="12.75" customHeight="1">
      <c r="B26" s="233"/>
      <c r="C26" s="247"/>
      <c r="D26" s="247"/>
      <c r="E26" s="261"/>
      <c r="F26" s="356"/>
      <c r="G26" s="235"/>
    </row>
    <row r="27" spans="2:7" ht="12.75" customHeight="1">
      <c r="B27" s="233">
        <v>4</v>
      </c>
      <c r="C27" s="430" t="s">
        <v>282</v>
      </c>
      <c r="D27" s="430"/>
      <c r="E27" s="357">
        <f>SUM(E28:E29)</f>
        <v>0</v>
      </c>
      <c r="F27" s="357">
        <f>SUM(F28:F29)</f>
        <v>873</v>
      </c>
      <c r="G27" s="235">
        <f>F27-E27</f>
        <v>873</v>
      </c>
    </row>
    <row r="28" spans="2:7" ht="12.75" customHeight="1">
      <c r="B28" s="236"/>
      <c r="C28" s="237"/>
      <c r="D28" s="237" t="s">
        <v>3</v>
      </c>
      <c r="E28" s="261">
        <v>0</v>
      </c>
      <c r="F28" s="356">
        <f>847-758</f>
        <v>89</v>
      </c>
      <c r="G28" s="239">
        <f aca="true" t="shared" si="2" ref="G28:G29">F28-E28</f>
        <v>89</v>
      </c>
    </row>
    <row r="29" spans="2:7" ht="12.75" customHeight="1">
      <c r="B29" s="236"/>
      <c r="C29" s="237"/>
      <c r="D29" s="237" t="s">
        <v>4</v>
      </c>
      <c r="E29" s="261">
        <v>0</v>
      </c>
      <c r="F29" s="356">
        <v>784</v>
      </c>
      <c r="G29" s="239">
        <f t="shared" si="2"/>
        <v>784</v>
      </c>
    </row>
    <row r="30" spans="2:7" ht="12.75" customHeight="1">
      <c r="B30" s="233"/>
      <c r="C30" s="237"/>
      <c r="D30" s="237"/>
      <c r="E30" s="261"/>
      <c r="F30" s="357"/>
      <c r="G30" s="235"/>
    </row>
    <row r="31" spans="2:7" ht="12.75" customHeight="1">
      <c r="B31" s="233">
        <v>5</v>
      </c>
      <c r="C31" s="433" t="s">
        <v>280</v>
      </c>
      <c r="D31" s="433"/>
      <c r="E31" s="258">
        <v>24896</v>
      </c>
      <c r="F31" s="258">
        <f>SUM(F32:F32)</f>
        <v>-126412</v>
      </c>
      <c r="G31" s="235">
        <f>F31-E31</f>
        <v>-151308</v>
      </c>
    </row>
    <row r="32" spans="2:7" ht="12.75" customHeight="1">
      <c r="B32" s="236"/>
      <c r="C32" s="237"/>
      <c r="D32" s="298" t="s">
        <v>263</v>
      </c>
      <c r="E32" s="261">
        <v>0</v>
      </c>
      <c r="F32" s="238">
        <f>-115915-10497</f>
        <v>-126412</v>
      </c>
      <c r="G32" s="239">
        <f aca="true" t="shared" si="3" ref="G32">F32-E32</f>
        <v>-126412</v>
      </c>
    </row>
    <row r="33" spans="2:7" ht="12.75" customHeight="1">
      <c r="B33" s="358"/>
      <c r="C33" s="237"/>
      <c r="D33" s="237"/>
      <c r="E33" s="261"/>
      <c r="F33" s="356"/>
      <c r="G33" s="329"/>
    </row>
    <row r="34" spans="2:7" s="3" customFormat="1" ht="12.75" customHeight="1">
      <c r="B34" s="244">
        <v>6</v>
      </c>
      <c r="C34" s="434" t="s">
        <v>123</v>
      </c>
      <c r="D34" s="434"/>
      <c r="E34" s="279">
        <f>E25+E27+E31</f>
        <v>-13028</v>
      </c>
      <c r="F34" s="279">
        <f>F25+F27+F31</f>
        <v>-213270</v>
      </c>
      <c r="G34" s="246">
        <f>F34-E34</f>
        <v>-200242</v>
      </c>
    </row>
    <row r="35" spans="2:8" ht="12.75" customHeight="1">
      <c r="B35" s="358"/>
      <c r="C35" s="433" t="s">
        <v>5</v>
      </c>
      <c r="D35" s="433"/>
      <c r="E35" s="238">
        <f>E4+E28+E32</f>
        <v>375940</v>
      </c>
      <c r="F35" s="238">
        <f>F4+F28+F32</f>
        <v>419732</v>
      </c>
      <c r="G35" s="239">
        <f aca="true" t="shared" si="4" ref="G35:G36">F35-E35</f>
        <v>43792</v>
      </c>
      <c r="H35" s="2"/>
    </row>
    <row r="36" spans="2:7" ht="12.75" customHeight="1">
      <c r="B36" s="251"/>
      <c r="C36" s="436" t="s">
        <v>6</v>
      </c>
      <c r="D36" s="436"/>
      <c r="E36" s="252">
        <f>E14-E29-E31</f>
        <v>388968</v>
      </c>
      <c r="F36" s="252">
        <f>F14-F29</f>
        <v>633002</v>
      </c>
      <c r="G36" s="239">
        <f t="shared" si="4"/>
        <v>244034</v>
      </c>
    </row>
    <row r="37" spans="2:7" ht="12.75" customHeight="1" thickBot="1">
      <c r="B37" s="332"/>
      <c r="C37" s="332"/>
      <c r="D37" s="332"/>
      <c r="E37" s="334"/>
      <c r="F37" s="335"/>
      <c r="G37" s="335"/>
    </row>
    <row r="38" spans="2:7" ht="26.25" thickTop="1">
      <c r="B38" s="230"/>
      <c r="C38" s="431" t="s">
        <v>155</v>
      </c>
      <c r="D38" s="431"/>
      <c r="E38" s="319"/>
      <c r="F38" s="319"/>
      <c r="G38" s="320" t="s">
        <v>205</v>
      </c>
    </row>
    <row r="39" spans="2:7" ht="12.75" customHeight="1">
      <c r="B39" s="257">
        <v>7</v>
      </c>
      <c r="C39" s="271" t="s">
        <v>133</v>
      </c>
      <c r="D39" s="271"/>
      <c r="E39" s="196"/>
      <c r="F39" s="321"/>
      <c r="G39" s="284">
        <f>G45-G40+G63</f>
        <v>-87776</v>
      </c>
    </row>
    <row r="40" spans="2:7" ht="12.75" customHeight="1">
      <c r="B40" s="259">
        <v>8</v>
      </c>
      <c r="C40" s="432" t="s">
        <v>143</v>
      </c>
      <c r="D40" s="432"/>
      <c r="E40" s="196"/>
      <c r="F40" s="321"/>
      <c r="G40" s="260">
        <f>G41+G42+G43</f>
        <v>0</v>
      </c>
    </row>
    <row r="41" spans="2:7" ht="24.75" customHeight="1">
      <c r="B41" s="236"/>
      <c r="C41" s="262"/>
      <c r="D41" s="346" t="s">
        <v>101</v>
      </c>
      <c r="E41" s="347"/>
      <c r="F41" s="348"/>
      <c r="G41" s="261">
        <v>0</v>
      </c>
    </row>
    <row r="42" spans="2:7" ht="12.75" customHeight="1">
      <c r="B42" s="236"/>
      <c r="C42" s="262"/>
      <c r="D42" s="162" t="s">
        <v>102</v>
      </c>
      <c r="E42" s="196"/>
      <c r="F42" s="321"/>
      <c r="G42" s="261">
        <v>0</v>
      </c>
    </row>
    <row r="43" spans="2:7" ht="24.75" customHeight="1">
      <c r="B43" s="236"/>
      <c r="C43" s="262"/>
      <c r="D43" s="346" t="s">
        <v>114</v>
      </c>
      <c r="E43" s="347"/>
      <c r="F43" s="348"/>
      <c r="G43" s="261">
        <v>0</v>
      </c>
    </row>
    <row r="44" spans="2:7" ht="12.75" customHeight="1">
      <c r="B44" s="236"/>
      <c r="C44" s="162"/>
      <c r="D44" s="162"/>
      <c r="E44" s="196"/>
      <c r="F44" s="321"/>
      <c r="G44" s="261"/>
    </row>
    <row r="45" spans="2:7" ht="12.75" customHeight="1">
      <c r="B45" s="259">
        <v>9</v>
      </c>
      <c r="C45" s="432" t="s">
        <v>142</v>
      </c>
      <c r="D45" s="432"/>
      <c r="E45" s="196"/>
      <c r="F45" s="321"/>
      <c r="G45" s="260">
        <f>G46+G47+G48</f>
        <v>0</v>
      </c>
    </row>
    <row r="46" spans="2:7" ht="12.75" customHeight="1">
      <c r="B46" s="236"/>
      <c r="C46" s="162"/>
      <c r="D46" s="162" t="s">
        <v>22</v>
      </c>
      <c r="E46" s="196"/>
      <c r="F46" s="321"/>
      <c r="G46" s="261">
        <v>0</v>
      </c>
    </row>
    <row r="47" spans="2:10" ht="12.75" customHeight="1">
      <c r="B47" s="236"/>
      <c r="C47" s="162"/>
      <c r="D47" s="162" t="s">
        <v>106</v>
      </c>
      <c r="E47" s="196"/>
      <c r="F47" s="321"/>
      <c r="G47" s="261">
        <v>0</v>
      </c>
      <c r="J47" s="2"/>
    </row>
    <row r="48" spans="2:7" ht="12.75" customHeight="1">
      <c r="B48" s="236"/>
      <c r="C48" s="162"/>
      <c r="D48" s="162" t="s">
        <v>107</v>
      </c>
      <c r="E48" s="196"/>
      <c r="F48" s="321"/>
      <c r="G48" s="261">
        <v>0</v>
      </c>
    </row>
    <row r="49" spans="2:8" ht="12.75" customHeight="1">
      <c r="B49" s="236"/>
      <c r="C49" s="162"/>
      <c r="D49" s="162"/>
      <c r="E49" s="196"/>
      <c r="F49" s="321"/>
      <c r="G49" s="261"/>
      <c r="H49" s="2"/>
    </row>
    <row r="50" spans="2:7" ht="12.75" customHeight="1">
      <c r="B50" s="257">
        <v>10</v>
      </c>
      <c r="C50" s="271" t="s">
        <v>124</v>
      </c>
      <c r="D50" s="271"/>
      <c r="E50" s="196"/>
      <c r="F50" s="321"/>
      <c r="G50" s="284">
        <f>G51-G55</f>
        <v>-104</v>
      </c>
    </row>
    <row r="51" spans="2:7" ht="12.75" customHeight="1">
      <c r="B51" s="259">
        <v>11</v>
      </c>
      <c r="C51" s="432" t="s">
        <v>141</v>
      </c>
      <c r="D51" s="432"/>
      <c r="E51" s="196"/>
      <c r="F51" s="321"/>
      <c r="G51" s="260">
        <f>G52+G53</f>
        <v>0</v>
      </c>
    </row>
    <row r="52" spans="2:7" ht="12.75" customHeight="1">
      <c r="B52" s="259"/>
      <c r="C52" s="162"/>
      <c r="D52" s="162" t="s">
        <v>115</v>
      </c>
      <c r="E52" s="196"/>
      <c r="F52" s="321"/>
      <c r="G52" s="261">
        <v>0</v>
      </c>
    </row>
    <row r="53" spans="2:7" ht="12.75" customHeight="1">
      <c r="B53" s="280"/>
      <c r="C53" s="264"/>
      <c r="D53" s="264" t="s">
        <v>109</v>
      </c>
      <c r="E53" s="265"/>
      <c r="F53" s="322"/>
      <c r="G53" s="266">
        <v>0</v>
      </c>
    </row>
    <row r="54" spans="2:7" ht="12.75" customHeight="1">
      <c r="B54" s="323"/>
      <c r="C54" s="268"/>
      <c r="D54" s="268"/>
      <c r="E54" s="269"/>
      <c r="F54" s="324"/>
      <c r="G54" s="270"/>
    </row>
    <row r="55" spans="2:7" ht="12.75" customHeight="1">
      <c r="B55" s="259">
        <v>12</v>
      </c>
      <c r="C55" s="432" t="s">
        <v>140</v>
      </c>
      <c r="D55" s="432"/>
      <c r="E55" s="196"/>
      <c r="F55" s="321"/>
      <c r="G55" s="260">
        <f>G56+G57</f>
        <v>104</v>
      </c>
    </row>
    <row r="56" spans="2:7" ht="26.25" customHeight="1">
      <c r="B56" s="236"/>
      <c r="C56" s="162"/>
      <c r="D56" s="346" t="s">
        <v>110</v>
      </c>
      <c r="E56" s="347"/>
      <c r="F56" s="348"/>
      <c r="G56" s="261">
        <v>0</v>
      </c>
    </row>
    <row r="57" spans="2:7" ht="12.75" customHeight="1">
      <c r="B57" s="236"/>
      <c r="C57" s="162"/>
      <c r="D57" s="162" t="s">
        <v>111</v>
      </c>
      <c r="E57" s="196"/>
      <c r="F57" s="321"/>
      <c r="G57" s="261">
        <v>104</v>
      </c>
    </row>
    <row r="58" spans="2:7" ht="12.75" customHeight="1">
      <c r="B58" s="236"/>
      <c r="C58" s="262"/>
      <c r="D58" s="162"/>
      <c r="E58" s="196"/>
      <c r="F58" s="321"/>
      <c r="G58" s="261"/>
    </row>
    <row r="59" spans="2:7" ht="12.75" customHeight="1">
      <c r="B59" s="257">
        <v>13</v>
      </c>
      <c r="C59" s="430" t="s">
        <v>125</v>
      </c>
      <c r="D59" s="430"/>
      <c r="E59" s="196"/>
      <c r="F59" s="321"/>
      <c r="G59" s="284">
        <f>F27+758</f>
        <v>1631</v>
      </c>
    </row>
    <row r="60" spans="2:7" ht="12.75" customHeight="1">
      <c r="B60" s="236"/>
      <c r="C60" s="262"/>
      <c r="D60" s="262"/>
      <c r="E60" s="196"/>
      <c r="F60" s="321"/>
      <c r="G60" s="261"/>
    </row>
    <row r="61" spans="2:7" ht="12.75" customHeight="1">
      <c r="B61" s="257">
        <v>14</v>
      </c>
      <c r="C61" s="433" t="s">
        <v>281</v>
      </c>
      <c r="D61" s="433"/>
      <c r="E61" s="196"/>
      <c r="F61" s="321"/>
      <c r="G61" s="284">
        <f>F31</f>
        <v>-126412</v>
      </c>
    </row>
    <row r="62" spans="2:7" ht="12.75" customHeight="1">
      <c r="B62" s="236"/>
      <c r="C62" s="262"/>
      <c r="D62" s="162"/>
      <c r="E62" s="196"/>
      <c r="F62" s="321"/>
      <c r="G62" s="261"/>
    </row>
    <row r="63" spans="2:7" ht="12.75" customHeight="1">
      <c r="B63" s="259">
        <v>15</v>
      </c>
      <c r="C63" s="432" t="s">
        <v>126</v>
      </c>
      <c r="D63" s="432"/>
      <c r="E63" s="196"/>
      <c r="F63" s="196"/>
      <c r="G63" s="260">
        <v>-87776</v>
      </c>
    </row>
    <row r="64" spans="2:7" ht="12.75" customHeight="1">
      <c r="B64" s="236"/>
      <c r="C64" s="264"/>
      <c r="D64" s="264"/>
      <c r="E64" s="265"/>
      <c r="F64" s="322"/>
      <c r="G64" s="266"/>
    </row>
    <row r="65" spans="2:7" ht="12.75" customHeight="1">
      <c r="B65" s="244">
        <v>16</v>
      </c>
      <c r="C65" s="275" t="s">
        <v>127</v>
      </c>
      <c r="D65" s="276"/>
      <c r="E65" s="300"/>
      <c r="F65" s="325"/>
      <c r="G65" s="279">
        <f>G39-G50+G59+G61</f>
        <v>-212453</v>
      </c>
    </row>
    <row r="66" spans="2:7" ht="12.75" customHeight="1">
      <c r="B66" s="280">
        <v>17</v>
      </c>
      <c r="C66" s="281" t="s">
        <v>128</v>
      </c>
      <c r="D66" s="281"/>
      <c r="E66" s="265"/>
      <c r="F66" s="322"/>
      <c r="G66" s="338">
        <f>G65-F34</f>
        <v>817</v>
      </c>
    </row>
    <row r="67" spans="2:7" ht="12.75" customHeight="1" thickBot="1">
      <c r="B67" s="332"/>
      <c r="C67" s="332"/>
      <c r="D67" s="333"/>
      <c r="E67" s="334"/>
      <c r="F67" s="334"/>
      <c r="G67" s="335"/>
    </row>
    <row r="68" spans="2:8" ht="26.25" customHeight="1" thickTop="1">
      <c r="B68" s="230"/>
      <c r="C68" s="431" t="s">
        <v>149</v>
      </c>
      <c r="D68" s="431"/>
      <c r="E68" s="319"/>
      <c r="F68" s="319"/>
      <c r="G68" s="320" t="s">
        <v>205</v>
      </c>
      <c r="H68" s="40"/>
    </row>
    <row r="69" spans="2:7" ht="12.75" customHeight="1">
      <c r="B69" s="233">
        <v>18</v>
      </c>
      <c r="C69" s="429" t="s">
        <v>135</v>
      </c>
      <c r="D69" s="429"/>
      <c r="E69" s="196"/>
      <c r="F69" s="196"/>
      <c r="G69" s="258">
        <f>F34*(-1)</f>
        <v>213270</v>
      </c>
    </row>
    <row r="70" spans="2:7" ht="12.75" customHeight="1">
      <c r="B70" s="236"/>
      <c r="C70" s="262"/>
      <c r="D70" s="262"/>
      <c r="E70" s="196"/>
      <c r="F70" s="196"/>
      <c r="G70" s="283"/>
    </row>
    <row r="71" spans="2:7" ht="12.75" customHeight="1">
      <c r="B71" s="257">
        <v>19</v>
      </c>
      <c r="C71" s="271" t="s">
        <v>129</v>
      </c>
      <c r="D71" s="339"/>
      <c r="E71" s="196"/>
      <c r="F71" s="326"/>
      <c r="G71" s="284">
        <f>G72+G73+G76+G79</f>
        <v>-213341</v>
      </c>
    </row>
    <row r="72" spans="2:7" ht="12.75" customHeight="1">
      <c r="B72" s="236"/>
      <c r="C72" s="240"/>
      <c r="D72" s="162" t="s">
        <v>68</v>
      </c>
      <c r="E72" s="196"/>
      <c r="F72" s="326"/>
      <c r="G72" s="261">
        <f>G63</f>
        <v>-87776</v>
      </c>
    </row>
    <row r="73" spans="2:7" ht="12.75" customHeight="1">
      <c r="B73" s="236"/>
      <c r="C73" s="262"/>
      <c r="D73" s="162" t="s">
        <v>23</v>
      </c>
      <c r="E73" s="196"/>
      <c r="F73" s="326"/>
      <c r="G73" s="261">
        <f>G74-G75</f>
        <v>0</v>
      </c>
    </row>
    <row r="74" spans="2:7" ht="12.75" customHeight="1">
      <c r="B74" s="236"/>
      <c r="C74" s="262"/>
      <c r="D74" s="162" t="s">
        <v>78</v>
      </c>
      <c r="E74" s="196"/>
      <c r="F74" s="326"/>
      <c r="G74" s="261">
        <f>G47</f>
        <v>0</v>
      </c>
    </row>
    <row r="75" spans="2:7" ht="12.75" customHeight="1">
      <c r="B75" s="233"/>
      <c r="C75" s="262"/>
      <c r="D75" s="162" t="s">
        <v>116</v>
      </c>
      <c r="E75" s="196"/>
      <c r="F75" s="326"/>
      <c r="G75" s="261">
        <f>G42</f>
        <v>0</v>
      </c>
    </row>
    <row r="76" spans="2:7" ht="12.75" customHeight="1">
      <c r="B76" s="236"/>
      <c r="C76" s="262"/>
      <c r="D76" s="162" t="s">
        <v>24</v>
      </c>
      <c r="E76" s="196"/>
      <c r="F76" s="326"/>
      <c r="G76" s="261">
        <f>G77-G78</f>
        <v>-126412</v>
      </c>
    </row>
    <row r="77" spans="2:7" ht="12.75" customHeight="1">
      <c r="B77" s="236"/>
      <c r="C77" s="262"/>
      <c r="D77" s="162" t="s">
        <v>117</v>
      </c>
      <c r="E77" s="196"/>
      <c r="F77" s="326"/>
      <c r="G77" s="261">
        <f>G48</f>
        <v>0</v>
      </c>
    </row>
    <row r="78" spans="2:7" ht="12.75" customHeight="1">
      <c r="B78" s="236"/>
      <c r="C78" s="262"/>
      <c r="D78" s="162" t="s">
        <v>118</v>
      </c>
      <c r="E78" s="196"/>
      <c r="F78" s="326"/>
      <c r="G78" s="261">
        <f>G43-F32</f>
        <v>126412</v>
      </c>
    </row>
    <row r="79" spans="2:7" ht="12.75" customHeight="1">
      <c r="B79" s="236"/>
      <c r="C79" s="162"/>
      <c r="D79" s="162" t="s">
        <v>80</v>
      </c>
      <c r="E79" s="196"/>
      <c r="F79" s="326"/>
      <c r="G79" s="261">
        <f>F28+758</f>
        <v>847</v>
      </c>
    </row>
    <row r="80" spans="2:7" ht="12.75" customHeight="1">
      <c r="B80" s="236"/>
      <c r="C80" s="162"/>
      <c r="D80" s="162"/>
      <c r="E80" s="196"/>
      <c r="F80" s="326"/>
      <c r="G80" s="258"/>
    </row>
    <row r="81" spans="2:7" ht="12.75" customHeight="1">
      <c r="B81" s="257">
        <v>20</v>
      </c>
      <c r="C81" s="430" t="s">
        <v>130</v>
      </c>
      <c r="D81" s="430"/>
      <c r="E81" s="196"/>
      <c r="F81" s="326"/>
      <c r="G81" s="284">
        <f>G82+G83+G86+G87+G88</f>
        <v>784</v>
      </c>
    </row>
    <row r="82" spans="2:7" ht="12.75" customHeight="1">
      <c r="B82" s="236"/>
      <c r="C82" s="162"/>
      <c r="D82" s="162" t="s">
        <v>81</v>
      </c>
      <c r="E82" s="286"/>
      <c r="F82" s="340"/>
      <c r="G82" s="261">
        <f>F29</f>
        <v>784</v>
      </c>
    </row>
    <row r="83" spans="2:7" ht="12.75" customHeight="1">
      <c r="B83" s="236"/>
      <c r="C83" s="162"/>
      <c r="D83" s="162" t="s">
        <v>82</v>
      </c>
      <c r="E83" s="196"/>
      <c r="F83" s="326"/>
      <c r="G83" s="261">
        <f>G84+G85</f>
        <v>0</v>
      </c>
    </row>
    <row r="84" spans="2:7" ht="12.75" customHeight="1">
      <c r="B84" s="236"/>
      <c r="C84" s="162"/>
      <c r="D84" s="162" t="s">
        <v>95</v>
      </c>
      <c r="E84" s="196"/>
      <c r="F84" s="326"/>
      <c r="G84" s="261">
        <v>0</v>
      </c>
    </row>
    <row r="85" spans="2:7" ht="12.75" customHeight="1">
      <c r="B85" s="236"/>
      <c r="C85" s="162"/>
      <c r="D85" s="162" t="s">
        <v>96</v>
      </c>
      <c r="E85" s="196"/>
      <c r="F85" s="326"/>
      <c r="G85" s="261">
        <v>0</v>
      </c>
    </row>
    <row r="86" spans="2:7" ht="12.75" customHeight="1">
      <c r="B86" s="236"/>
      <c r="C86" s="162"/>
      <c r="D86" s="162" t="s">
        <v>83</v>
      </c>
      <c r="E86" s="196"/>
      <c r="F86" s="326"/>
      <c r="G86" s="261">
        <v>0</v>
      </c>
    </row>
    <row r="87" spans="2:7" ht="12.75" customHeight="1">
      <c r="B87" s="236"/>
      <c r="C87" s="162"/>
      <c r="D87" s="162" t="s">
        <v>84</v>
      </c>
      <c r="E87" s="196"/>
      <c r="F87" s="326"/>
      <c r="G87" s="261">
        <v>0</v>
      </c>
    </row>
    <row r="88" spans="2:7" ht="12.75" customHeight="1">
      <c r="B88" s="236"/>
      <c r="C88" s="162"/>
      <c r="D88" s="162" t="s">
        <v>85</v>
      </c>
      <c r="E88" s="196"/>
      <c r="F88" s="326"/>
      <c r="G88" s="261">
        <v>0</v>
      </c>
    </row>
    <row r="89" spans="2:7" ht="12.75" customHeight="1">
      <c r="B89" s="236"/>
      <c r="C89" s="162"/>
      <c r="D89" s="162"/>
      <c r="E89" s="196"/>
      <c r="F89" s="326"/>
      <c r="G89" s="261"/>
    </row>
    <row r="90" spans="2:7" ht="12.75" customHeight="1">
      <c r="B90" s="257">
        <v>21</v>
      </c>
      <c r="C90" s="430" t="s">
        <v>134</v>
      </c>
      <c r="D90" s="430"/>
      <c r="E90" s="196"/>
      <c r="F90" s="326"/>
      <c r="G90" s="284">
        <f>G91+G92</f>
        <v>-853</v>
      </c>
    </row>
    <row r="91" spans="2:7" ht="12.75" customHeight="1">
      <c r="B91" s="236"/>
      <c r="C91" s="162"/>
      <c r="D91" s="162" t="s">
        <v>159</v>
      </c>
      <c r="E91" s="196"/>
      <c r="F91" s="326"/>
      <c r="G91" s="261">
        <f>-G66</f>
        <v>-817</v>
      </c>
    </row>
    <row r="92" spans="2:7" ht="12.75" customHeight="1">
      <c r="B92" s="236"/>
      <c r="C92" s="162"/>
      <c r="D92" s="162" t="s">
        <v>160</v>
      </c>
      <c r="E92" s="196"/>
      <c r="F92" s="326"/>
      <c r="G92" s="261">
        <f>G94-(G69+G71+G81)-G91</f>
        <v>-36</v>
      </c>
    </row>
    <row r="93" spans="2:7" ht="12.75" customHeight="1">
      <c r="B93" s="236"/>
      <c r="C93" s="162"/>
      <c r="D93" s="162"/>
      <c r="E93" s="196"/>
      <c r="F93" s="326"/>
      <c r="G93" s="261"/>
    </row>
    <row r="94" spans="2:7" ht="12.75" customHeight="1">
      <c r="B94" s="244">
        <v>22</v>
      </c>
      <c r="C94" s="275" t="s">
        <v>176</v>
      </c>
      <c r="D94" s="275"/>
      <c r="E94" s="277"/>
      <c r="F94" s="341"/>
      <c r="G94" s="279">
        <v>-140</v>
      </c>
    </row>
    <row r="95" spans="5:7" ht="12.75" customHeight="1">
      <c r="E95" s="1"/>
      <c r="F95" s="1"/>
      <c r="G95" s="1"/>
    </row>
    <row r="96" spans="5:7" ht="12.75" customHeight="1">
      <c r="E96" s="1"/>
      <c r="F96" s="1"/>
      <c r="G96" s="1"/>
    </row>
    <row r="97" spans="5:7" ht="12.75" customHeight="1">
      <c r="E97" s="1"/>
      <c r="F97" s="1"/>
      <c r="G97" s="1"/>
    </row>
    <row r="98" spans="5:7" ht="12.75" customHeight="1">
      <c r="E98" s="1"/>
      <c r="F98" s="1"/>
      <c r="G98" s="1"/>
    </row>
    <row r="99" spans="5:7" ht="12.75" customHeight="1">
      <c r="E99" s="1"/>
      <c r="F99" s="1"/>
      <c r="G99" s="1"/>
    </row>
    <row r="100" spans="5:7" ht="12.75" customHeight="1">
      <c r="E100" s="1"/>
      <c r="F100" s="1"/>
      <c r="G100" s="1"/>
    </row>
    <row r="101" spans="5:7" ht="12.75" customHeight="1">
      <c r="E101" s="1"/>
      <c r="F101" s="1"/>
      <c r="G101" s="1"/>
    </row>
    <row r="102" spans="5:7" ht="12.75" customHeight="1">
      <c r="E102" s="1"/>
      <c r="F102" s="1"/>
      <c r="G102" s="1"/>
    </row>
    <row r="103" spans="5:7" ht="12.75" customHeight="1">
      <c r="E103" s="1"/>
      <c r="F103" s="1"/>
      <c r="G103" s="1"/>
    </row>
    <row r="104" spans="5:7" ht="12.75" customHeight="1">
      <c r="E104" s="1"/>
      <c r="F104" s="1"/>
      <c r="G104" s="1"/>
    </row>
    <row r="105" spans="5:7" ht="12.75" customHeight="1">
      <c r="E105" s="1"/>
      <c r="F105" s="1"/>
      <c r="G105" s="1"/>
    </row>
    <row r="106" spans="5:7" ht="12.75" customHeight="1">
      <c r="E106" s="1"/>
      <c r="F106" s="1"/>
      <c r="G106" s="1"/>
    </row>
    <row r="107" spans="5:7" ht="12.75" customHeight="1">
      <c r="E107" s="1"/>
      <c r="F107" s="1"/>
      <c r="G107" s="1"/>
    </row>
    <row r="108" spans="5:7" ht="12.75" customHeight="1">
      <c r="E108" s="1"/>
      <c r="F108" s="1"/>
      <c r="G108" s="1"/>
    </row>
    <row r="109" spans="5:7" ht="12.75" customHeight="1">
      <c r="E109" s="1"/>
      <c r="F109" s="1"/>
      <c r="G109" s="1"/>
    </row>
    <row r="110" spans="5:7" ht="12.75" customHeight="1">
      <c r="E110" s="1"/>
      <c r="F110" s="1"/>
      <c r="G110" s="1"/>
    </row>
    <row r="111" spans="5:7" ht="12.75" customHeight="1">
      <c r="E111" s="1"/>
      <c r="F111" s="1"/>
      <c r="G111" s="1"/>
    </row>
    <row r="112" spans="5:7" ht="12.75" customHeight="1">
      <c r="E112" s="1"/>
      <c r="F112" s="1"/>
      <c r="G112" s="1"/>
    </row>
    <row r="113" spans="5:7" ht="12.75" customHeight="1">
      <c r="E113" s="1"/>
      <c r="F113" s="1"/>
      <c r="G113" s="1"/>
    </row>
    <row r="114" spans="5:7" ht="12.75" customHeight="1">
      <c r="E114" s="1"/>
      <c r="F114" s="1"/>
      <c r="G114" s="1"/>
    </row>
    <row r="115" spans="5:7" ht="12.75" customHeight="1">
      <c r="E115" s="1"/>
      <c r="F115" s="1"/>
      <c r="G115" s="1"/>
    </row>
    <row r="116" spans="5:7" ht="12.75" customHeight="1">
      <c r="E116" s="1"/>
      <c r="F116" s="1"/>
      <c r="G116" s="1"/>
    </row>
    <row r="117" spans="5:7" ht="12.75" customHeight="1">
      <c r="E117" s="1"/>
      <c r="F117" s="1"/>
      <c r="G117" s="1"/>
    </row>
    <row r="118" spans="5:7" ht="12.75" customHeight="1">
      <c r="E118" s="1"/>
      <c r="F118" s="1"/>
      <c r="G118" s="1"/>
    </row>
    <row r="119" spans="5:7" ht="12.75" customHeight="1">
      <c r="E119" s="1"/>
      <c r="F119" s="1"/>
      <c r="G119" s="1"/>
    </row>
    <row r="120" spans="5:7" ht="12.75" customHeight="1">
      <c r="E120" s="1"/>
      <c r="F120" s="1"/>
      <c r="G120" s="1"/>
    </row>
    <row r="121" spans="5:7" ht="12.75" customHeight="1">
      <c r="E121" s="1"/>
      <c r="F121" s="1"/>
      <c r="G121" s="1"/>
    </row>
    <row r="122" spans="5:7" ht="12.75" customHeight="1">
      <c r="E122" s="1"/>
      <c r="F122" s="1"/>
      <c r="G122" s="1"/>
    </row>
    <row r="123" ht="12.75" customHeight="1">
      <c r="G123" s="40"/>
    </row>
    <row r="124" ht="12.75" customHeight="1">
      <c r="G124" s="40"/>
    </row>
    <row r="125" ht="12.75" customHeight="1">
      <c r="G125" s="40"/>
    </row>
    <row r="126" ht="12.75" customHeight="1">
      <c r="G126" s="40"/>
    </row>
    <row r="127" ht="12.75" customHeight="1">
      <c r="G127" s="40"/>
    </row>
    <row r="128" ht="12.75" customHeight="1">
      <c r="G128" s="40"/>
    </row>
    <row r="129" ht="12.75" customHeight="1">
      <c r="G129" s="40"/>
    </row>
    <row r="130" ht="12.75" customHeight="1">
      <c r="G130" s="40"/>
    </row>
    <row r="131" ht="12.75" customHeight="1">
      <c r="G131" s="40"/>
    </row>
    <row r="132" ht="12.75" customHeight="1">
      <c r="G132" s="40"/>
    </row>
    <row r="133" ht="12.75">
      <c r="G133" s="40"/>
    </row>
    <row r="134" ht="12.75">
      <c r="G134" s="40"/>
    </row>
  </sheetData>
  <mergeCells count="21">
    <mergeCell ref="C3:D3"/>
    <mergeCell ref="C31:D31"/>
    <mergeCell ref="C25:D25"/>
    <mergeCell ref="C27:D27"/>
    <mergeCell ref="C40:D40"/>
    <mergeCell ref="C36:D36"/>
    <mergeCell ref="C68:D68"/>
    <mergeCell ref="C14:D14"/>
    <mergeCell ref="C55:D55"/>
    <mergeCell ref="C4:D4"/>
    <mergeCell ref="C90:D90"/>
    <mergeCell ref="C81:D81"/>
    <mergeCell ref="C34:D34"/>
    <mergeCell ref="C59:D59"/>
    <mergeCell ref="C45:D45"/>
    <mergeCell ref="C69:D69"/>
    <mergeCell ref="C63:D63"/>
    <mergeCell ref="C38:D38"/>
    <mergeCell ref="C61:D61"/>
    <mergeCell ref="C51:D51"/>
    <mergeCell ref="C35:D35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7" r:id="rId1"/>
  <rowBreaks count="1" manualBreakCount="1">
    <brk id="53" min="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135"/>
  <sheetViews>
    <sheetView showGridLines="0" view="pageBreakPreview" zoomScale="80" zoomScaleSheetLayoutView="80" workbookViewId="0" topLeftCell="A61">
      <selection activeCell="E17" sqref="E17"/>
    </sheetView>
  </sheetViews>
  <sheetFormatPr defaultColWidth="9.140625" defaultRowHeight="12.75"/>
  <cols>
    <col min="1" max="1" width="9.140625" style="3" customWidth="1"/>
    <col min="2" max="2" width="4.140625" style="3" bestFit="1" customWidth="1"/>
    <col min="3" max="3" width="9.140625" style="3" customWidth="1"/>
    <col min="4" max="4" width="43.421875" style="3" bestFit="1" customWidth="1"/>
    <col min="5" max="5" width="9.8515625" style="43" customWidth="1"/>
    <col min="6" max="6" width="9.8515625" style="64" customWidth="1"/>
    <col min="7" max="8" width="10.57421875" style="42" customWidth="1"/>
    <col min="9" max="16384" width="9.140625" style="3" customWidth="1"/>
  </cols>
  <sheetData>
    <row r="1" spans="2:8" s="32" customFormat="1" ht="15">
      <c r="B1" s="359"/>
      <c r="C1" s="290" t="s">
        <v>57</v>
      </c>
      <c r="D1" s="289"/>
      <c r="E1" s="312"/>
      <c r="F1" s="360"/>
      <c r="G1" s="292"/>
      <c r="H1" s="36"/>
    </row>
    <row r="2" spans="2:8" ht="12.75" customHeight="1" thickBot="1">
      <c r="B2" s="306"/>
      <c r="C2" s="307"/>
      <c r="D2" s="306"/>
      <c r="E2" s="308"/>
      <c r="F2" s="361"/>
      <c r="G2" s="308" t="s">
        <v>199</v>
      </c>
      <c r="H2" s="74"/>
    </row>
    <row r="3" spans="2:8" ht="39" thickTop="1">
      <c r="B3" s="309"/>
      <c r="C3" s="437" t="s">
        <v>136</v>
      </c>
      <c r="D3" s="437"/>
      <c r="E3" s="231" t="s">
        <v>204</v>
      </c>
      <c r="F3" s="231" t="s">
        <v>205</v>
      </c>
      <c r="G3" s="232" t="s">
        <v>206</v>
      </c>
      <c r="H3" s="107"/>
    </row>
    <row r="4" spans="2:8" ht="12.75" customHeight="1">
      <c r="B4" s="233">
        <v>1</v>
      </c>
      <c r="C4" s="429" t="s">
        <v>119</v>
      </c>
      <c r="D4" s="429"/>
      <c r="E4" s="234">
        <f>E5+E11</f>
        <v>19658</v>
      </c>
      <c r="F4" s="234">
        <f>F5+F11</f>
        <v>20040</v>
      </c>
      <c r="G4" s="235">
        <f aca="true" t="shared" si="0" ref="G4:G11">F4-E4</f>
        <v>382</v>
      </c>
      <c r="H4" s="78"/>
    </row>
    <row r="5" spans="2:8" ht="12.75" customHeight="1">
      <c r="B5" s="236"/>
      <c r="C5" s="237" t="s">
        <v>0</v>
      </c>
      <c r="D5" s="237" t="s">
        <v>30</v>
      </c>
      <c r="E5" s="238">
        <f>E6+E7+E8+E9+E10</f>
        <v>19658</v>
      </c>
      <c r="F5" s="238">
        <f>F6+F7+F8+F9+F10</f>
        <v>20040</v>
      </c>
      <c r="G5" s="239">
        <f t="shared" si="0"/>
        <v>382</v>
      </c>
      <c r="H5" s="38"/>
    </row>
    <row r="6" spans="2:8" ht="12.75" customHeight="1">
      <c r="B6" s="236"/>
      <c r="C6" s="237"/>
      <c r="D6" s="240" t="s">
        <v>44</v>
      </c>
      <c r="E6" s="238">
        <v>9839</v>
      </c>
      <c r="F6" s="261">
        <v>10515</v>
      </c>
      <c r="G6" s="239">
        <f t="shared" si="0"/>
        <v>676</v>
      </c>
      <c r="H6" s="38"/>
    </row>
    <row r="7" spans="2:8" ht="12.75" customHeight="1">
      <c r="B7" s="236"/>
      <c r="C7" s="237"/>
      <c r="D7" s="240" t="s">
        <v>40</v>
      </c>
      <c r="E7" s="238">
        <v>306</v>
      </c>
      <c r="F7" s="261">
        <v>111</v>
      </c>
      <c r="G7" s="239">
        <f t="shared" si="0"/>
        <v>-195</v>
      </c>
      <c r="H7" s="38"/>
    </row>
    <row r="8" spans="2:8" ht="12.75" customHeight="1">
      <c r="B8" s="236"/>
      <c r="C8" s="237"/>
      <c r="D8" s="240" t="s">
        <v>41</v>
      </c>
      <c r="E8" s="238">
        <v>8500</v>
      </c>
      <c r="F8" s="261">
        <v>7660</v>
      </c>
      <c r="G8" s="239">
        <f t="shared" si="0"/>
        <v>-840</v>
      </c>
      <c r="H8" s="38"/>
    </row>
    <row r="9" spans="2:8" ht="12.75" customHeight="1">
      <c r="B9" s="236"/>
      <c r="C9" s="237"/>
      <c r="D9" s="240" t="s">
        <v>42</v>
      </c>
      <c r="E9" s="238">
        <v>1013</v>
      </c>
      <c r="F9" s="261">
        <v>417</v>
      </c>
      <c r="G9" s="239">
        <f t="shared" si="0"/>
        <v>-596</v>
      </c>
      <c r="H9" s="38"/>
    </row>
    <row r="10" spans="2:8" ht="12.75" customHeight="1">
      <c r="B10" s="236"/>
      <c r="C10" s="237"/>
      <c r="D10" s="240" t="s">
        <v>43</v>
      </c>
      <c r="E10" s="238">
        <v>0</v>
      </c>
      <c r="F10" s="261">
        <v>1337</v>
      </c>
      <c r="G10" s="239">
        <f t="shared" si="0"/>
        <v>1337</v>
      </c>
      <c r="H10" s="38"/>
    </row>
    <row r="11" spans="2:8" ht="12.75" customHeight="1">
      <c r="B11" s="236"/>
      <c r="C11" s="237"/>
      <c r="D11" s="237" t="s">
        <v>31</v>
      </c>
      <c r="E11" s="238">
        <v>0</v>
      </c>
      <c r="F11" s="238">
        <v>0</v>
      </c>
      <c r="G11" s="239">
        <f t="shared" si="0"/>
        <v>0</v>
      </c>
      <c r="H11" s="38"/>
    </row>
    <row r="12" spans="2:8" ht="12.75" customHeight="1">
      <c r="B12" s="236"/>
      <c r="C12" s="237"/>
      <c r="D12" s="237"/>
      <c r="E12" s="238"/>
      <c r="F12" s="238"/>
      <c r="G12" s="239"/>
      <c r="H12" s="38"/>
    </row>
    <row r="13" spans="2:8" ht="12.75" customHeight="1">
      <c r="B13" s="236"/>
      <c r="C13" s="237"/>
      <c r="D13" s="237"/>
      <c r="E13" s="238"/>
      <c r="F13" s="261"/>
      <c r="G13" s="242"/>
      <c r="H13" s="47"/>
    </row>
    <row r="14" spans="2:8" ht="12.75" customHeight="1">
      <c r="B14" s="233">
        <v>2</v>
      </c>
      <c r="C14" s="429" t="s">
        <v>120</v>
      </c>
      <c r="D14" s="429"/>
      <c r="E14" s="243">
        <f>E15+E20</f>
        <v>20058</v>
      </c>
      <c r="F14" s="243">
        <f>F15+F20</f>
        <v>18329</v>
      </c>
      <c r="G14" s="235">
        <f>F14-E14</f>
        <v>-1729</v>
      </c>
      <c r="H14" s="78"/>
    </row>
    <row r="15" spans="2:8" ht="12.75" customHeight="1">
      <c r="B15" s="236"/>
      <c r="C15" s="237" t="s">
        <v>0</v>
      </c>
      <c r="D15" s="237" t="s">
        <v>32</v>
      </c>
      <c r="E15" s="238">
        <f>E16+E17+E18+E19</f>
        <v>19095</v>
      </c>
      <c r="F15" s="238">
        <f>F16+F17+F18+F19</f>
        <v>18081</v>
      </c>
      <c r="G15" s="239">
        <f aca="true" t="shared" si="1" ref="G15:G22">F15-E15</f>
        <v>-1014</v>
      </c>
      <c r="H15" s="38"/>
    </row>
    <row r="16" spans="2:8" ht="12.75" customHeight="1">
      <c r="B16" s="236"/>
      <c r="C16" s="237"/>
      <c r="D16" s="240" t="s">
        <v>34</v>
      </c>
      <c r="E16" s="238">
        <f>4330+1561</f>
        <v>5891</v>
      </c>
      <c r="F16" s="261">
        <f>4308+1444</f>
        <v>5752</v>
      </c>
      <c r="G16" s="239">
        <f t="shared" si="1"/>
        <v>-139</v>
      </c>
      <c r="H16" s="38"/>
    </row>
    <row r="17" spans="2:8" ht="12.75" customHeight="1">
      <c r="B17" s="236"/>
      <c r="C17" s="237"/>
      <c r="D17" s="240" t="s">
        <v>35</v>
      </c>
      <c r="E17" s="238">
        <v>7087</v>
      </c>
      <c r="F17" s="261">
        <v>3702</v>
      </c>
      <c r="G17" s="239">
        <f t="shared" si="1"/>
        <v>-3385</v>
      </c>
      <c r="H17" s="38"/>
    </row>
    <row r="18" spans="2:8" ht="12.75" customHeight="1">
      <c r="B18" s="236"/>
      <c r="C18" s="237"/>
      <c r="D18" s="240" t="s">
        <v>36</v>
      </c>
      <c r="E18" s="238">
        <v>6117</v>
      </c>
      <c r="F18" s="261">
        <v>8627</v>
      </c>
      <c r="G18" s="239">
        <f t="shared" si="1"/>
        <v>2510</v>
      </c>
      <c r="H18" s="38"/>
    </row>
    <row r="19" spans="2:8" ht="12.75" customHeight="1">
      <c r="B19" s="236"/>
      <c r="C19" s="237"/>
      <c r="D19" s="240" t="s">
        <v>37</v>
      </c>
      <c r="E19" s="238">
        <v>0</v>
      </c>
      <c r="F19" s="261">
        <v>0</v>
      </c>
      <c r="G19" s="239">
        <f t="shared" si="1"/>
        <v>0</v>
      </c>
      <c r="H19" s="38"/>
    </row>
    <row r="20" spans="2:8" ht="12.75" customHeight="1">
      <c r="B20" s="236"/>
      <c r="C20" s="237"/>
      <c r="D20" s="237" t="s">
        <v>33</v>
      </c>
      <c r="E20" s="238">
        <f>E21+E22</f>
        <v>963</v>
      </c>
      <c r="F20" s="238">
        <f>F21+F22</f>
        <v>248</v>
      </c>
      <c r="G20" s="239">
        <f t="shared" si="1"/>
        <v>-715</v>
      </c>
      <c r="H20" s="38"/>
    </row>
    <row r="21" spans="2:8" ht="12.75" customHeight="1">
      <c r="B21" s="236"/>
      <c r="C21" s="237"/>
      <c r="D21" s="240" t="s">
        <v>38</v>
      </c>
      <c r="E21" s="238">
        <v>963</v>
      </c>
      <c r="F21" s="261">
        <v>248</v>
      </c>
      <c r="G21" s="239">
        <f t="shared" si="1"/>
        <v>-715</v>
      </c>
      <c r="H21" s="38"/>
    </row>
    <row r="22" spans="2:8" ht="12.75" customHeight="1">
      <c r="B22" s="236"/>
      <c r="C22" s="237"/>
      <c r="D22" s="240" t="s">
        <v>39</v>
      </c>
      <c r="E22" s="238">
        <v>0</v>
      </c>
      <c r="F22" s="261">
        <v>0</v>
      </c>
      <c r="G22" s="239">
        <f t="shared" si="1"/>
        <v>0</v>
      </c>
      <c r="H22" s="38"/>
    </row>
    <row r="23" spans="2:8" ht="12.75" customHeight="1">
      <c r="B23" s="236"/>
      <c r="C23" s="237"/>
      <c r="D23" s="237"/>
      <c r="E23" s="238"/>
      <c r="F23" s="261"/>
      <c r="G23" s="242"/>
      <c r="H23" s="47"/>
    </row>
    <row r="24" spans="2:8" ht="12.75" customHeight="1">
      <c r="B24" s="244">
        <v>3</v>
      </c>
      <c r="C24" s="434" t="s">
        <v>121</v>
      </c>
      <c r="D24" s="434"/>
      <c r="E24" s="245">
        <f>E4-E14</f>
        <v>-400</v>
      </c>
      <c r="F24" s="245">
        <f>F4-F14</f>
        <v>1711</v>
      </c>
      <c r="G24" s="246">
        <f>F24-E24</f>
        <v>2111</v>
      </c>
      <c r="H24" s="78"/>
    </row>
    <row r="25" spans="2:8" ht="12.75" customHeight="1">
      <c r="B25" s="236"/>
      <c r="C25" s="247"/>
      <c r="D25" s="247"/>
      <c r="E25" s="243"/>
      <c r="F25" s="261"/>
      <c r="G25" s="235"/>
      <c r="H25" s="78"/>
    </row>
    <row r="26" spans="2:8" ht="12.75" customHeight="1">
      <c r="B26" s="233">
        <v>4</v>
      </c>
      <c r="C26" s="430" t="s">
        <v>167</v>
      </c>
      <c r="D26" s="430"/>
      <c r="E26" s="362">
        <f>E27+E28</f>
        <v>0</v>
      </c>
      <c r="F26" s="243">
        <f>F27+F28</f>
        <v>547</v>
      </c>
      <c r="G26" s="235">
        <f>F26-E26</f>
        <v>547</v>
      </c>
      <c r="H26" s="78"/>
    </row>
    <row r="27" spans="2:8" ht="12.75" customHeight="1">
      <c r="B27" s="236"/>
      <c r="C27" s="237"/>
      <c r="D27" s="237" t="s">
        <v>3</v>
      </c>
      <c r="E27" s="258">
        <v>0</v>
      </c>
      <c r="F27" s="261">
        <f>-494+474</f>
        <v>-20</v>
      </c>
      <c r="G27" s="239">
        <f aca="true" t="shared" si="2" ref="G27:G28">F27-E27</f>
        <v>-20</v>
      </c>
      <c r="H27" s="78"/>
    </row>
    <row r="28" spans="2:8" ht="12.75" customHeight="1">
      <c r="B28" s="236"/>
      <c r="C28" s="237"/>
      <c r="D28" s="237" t="s">
        <v>4</v>
      </c>
      <c r="E28" s="261">
        <v>0</v>
      </c>
      <c r="F28" s="261">
        <v>567</v>
      </c>
      <c r="G28" s="239">
        <f t="shared" si="2"/>
        <v>567</v>
      </c>
      <c r="H28" s="47"/>
    </row>
    <row r="29" spans="2:8" ht="12.75" customHeight="1">
      <c r="B29" s="236"/>
      <c r="C29" s="237"/>
      <c r="D29" s="240"/>
      <c r="E29" s="261"/>
      <c r="F29" s="261"/>
      <c r="G29" s="242"/>
      <c r="H29" s="47"/>
    </row>
    <row r="30" spans="2:8" s="1" customFormat="1" ht="12.75" customHeight="1">
      <c r="B30" s="233">
        <v>5</v>
      </c>
      <c r="C30" s="433" t="s">
        <v>280</v>
      </c>
      <c r="D30" s="433"/>
      <c r="E30" s="243">
        <v>0</v>
      </c>
      <c r="F30" s="243">
        <v>0</v>
      </c>
      <c r="G30" s="235">
        <f>F30-E30</f>
        <v>0</v>
      </c>
      <c r="H30" s="78"/>
    </row>
    <row r="31" spans="2:8" s="1" customFormat="1" ht="12.75" customHeight="1">
      <c r="B31" s="233"/>
      <c r="C31" s="262"/>
      <c r="D31" s="237"/>
      <c r="E31" s="238"/>
      <c r="F31" s="238"/>
      <c r="G31" s="242"/>
      <c r="H31" s="47"/>
    </row>
    <row r="32" spans="2:9" ht="12.75" customHeight="1">
      <c r="B32" s="244">
        <v>6</v>
      </c>
      <c r="C32" s="434" t="s">
        <v>123</v>
      </c>
      <c r="D32" s="434"/>
      <c r="E32" s="363">
        <f>E24+E26</f>
        <v>-400</v>
      </c>
      <c r="F32" s="245">
        <f>F24+F26+F30</f>
        <v>2258</v>
      </c>
      <c r="G32" s="246">
        <f>F32-E32</f>
        <v>2658</v>
      </c>
      <c r="H32" s="78"/>
      <c r="I32" s="4"/>
    </row>
    <row r="33" spans="2:8" ht="12.75" customHeight="1">
      <c r="B33" s="236"/>
      <c r="C33" s="433" t="s">
        <v>5</v>
      </c>
      <c r="D33" s="433"/>
      <c r="E33" s="238">
        <f>E4+E27</f>
        <v>19658</v>
      </c>
      <c r="F33" s="238">
        <f>F4+F27</f>
        <v>20020</v>
      </c>
      <c r="G33" s="239">
        <f aca="true" t="shared" si="3" ref="G33:G34">F33-E33</f>
        <v>362</v>
      </c>
      <c r="H33" s="47"/>
    </row>
    <row r="34" spans="2:8" ht="12.75" customHeight="1">
      <c r="B34" s="251"/>
      <c r="C34" s="436" t="s">
        <v>6</v>
      </c>
      <c r="D34" s="436"/>
      <c r="E34" s="252">
        <f>E14-E28</f>
        <v>20058</v>
      </c>
      <c r="F34" s="252">
        <f>F14-F28</f>
        <v>17762</v>
      </c>
      <c r="G34" s="239">
        <f t="shared" si="3"/>
        <v>-2296</v>
      </c>
      <c r="H34" s="112"/>
    </row>
    <row r="35" spans="2:8" ht="12.75" customHeight="1" thickBot="1">
      <c r="B35" s="332"/>
      <c r="C35" s="332"/>
      <c r="D35" s="332"/>
      <c r="E35" s="334"/>
      <c r="F35" s="334"/>
      <c r="G35" s="364"/>
      <c r="H35" s="78"/>
    </row>
    <row r="36" spans="2:8" ht="26.25" thickTop="1">
      <c r="B36" s="230"/>
      <c r="C36" s="431" t="s">
        <v>155</v>
      </c>
      <c r="D36" s="431"/>
      <c r="E36" s="319"/>
      <c r="F36" s="319"/>
      <c r="G36" s="320" t="s">
        <v>205</v>
      </c>
      <c r="H36" s="109"/>
    </row>
    <row r="37" spans="2:8" ht="12.75" customHeight="1">
      <c r="B37" s="257">
        <v>7</v>
      </c>
      <c r="C37" s="271" t="s">
        <v>133</v>
      </c>
      <c r="D37" s="271"/>
      <c r="E37" s="196"/>
      <c r="F37" s="321"/>
      <c r="G37" s="284">
        <f>G43-G38+G61</f>
        <v>4155</v>
      </c>
      <c r="H37" s="110"/>
    </row>
    <row r="38" spans="2:8" ht="12.75" customHeight="1">
      <c r="B38" s="259">
        <v>8</v>
      </c>
      <c r="C38" s="432" t="s">
        <v>143</v>
      </c>
      <c r="D38" s="432"/>
      <c r="E38" s="196"/>
      <c r="F38" s="321"/>
      <c r="G38" s="260">
        <f>G39+G40+G41</f>
        <v>0</v>
      </c>
      <c r="H38" s="111"/>
    </row>
    <row r="39" spans="2:8" ht="24.75" customHeight="1">
      <c r="B39" s="236"/>
      <c r="C39" s="262"/>
      <c r="D39" s="346" t="s">
        <v>101</v>
      </c>
      <c r="E39" s="347"/>
      <c r="F39" s="348"/>
      <c r="G39" s="261">
        <v>0</v>
      </c>
      <c r="H39" s="38"/>
    </row>
    <row r="40" spans="2:8" ht="12.75" customHeight="1">
      <c r="B40" s="236"/>
      <c r="C40" s="262"/>
      <c r="D40" s="162" t="s">
        <v>102</v>
      </c>
      <c r="E40" s="196"/>
      <c r="F40" s="321"/>
      <c r="G40" s="261">
        <v>0</v>
      </c>
      <c r="H40" s="38"/>
    </row>
    <row r="41" spans="2:8" ht="27.75" customHeight="1">
      <c r="B41" s="236"/>
      <c r="C41" s="262"/>
      <c r="D41" s="346" t="s">
        <v>114</v>
      </c>
      <c r="E41" s="347"/>
      <c r="F41" s="348"/>
      <c r="G41" s="261">
        <v>0</v>
      </c>
      <c r="H41" s="38"/>
    </row>
    <row r="42" spans="2:8" ht="12.75" customHeight="1">
      <c r="B42" s="236"/>
      <c r="C42" s="162"/>
      <c r="D42" s="162"/>
      <c r="E42" s="196"/>
      <c r="F42" s="321"/>
      <c r="G42" s="261"/>
      <c r="H42" s="38"/>
    </row>
    <row r="43" spans="2:8" ht="12.75" customHeight="1">
      <c r="B43" s="259">
        <v>9</v>
      </c>
      <c r="C43" s="432" t="s">
        <v>142</v>
      </c>
      <c r="D43" s="432"/>
      <c r="E43" s="196"/>
      <c r="F43" s="321"/>
      <c r="G43" s="260">
        <f>G44+G45+G46</f>
        <v>0</v>
      </c>
      <c r="H43" s="111"/>
    </row>
    <row r="44" spans="2:8" ht="12.75" customHeight="1">
      <c r="B44" s="236"/>
      <c r="C44" s="162"/>
      <c r="D44" s="162" t="s">
        <v>22</v>
      </c>
      <c r="E44" s="196"/>
      <c r="F44" s="321"/>
      <c r="G44" s="261">
        <v>0</v>
      </c>
      <c r="H44" s="38"/>
    </row>
    <row r="45" spans="2:8" ht="12.75" customHeight="1">
      <c r="B45" s="236"/>
      <c r="C45" s="162"/>
      <c r="D45" s="162" t="s">
        <v>106</v>
      </c>
      <c r="E45" s="196"/>
      <c r="F45" s="321"/>
      <c r="G45" s="261">
        <v>0</v>
      </c>
      <c r="H45" s="38"/>
    </row>
    <row r="46" spans="2:8" ht="12.75" customHeight="1">
      <c r="B46" s="236"/>
      <c r="C46" s="162"/>
      <c r="D46" s="162" t="s">
        <v>107</v>
      </c>
      <c r="E46" s="196"/>
      <c r="F46" s="321"/>
      <c r="G46" s="261">
        <v>0</v>
      </c>
      <c r="H46" s="38"/>
    </row>
    <row r="47" spans="2:8" ht="12.75" customHeight="1">
      <c r="B47" s="236"/>
      <c r="C47" s="162"/>
      <c r="D47" s="162"/>
      <c r="E47" s="196"/>
      <c r="F47" s="321"/>
      <c r="G47" s="261"/>
      <c r="H47" s="38"/>
    </row>
    <row r="48" spans="2:8" ht="12.75" customHeight="1">
      <c r="B48" s="257">
        <v>10</v>
      </c>
      <c r="C48" s="271" t="s">
        <v>124</v>
      </c>
      <c r="D48" s="271"/>
      <c r="E48" s="196"/>
      <c r="F48" s="321"/>
      <c r="G48" s="284">
        <f>G49-G53</f>
        <v>0</v>
      </c>
      <c r="H48" s="110"/>
    </row>
    <row r="49" spans="2:8" ht="12.75" customHeight="1">
      <c r="B49" s="259">
        <v>11</v>
      </c>
      <c r="C49" s="432" t="s">
        <v>141</v>
      </c>
      <c r="D49" s="432"/>
      <c r="E49" s="196"/>
      <c r="F49" s="321"/>
      <c r="G49" s="260">
        <f>G50+G51</f>
        <v>0</v>
      </c>
      <c r="H49" s="111"/>
    </row>
    <row r="50" spans="2:8" ht="12.75" customHeight="1">
      <c r="B50" s="259"/>
      <c r="C50" s="162"/>
      <c r="D50" s="162" t="s">
        <v>115</v>
      </c>
      <c r="E50" s="196"/>
      <c r="F50" s="321"/>
      <c r="G50" s="261">
        <v>0</v>
      </c>
      <c r="H50" s="38"/>
    </row>
    <row r="51" spans="2:8" ht="12.75" customHeight="1">
      <c r="B51" s="259"/>
      <c r="C51" s="162"/>
      <c r="D51" s="162" t="s">
        <v>109</v>
      </c>
      <c r="E51" s="196"/>
      <c r="F51" s="321"/>
      <c r="G51" s="261">
        <v>0</v>
      </c>
      <c r="H51" s="38"/>
    </row>
    <row r="52" spans="2:8" ht="12.75" customHeight="1">
      <c r="B52" s="259"/>
      <c r="C52" s="162"/>
      <c r="D52" s="162"/>
      <c r="E52" s="196"/>
      <c r="F52" s="321"/>
      <c r="G52" s="261"/>
      <c r="H52" s="38"/>
    </row>
    <row r="53" spans="2:8" ht="12.75" customHeight="1">
      <c r="B53" s="280">
        <v>12</v>
      </c>
      <c r="C53" s="456" t="s">
        <v>140</v>
      </c>
      <c r="D53" s="456"/>
      <c r="E53" s="265"/>
      <c r="F53" s="322"/>
      <c r="G53" s="338">
        <f>G54+G55</f>
        <v>0</v>
      </c>
      <c r="H53" s="111"/>
    </row>
    <row r="54" spans="2:8" ht="23.25" customHeight="1">
      <c r="B54" s="267"/>
      <c r="C54" s="268"/>
      <c r="D54" s="352" t="s">
        <v>110</v>
      </c>
      <c r="E54" s="353"/>
      <c r="F54" s="354"/>
      <c r="G54" s="270">
        <v>0</v>
      </c>
      <c r="H54" s="38"/>
    </row>
    <row r="55" spans="2:8" ht="12.75" customHeight="1">
      <c r="B55" s="236"/>
      <c r="C55" s="162"/>
      <c r="D55" s="162" t="s">
        <v>111</v>
      </c>
      <c r="E55" s="196"/>
      <c r="F55" s="321"/>
      <c r="G55" s="261">
        <v>0</v>
      </c>
      <c r="H55" s="38"/>
    </row>
    <row r="56" spans="2:8" ht="12.75" customHeight="1">
      <c r="B56" s="236"/>
      <c r="C56" s="262"/>
      <c r="D56" s="162"/>
      <c r="E56" s="196"/>
      <c r="F56" s="321"/>
      <c r="G56" s="261"/>
      <c r="H56" s="38"/>
    </row>
    <row r="57" spans="2:8" ht="12.75" customHeight="1">
      <c r="B57" s="257">
        <v>13</v>
      </c>
      <c r="C57" s="430" t="s">
        <v>125</v>
      </c>
      <c r="D57" s="430"/>
      <c r="E57" s="196"/>
      <c r="F57" s="321"/>
      <c r="G57" s="284">
        <f>F26-474-1932</f>
        <v>-1859</v>
      </c>
      <c r="H57" s="110"/>
    </row>
    <row r="58" spans="2:8" ht="12.75" customHeight="1">
      <c r="B58" s="236"/>
      <c r="C58" s="262"/>
      <c r="D58" s="262"/>
      <c r="E58" s="196"/>
      <c r="F58" s="321"/>
      <c r="G58" s="261"/>
      <c r="H58" s="38"/>
    </row>
    <row r="59" spans="2:8" ht="12.75" customHeight="1">
      <c r="B59" s="257">
        <v>14</v>
      </c>
      <c r="C59" s="433" t="s">
        <v>281</v>
      </c>
      <c r="D59" s="433"/>
      <c r="E59" s="196"/>
      <c r="F59" s="321"/>
      <c r="G59" s="284">
        <f>F30</f>
        <v>0</v>
      </c>
      <c r="H59" s="110"/>
    </row>
    <row r="60" spans="2:8" ht="12.75" customHeight="1">
      <c r="B60" s="236"/>
      <c r="C60" s="262"/>
      <c r="D60" s="162"/>
      <c r="E60" s="196"/>
      <c r="F60" s="321"/>
      <c r="G60" s="261"/>
      <c r="H60" s="38"/>
    </row>
    <row r="61" spans="2:8" ht="12.75" customHeight="1">
      <c r="B61" s="259">
        <v>15</v>
      </c>
      <c r="C61" s="432" t="s">
        <v>126</v>
      </c>
      <c r="D61" s="432"/>
      <c r="E61" s="196"/>
      <c r="F61" s="196"/>
      <c r="G61" s="260">
        <v>4155</v>
      </c>
      <c r="H61" s="111"/>
    </row>
    <row r="62" spans="2:8" ht="12.75" customHeight="1">
      <c r="B62" s="236"/>
      <c r="C62" s="264"/>
      <c r="D62" s="264"/>
      <c r="E62" s="265"/>
      <c r="F62" s="322"/>
      <c r="G62" s="266"/>
      <c r="H62" s="38"/>
    </row>
    <row r="63" spans="2:8" ht="12.75" customHeight="1">
      <c r="B63" s="244">
        <v>16</v>
      </c>
      <c r="C63" s="275" t="s">
        <v>127</v>
      </c>
      <c r="D63" s="276"/>
      <c r="E63" s="300"/>
      <c r="F63" s="325"/>
      <c r="G63" s="279">
        <f>G37-G48+G57+G59</f>
        <v>2296</v>
      </c>
      <c r="H63" s="78"/>
    </row>
    <row r="64" spans="2:8" ht="12.75" customHeight="1">
      <c r="B64" s="280">
        <v>17</v>
      </c>
      <c r="C64" s="281" t="s">
        <v>128</v>
      </c>
      <c r="D64" s="281"/>
      <c r="E64" s="265"/>
      <c r="F64" s="322"/>
      <c r="G64" s="338">
        <f>G63-F32</f>
        <v>38</v>
      </c>
      <c r="H64" s="111"/>
    </row>
    <row r="65" spans="2:8" ht="12.75" customHeight="1" thickBot="1">
      <c r="B65" s="332"/>
      <c r="C65" s="332"/>
      <c r="D65" s="333"/>
      <c r="E65" s="334"/>
      <c r="F65" s="334"/>
      <c r="G65" s="335"/>
      <c r="H65" s="47"/>
    </row>
    <row r="66" spans="2:9" s="1" customFormat="1" ht="26.25" customHeight="1" thickTop="1">
      <c r="B66" s="230"/>
      <c r="C66" s="431" t="s">
        <v>149</v>
      </c>
      <c r="D66" s="431"/>
      <c r="E66" s="319"/>
      <c r="F66" s="319"/>
      <c r="G66" s="320" t="s">
        <v>205</v>
      </c>
      <c r="H66" s="109"/>
      <c r="I66" s="40"/>
    </row>
    <row r="67" spans="2:8" ht="12.75" customHeight="1">
      <c r="B67" s="233">
        <v>18</v>
      </c>
      <c r="C67" s="429" t="s">
        <v>135</v>
      </c>
      <c r="D67" s="429"/>
      <c r="E67" s="196"/>
      <c r="F67" s="196"/>
      <c r="G67" s="258">
        <f>F32*(-1)</f>
        <v>-2258</v>
      </c>
      <c r="H67" s="78"/>
    </row>
    <row r="68" spans="2:8" ht="12.75" customHeight="1">
      <c r="B68" s="236"/>
      <c r="C68" s="262"/>
      <c r="D68" s="262"/>
      <c r="E68" s="196"/>
      <c r="F68" s="196"/>
      <c r="G68" s="283"/>
      <c r="H68" s="79"/>
    </row>
    <row r="69" spans="2:8" ht="12.75" customHeight="1">
      <c r="B69" s="257">
        <v>19</v>
      </c>
      <c r="C69" s="271" t="s">
        <v>129</v>
      </c>
      <c r="D69" s="339"/>
      <c r="E69" s="196"/>
      <c r="F69" s="365"/>
      <c r="G69" s="284">
        <f>G70+G71+G74+G77</f>
        <v>3661</v>
      </c>
      <c r="H69" s="110"/>
    </row>
    <row r="70" spans="2:8" ht="12.75" customHeight="1">
      <c r="B70" s="236"/>
      <c r="C70" s="240"/>
      <c r="D70" s="162" t="s">
        <v>68</v>
      </c>
      <c r="E70" s="196"/>
      <c r="F70" s="365"/>
      <c r="G70" s="261">
        <f>G61</f>
        <v>4155</v>
      </c>
      <c r="H70" s="65"/>
    </row>
    <row r="71" spans="2:8" ht="12.75" customHeight="1">
      <c r="B71" s="236"/>
      <c r="C71" s="262"/>
      <c r="D71" s="162" t="s">
        <v>23</v>
      </c>
      <c r="E71" s="196"/>
      <c r="F71" s="365"/>
      <c r="G71" s="261">
        <f>G72-G73</f>
        <v>0</v>
      </c>
      <c r="H71" s="65"/>
    </row>
    <row r="72" spans="2:8" ht="12.75" customHeight="1">
      <c r="B72" s="236"/>
      <c r="C72" s="262"/>
      <c r="D72" s="162" t="s">
        <v>78</v>
      </c>
      <c r="E72" s="196"/>
      <c r="F72" s="365"/>
      <c r="G72" s="261">
        <v>0</v>
      </c>
      <c r="H72" s="38"/>
    </row>
    <row r="73" spans="2:8" ht="12.75" customHeight="1">
      <c r="B73" s="233"/>
      <c r="C73" s="262"/>
      <c r="D73" s="162" t="s">
        <v>116</v>
      </c>
      <c r="E73" s="196"/>
      <c r="F73" s="365"/>
      <c r="G73" s="261">
        <v>0</v>
      </c>
      <c r="H73" s="38"/>
    </row>
    <row r="74" spans="2:8" ht="12.75" customHeight="1">
      <c r="B74" s="236"/>
      <c r="C74" s="262"/>
      <c r="D74" s="162" t="s">
        <v>24</v>
      </c>
      <c r="E74" s="196"/>
      <c r="F74" s="365"/>
      <c r="G74" s="261">
        <f>G75-G76</f>
        <v>0</v>
      </c>
      <c r="H74" s="65"/>
    </row>
    <row r="75" spans="2:8" ht="12.75" customHeight="1">
      <c r="B75" s="236"/>
      <c r="C75" s="262"/>
      <c r="D75" s="162" t="s">
        <v>117</v>
      </c>
      <c r="E75" s="196"/>
      <c r="F75" s="365"/>
      <c r="G75" s="261">
        <v>0</v>
      </c>
      <c r="H75" s="38"/>
    </row>
    <row r="76" spans="2:8" ht="12.75" customHeight="1">
      <c r="B76" s="236"/>
      <c r="C76" s="262"/>
      <c r="D76" s="162" t="s">
        <v>118</v>
      </c>
      <c r="E76" s="196"/>
      <c r="F76" s="365"/>
      <c r="G76" s="261">
        <v>0</v>
      </c>
      <c r="H76" s="38"/>
    </row>
    <row r="77" spans="2:9" ht="12.75" customHeight="1">
      <c r="B77" s="236"/>
      <c r="C77" s="162"/>
      <c r="D77" s="162" t="s">
        <v>80</v>
      </c>
      <c r="E77" s="196"/>
      <c r="F77" s="365"/>
      <c r="G77" s="261">
        <f>F27-474</f>
        <v>-494</v>
      </c>
      <c r="H77" s="65"/>
      <c r="I77" s="413">
        <v>-695</v>
      </c>
    </row>
    <row r="78" spans="2:9" ht="12.75" customHeight="1">
      <c r="B78" s="236"/>
      <c r="C78" s="162"/>
      <c r="D78" s="162"/>
      <c r="E78" s="196"/>
      <c r="F78" s="365"/>
      <c r="G78" s="258"/>
      <c r="H78" s="78"/>
      <c r="I78" s="413"/>
    </row>
    <row r="79" spans="2:9" ht="12.75" customHeight="1">
      <c r="B79" s="257">
        <v>20</v>
      </c>
      <c r="C79" s="430" t="s">
        <v>130</v>
      </c>
      <c r="D79" s="430"/>
      <c r="E79" s="196"/>
      <c r="F79" s="365"/>
      <c r="G79" s="284">
        <f>G80+G81+G84+G85+G86</f>
        <v>-1365</v>
      </c>
      <c r="H79" s="110"/>
      <c r="I79" s="413"/>
    </row>
    <row r="80" spans="2:9" ht="12.75" customHeight="1">
      <c r="B80" s="236"/>
      <c r="C80" s="162"/>
      <c r="D80" s="162" t="s">
        <v>81</v>
      </c>
      <c r="E80" s="286"/>
      <c r="F80" s="366"/>
      <c r="G80" s="261">
        <f>F28-1932</f>
        <v>-1365</v>
      </c>
      <c r="H80" s="38"/>
      <c r="I80" s="413">
        <v>-675</v>
      </c>
    </row>
    <row r="81" spans="2:8" ht="12.75" customHeight="1">
      <c r="B81" s="236"/>
      <c r="C81" s="162"/>
      <c r="D81" s="162" t="s">
        <v>82</v>
      </c>
      <c r="E81" s="196"/>
      <c r="F81" s="365"/>
      <c r="G81" s="261">
        <f>G82+G83</f>
        <v>0</v>
      </c>
      <c r="H81" s="65"/>
    </row>
    <row r="82" spans="2:8" ht="12.75" customHeight="1">
      <c r="B82" s="236"/>
      <c r="C82" s="162"/>
      <c r="D82" s="162" t="s">
        <v>95</v>
      </c>
      <c r="E82" s="196"/>
      <c r="F82" s="365"/>
      <c r="G82" s="261">
        <v>0</v>
      </c>
      <c r="H82" s="38"/>
    </row>
    <row r="83" spans="2:8" ht="12.75" customHeight="1">
      <c r="B83" s="236"/>
      <c r="C83" s="162"/>
      <c r="D83" s="162" t="s">
        <v>96</v>
      </c>
      <c r="E83" s="196"/>
      <c r="F83" s="365"/>
      <c r="G83" s="261">
        <v>0</v>
      </c>
      <c r="H83" s="38"/>
    </row>
    <row r="84" spans="2:8" ht="12.75" customHeight="1">
      <c r="B84" s="236"/>
      <c r="C84" s="162"/>
      <c r="D84" s="162" t="s">
        <v>83</v>
      </c>
      <c r="E84" s="196"/>
      <c r="F84" s="365"/>
      <c r="G84" s="261">
        <v>0</v>
      </c>
      <c r="H84" s="65"/>
    </row>
    <row r="85" spans="2:8" ht="12.75" customHeight="1">
      <c r="B85" s="236"/>
      <c r="C85" s="162"/>
      <c r="D85" s="162" t="s">
        <v>84</v>
      </c>
      <c r="E85" s="196"/>
      <c r="F85" s="365"/>
      <c r="G85" s="261">
        <v>0</v>
      </c>
      <c r="H85" s="65"/>
    </row>
    <row r="86" spans="2:8" ht="12.75" customHeight="1">
      <c r="B86" s="236"/>
      <c r="C86" s="162"/>
      <c r="D86" s="162" t="s">
        <v>85</v>
      </c>
      <c r="E86" s="196"/>
      <c r="F86" s="365"/>
      <c r="G86" s="261">
        <v>0</v>
      </c>
      <c r="H86" s="38"/>
    </row>
    <row r="87" spans="2:8" ht="12.75" customHeight="1">
      <c r="B87" s="236"/>
      <c r="C87" s="162"/>
      <c r="D87" s="162"/>
      <c r="E87" s="196"/>
      <c r="F87" s="365"/>
      <c r="G87" s="261"/>
      <c r="H87" s="38"/>
    </row>
    <row r="88" spans="2:8" ht="12.75" customHeight="1">
      <c r="B88" s="257">
        <v>21</v>
      </c>
      <c r="C88" s="430" t="s">
        <v>134</v>
      </c>
      <c r="D88" s="430"/>
      <c r="E88" s="196"/>
      <c r="F88" s="365"/>
      <c r="G88" s="284">
        <f>G89+G90</f>
        <v>-38</v>
      </c>
      <c r="H88" s="110"/>
    </row>
    <row r="89" spans="2:8" ht="12.75" customHeight="1">
      <c r="B89" s="236"/>
      <c r="C89" s="162"/>
      <c r="D89" s="162" t="s">
        <v>159</v>
      </c>
      <c r="E89" s="196"/>
      <c r="F89" s="365"/>
      <c r="G89" s="261">
        <f>-G64</f>
        <v>-38</v>
      </c>
      <c r="H89" s="38"/>
    </row>
    <row r="90" spans="2:8" ht="12.75" customHeight="1">
      <c r="B90" s="236"/>
      <c r="C90" s="162"/>
      <c r="D90" s="162" t="s">
        <v>160</v>
      </c>
      <c r="E90" s="196"/>
      <c r="F90" s="365"/>
      <c r="G90" s="261">
        <f>G92-(G67+G69+G79)-G89</f>
        <v>0</v>
      </c>
      <c r="H90" s="38"/>
    </row>
    <row r="91" spans="2:8" ht="12.75" customHeight="1">
      <c r="B91" s="236"/>
      <c r="C91" s="162"/>
      <c r="D91" s="162"/>
      <c r="E91" s="196"/>
      <c r="F91" s="365"/>
      <c r="G91" s="261"/>
      <c r="H91" s="38"/>
    </row>
    <row r="92" spans="2:8" ht="12.75" customHeight="1">
      <c r="B92" s="244">
        <v>22</v>
      </c>
      <c r="C92" s="275" t="s">
        <v>176</v>
      </c>
      <c r="D92" s="275"/>
      <c r="E92" s="277"/>
      <c r="F92" s="367"/>
      <c r="G92" s="279">
        <v>0</v>
      </c>
      <c r="H92" s="78"/>
    </row>
    <row r="93" spans="5:8" ht="12.75" customHeight="1">
      <c r="E93" s="3"/>
      <c r="F93" s="4"/>
      <c r="G93" s="3"/>
      <c r="H93" s="3"/>
    </row>
    <row r="94" spans="5:8" ht="12.75" customHeight="1">
      <c r="E94" s="3"/>
      <c r="F94" s="4"/>
      <c r="G94" s="3"/>
      <c r="H94" s="3"/>
    </row>
    <row r="95" spans="5:8" ht="12.75" customHeight="1">
      <c r="E95" s="3"/>
      <c r="F95" s="4"/>
      <c r="G95" s="3"/>
      <c r="H95" s="3"/>
    </row>
    <row r="96" spans="5:8" ht="12.75" customHeight="1">
      <c r="E96" s="3"/>
      <c r="F96" s="4"/>
      <c r="G96" s="66"/>
      <c r="H96" s="66"/>
    </row>
    <row r="97" spans="5:8" ht="12.75" customHeight="1">
      <c r="E97" s="3"/>
      <c r="F97" s="4"/>
      <c r="G97" s="3"/>
      <c r="H97" s="3"/>
    </row>
    <row r="98" spans="5:8" ht="12.75" customHeight="1">
      <c r="E98" s="3"/>
      <c r="F98" s="4"/>
      <c r="G98" s="3"/>
      <c r="H98" s="3"/>
    </row>
    <row r="99" spans="5:8" ht="12.75" customHeight="1">
      <c r="E99" s="3"/>
      <c r="F99" s="4"/>
      <c r="G99" s="3"/>
      <c r="H99" s="3"/>
    </row>
    <row r="100" spans="5:8" ht="12.75" customHeight="1">
      <c r="E100" s="3"/>
      <c r="F100" s="4"/>
      <c r="G100" s="3"/>
      <c r="H100" s="3"/>
    </row>
    <row r="101" spans="5:8" ht="12.75" customHeight="1">
      <c r="E101" s="3"/>
      <c r="F101" s="4"/>
      <c r="G101" s="3"/>
      <c r="H101" s="3"/>
    </row>
    <row r="102" spans="5:8" ht="12.75" customHeight="1">
      <c r="E102" s="3"/>
      <c r="F102" s="4"/>
      <c r="G102" s="3"/>
      <c r="H102" s="3"/>
    </row>
    <row r="103" spans="5:8" ht="12.75" customHeight="1">
      <c r="E103" s="3"/>
      <c r="F103" s="4"/>
      <c r="G103" s="3"/>
      <c r="H103" s="3"/>
    </row>
    <row r="104" spans="5:8" ht="12.75" customHeight="1">
      <c r="E104" s="3"/>
      <c r="F104" s="4"/>
      <c r="G104" s="3"/>
      <c r="H104" s="3"/>
    </row>
    <row r="105" spans="5:8" ht="12.75" customHeight="1">
      <c r="E105" s="3"/>
      <c r="F105" s="4"/>
      <c r="G105" s="3"/>
      <c r="H105" s="3"/>
    </row>
    <row r="106" spans="5:8" ht="12.75" customHeight="1">
      <c r="E106" s="3"/>
      <c r="F106" s="4"/>
      <c r="G106" s="3"/>
      <c r="H106" s="3"/>
    </row>
    <row r="107" spans="5:8" ht="12.75" customHeight="1">
      <c r="E107" s="3"/>
      <c r="F107" s="4"/>
      <c r="G107" s="3"/>
      <c r="H107" s="3"/>
    </row>
    <row r="108" spans="5:8" ht="12.75" customHeight="1">
      <c r="E108" s="3"/>
      <c r="F108" s="4"/>
      <c r="G108" s="3"/>
      <c r="H108" s="3"/>
    </row>
    <row r="109" spans="5:8" ht="12.75" customHeight="1">
      <c r="E109" s="3"/>
      <c r="F109" s="4"/>
      <c r="G109" s="3"/>
      <c r="H109" s="3"/>
    </row>
    <row r="110" spans="5:8" ht="12.75" customHeight="1">
      <c r="E110" s="3"/>
      <c r="F110" s="4"/>
      <c r="G110" s="3"/>
      <c r="H110" s="3"/>
    </row>
    <row r="111" spans="5:8" ht="12.75" customHeight="1">
      <c r="E111" s="3"/>
      <c r="F111" s="4"/>
      <c r="G111" s="3"/>
      <c r="H111" s="3"/>
    </row>
    <row r="112" spans="5:8" ht="12.75" customHeight="1">
      <c r="E112" s="3"/>
      <c r="F112" s="4"/>
      <c r="G112" s="3"/>
      <c r="H112" s="3"/>
    </row>
    <row r="113" spans="5:8" ht="12.75" customHeight="1">
      <c r="E113" s="3"/>
      <c r="F113" s="4"/>
      <c r="G113" s="3"/>
      <c r="H113" s="3"/>
    </row>
    <row r="114" spans="5:8" ht="12.75" customHeight="1">
      <c r="E114" s="3"/>
      <c r="F114" s="4"/>
      <c r="G114" s="3"/>
      <c r="H114" s="3"/>
    </row>
    <row r="115" spans="5:8" ht="12.75" customHeight="1">
      <c r="E115" s="3"/>
      <c r="F115" s="4"/>
      <c r="G115" s="3"/>
      <c r="H115" s="3"/>
    </row>
    <row r="116" spans="5:8" ht="12.75" customHeight="1">
      <c r="E116" s="3"/>
      <c r="F116" s="4"/>
      <c r="G116" s="3"/>
      <c r="H116" s="3"/>
    </row>
    <row r="117" spans="5:8" ht="12.75" customHeight="1">
      <c r="E117" s="3"/>
      <c r="F117" s="4"/>
      <c r="G117" s="3"/>
      <c r="H117" s="3"/>
    </row>
    <row r="118" spans="5:8" ht="12.75" customHeight="1">
      <c r="E118" s="3"/>
      <c r="F118" s="4"/>
      <c r="G118" s="3"/>
      <c r="H118" s="3"/>
    </row>
    <row r="119" spans="5:8" ht="12.75" customHeight="1">
      <c r="E119" s="3"/>
      <c r="F119" s="4"/>
      <c r="G119" s="3"/>
      <c r="H119" s="3"/>
    </row>
    <row r="120" spans="6:8" ht="12.75" customHeight="1">
      <c r="F120" s="38"/>
      <c r="G120" s="40"/>
      <c r="H120" s="40"/>
    </row>
    <row r="121" spans="6:8" ht="12.75" customHeight="1">
      <c r="F121" s="38"/>
      <c r="G121" s="40"/>
      <c r="H121" s="40"/>
    </row>
    <row r="122" spans="6:8" ht="12.75" customHeight="1">
      <c r="F122" s="38"/>
      <c r="G122" s="40"/>
      <c r="H122" s="40"/>
    </row>
    <row r="123" spans="6:8" ht="12.75" customHeight="1">
      <c r="F123" s="38"/>
      <c r="G123" s="40"/>
      <c r="H123" s="40"/>
    </row>
    <row r="124" spans="6:8" ht="12.75" customHeight="1">
      <c r="F124" s="38"/>
      <c r="G124" s="40"/>
      <c r="H124" s="40"/>
    </row>
    <row r="125" spans="6:8" ht="12.75" customHeight="1">
      <c r="F125" s="38"/>
      <c r="G125" s="40"/>
      <c r="H125" s="40"/>
    </row>
    <row r="126" spans="6:8" ht="12.75" customHeight="1">
      <c r="F126" s="38"/>
      <c r="G126" s="40"/>
      <c r="H126" s="40"/>
    </row>
    <row r="127" spans="6:8" ht="12.75" customHeight="1">
      <c r="F127" s="38"/>
      <c r="G127" s="40"/>
      <c r="H127" s="40"/>
    </row>
    <row r="128" spans="6:8" ht="12.75" customHeight="1">
      <c r="F128" s="38"/>
      <c r="G128" s="40"/>
      <c r="H128" s="40"/>
    </row>
    <row r="129" spans="6:8" ht="12.75" customHeight="1">
      <c r="F129" s="38"/>
      <c r="G129" s="40"/>
      <c r="H129" s="40"/>
    </row>
    <row r="130" spans="6:8" ht="12.75" customHeight="1">
      <c r="F130" s="38"/>
      <c r="G130" s="40"/>
      <c r="H130" s="40"/>
    </row>
    <row r="131" spans="6:8" ht="12.75" customHeight="1">
      <c r="F131" s="38"/>
      <c r="G131" s="40"/>
      <c r="H131" s="40"/>
    </row>
    <row r="132" spans="6:8" ht="12.75" customHeight="1">
      <c r="F132" s="38"/>
      <c r="G132" s="40"/>
      <c r="H132" s="40"/>
    </row>
    <row r="133" spans="6:8" ht="12.75" customHeight="1">
      <c r="F133" s="38"/>
      <c r="G133" s="40"/>
      <c r="H133" s="40"/>
    </row>
    <row r="134" spans="6:8" ht="12.75">
      <c r="F134" s="38"/>
      <c r="G134" s="40"/>
      <c r="H134" s="40"/>
    </row>
    <row r="135" spans="6:8" ht="12.75">
      <c r="F135" s="38"/>
      <c r="G135" s="40"/>
      <c r="H135" s="40"/>
    </row>
  </sheetData>
  <mergeCells count="21">
    <mergeCell ref="C88:D88"/>
    <mergeCell ref="C61:D61"/>
    <mergeCell ref="C66:D66"/>
    <mergeCell ref="C67:D67"/>
    <mergeCell ref="C79:D79"/>
    <mergeCell ref="C3:D3"/>
    <mergeCell ref="C43:D43"/>
    <mergeCell ref="C49:D49"/>
    <mergeCell ref="C4:D4"/>
    <mergeCell ref="C14:D14"/>
    <mergeCell ref="C33:D33"/>
    <mergeCell ref="C24:D24"/>
    <mergeCell ref="C26:D26"/>
    <mergeCell ref="C32:D32"/>
    <mergeCell ref="C38:D38"/>
    <mergeCell ref="C30:D30"/>
    <mergeCell ref="C59:D59"/>
    <mergeCell ref="C57:D57"/>
    <mergeCell ref="C53:D53"/>
    <mergeCell ref="C34:D34"/>
    <mergeCell ref="C36:D36"/>
  </mergeCells>
  <printOptions/>
  <pageMargins left="0.8661417322834646" right="0.6299212598425197" top="0.984251968503937" bottom="0.984251968503937" header="0.5118110236220472" footer="0.5118110236220472"/>
  <pageSetup fitToHeight="2" horizontalDpi="600" verticalDpi="600" orientation="portrait" paperSize="9" scale="96" r:id="rId3"/>
  <rowBreaks count="1" manualBreakCount="1">
    <brk id="53" min="1" max="16383" man="1"/>
  </rowBreak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5CB7C0A-BA79-48B4-B4C9-6A9E4C9EE549}"/>
</file>

<file path=customXml/itemProps2.xml><?xml version="1.0" encoding="utf-8"?>
<ds:datastoreItem xmlns:ds="http://schemas.openxmlformats.org/officeDocument/2006/customXml" ds:itemID="{741D44AB-BBDE-4137-B460-DFB5C5A0E1E6}"/>
</file>

<file path=customXml/itemProps3.xml><?xml version="1.0" encoding="utf-8"?>
<ds:datastoreItem xmlns:ds="http://schemas.openxmlformats.org/officeDocument/2006/customXml" ds:itemID="{F87E579E-44D5-42D5-9553-BD3C775D6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pivanek</cp:lastModifiedBy>
  <cp:lastPrinted>2011-05-10T07:41:50Z</cp:lastPrinted>
  <dcterms:created xsi:type="dcterms:W3CDTF">2006-03-14T11:18:42Z</dcterms:created>
  <dcterms:modified xsi:type="dcterms:W3CDTF">2011-05-19T11:04:13Z</dcterms:modified>
  <cp:category/>
  <cp:version/>
  <cp:contentType/>
  <cp:contentStatus/>
</cp:coreProperties>
</file>