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445" activeTab="0"/>
  </bookViews>
  <sheets>
    <sheet name="Osobitná tabuľka 2016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<sst xmlns="http://schemas.openxmlformats.org/spreadsheetml/2006/main" count="14" uniqueCount="14">
  <si>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do 2</t>
  </si>
  <si>
    <t>do 4</t>
  </si>
  <si>
    <t>do 9</t>
  </si>
  <si>
    <t xml:space="preserve">do 6 </t>
  </si>
  <si>
    <t>nad 32</t>
  </si>
  <si>
    <t xml:space="preserve">  do 12</t>
  </si>
  <si>
    <t xml:space="preserve">  do 15</t>
  </si>
  <si>
    <t xml:space="preserve">  do 18</t>
  </si>
  <si>
    <t xml:space="preserve">  do 21</t>
  </si>
  <si>
    <t xml:space="preserve">  do 24</t>
  </si>
  <si>
    <t xml:space="preserve">  do 28</t>
  </si>
  <si>
    <t xml:space="preserve">  do 32</t>
  </si>
  <si>
    <t xml:space="preserve">                                   Stupnica platových taríf podľa platových tried a platových stupňov</t>
  </si>
  <si>
    <r>
      <t xml:space="preserve">                                                       </t>
    </r>
    <r>
      <rPr>
        <b/>
        <sz val="14"/>
        <color indexed="8"/>
        <rFont val="Times New Roman"/>
        <family val="1"/>
      </rPr>
      <t xml:space="preserve"> P   l   a   t   o   v   á          t   r   i   e   d   a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</si>
</sst>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  <numFmt numFmtId="205" formatCode="0.00000"/>
    <numFmt numFmtId="206" formatCode="0.00000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1"/>
      <color indexed="8"/>
      <name val="Courier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"/>
      <family val="1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b/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 applyAlignment="1">
      <alignment vertical="center"/>
      <protection/>
    </xf>
    <xf numFmtId="172" fontId="5" fillId="0" borderId="0" xfId="45" applyFont="1">
      <alignment/>
      <protection/>
    </xf>
    <xf numFmtId="172" fontId="6" fillId="0" borderId="0" xfId="45" applyFont="1" applyAlignment="1">
      <alignment horizontal="left" vertical="center"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 applyAlignment="1">
      <alignment horizontal="left"/>
      <protection/>
    </xf>
    <xf numFmtId="4" fontId="8" fillId="0" borderId="12" xfId="45" applyNumberFormat="1" applyFont="1" applyBorder="1" applyAlignment="1" applyProtection="1">
      <alignment horizontal="center" vertical="center"/>
      <protection/>
    </xf>
    <xf numFmtId="4" fontId="8" fillId="0" borderId="13" xfId="45" applyNumberFormat="1" applyFont="1" applyBorder="1" applyAlignment="1" applyProtection="1">
      <alignment horizontal="center" vertical="center"/>
      <protection/>
    </xf>
    <xf numFmtId="4" fontId="8" fillId="0" borderId="14" xfId="45" applyNumberFormat="1" applyFont="1" applyBorder="1" applyAlignment="1" applyProtection="1">
      <alignment horizontal="center" vertical="center"/>
      <protection/>
    </xf>
    <xf numFmtId="4" fontId="8" fillId="0" borderId="15" xfId="45" applyNumberFormat="1" applyFont="1" applyBorder="1" applyAlignment="1" applyProtection="1">
      <alignment horizontal="center" vertical="center"/>
      <protection/>
    </xf>
    <xf numFmtId="4" fontId="8" fillId="0" borderId="16" xfId="45" applyNumberFormat="1" applyFont="1" applyBorder="1" applyAlignment="1" applyProtection="1">
      <alignment horizontal="center" vertical="center"/>
      <protection/>
    </xf>
    <xf numFmtId="172" fontId="10" fillId="0" borderId="11" xfId="45" applyNumberFormat="1" applyFont="1" applyFill="1" applyBorder="1" applyAlignment="1" applyProtection="1">
      <alignment horizontal="center"/>
      <protection/>
    </xf>
    <xf numFmtId="172" fontId="7" fillId="0" borderId="11" xfId="45" applyFont="1" applyFill="1" applyBorder="1">
      <alignment/>
      <protection/>
    </xf>
    <xf numFmtId="4" fontId="8" fillId="0" borderId="17" xfId="45" applyNumberFormat="1" applyFont="1" applyBorder="1" applyAlignment="1" applyProtection="1">
      <alignment horizontal="center" vertical="center"/>
      <protection/>
    </xf>
    <xf numFmtId="4" fontId="8" fillId="0" borderId="18" xfId="45" applyNumberFormat="1" applyFont="1" applyBorder="1" applyAlignment="1" applyProtection="1">
      <alignment horizontal="center" vertical="center"/>
      <protection/>
    </xf>
    <xf numFmtId="4" fontId="8" fillId="0" borderId="19" xfId="45" applyNumberFormat="1" applyFont="1" applyBorder="1" applyAlignment="1" applyProtection="1">
      <alignment horizontal="center" vertical="center"/>
      <protection/>
    </xf>
    <xf numFmtId="4" fontId="8" fillId="0" borderId="20" xfId="45" applyNumberFormat="1" applyFont="1" applyBorder="1" applyAlignment="1" applyProtection="1">
      <alignment horizontal="center" vertical="center"/>
      <protection/>
    </xf>
    <xf numFmtId="4" fontId="8" fillId="0" borderId="21" xfId="45" applyNumberFormat="1" applyFont="1" applyBorder="1" applyAlignment="1" applyProtection="1">
      <alignment horizontal="center" vertical="center"/>
      <protection/>
    </xf>
    <xf numFmtId="4" fontId="8" fillId="0" borderId="22" xfId="45" applyNumberFormat="1" applyFont="1" applyBorder="1" applyAlignment="1" applyProtection="1">
      <alignment horizontal="center" vertical="center"/>
      <protection/>
    </xf>
    <xf numFmtId="4" fontId="8" fillId="0" borderId="23" xfId="45" applyNumberFormat="1" applyFont="1" applyBorder="1" applyAlignment="1" applyProtection="1">
      <alignment horizontal="center" vertical="center"/>
      <protection/>
    </xf>
    <xf numFmtId="4" fontId="8" fillId="0" borderId="24" xfId="45" applyNumberFormat="1" applyFont="1" applyBorder="1" applyAlignment="1" applyProtection="1">
      <alignment horizontal="center" vertical="center"/>
      <protection/>
    </xf>
    <xf numFmtId="172" fontId="12" fillId="0" borderId="25" xfId="45" applyNumberFormat="1" applyFont="1" applyFill="1" applyBorder="1" applyAlignment="1" applyProtection="1">
      <alignment horizontal="center" vertical="center"/>
      <protection/>
    </xf>
    <xf numFmtId="172" fontId="12" fillId="0" borderId="26" xfId="45" applyNumberFormat="1" applyFont="1" applyFill="1" applyBorder="1" applyAlignment="1" applyProtection="1">
      <alignment horizontal="center" vertical="center"/>
      <protection/>
    </xf>
    <xf numFmtId="4" fontId="8" fillId="0" borderId="27" xfId="45" applyNumberFormat="1" applyFont="1" applyBorder="1" applyAlignment="1" applyProtection="1">
      <alignment horizontal="center" vertical="center"/>
      <protection/>
    </xf>
    <xf numFmtId="172" fontId="12" fillId="0" borderId="28" xfId="45" applyNumberFormat="1" applyFont="1" applyFill="1" applyBorder="1" applyAlignment="1" applyProtection="1">
      <alignment horizontal="center"/>
      <protection/>
    </xf>
    <xf numFmtId="172" fontId="13" fillId="0" borderId="28" xfId="45" applyNumberFormat="1" applyFont="1" applyFill="1" applyBorder="1" applyAlignment="1" applyProtection="1">
      <alignment horizontal="center"/>
      <protection/>
    </xf>
    <xf numFmtId="172" fontId="7" fillId="0" borderId="29" xfId="45" applyFont="1" applyFill="1" applyBorder="1">
      <alignment/>
      <protection/>
    </xf>
    <xf numFmtId="172" fontId="7" fillId="0" borderId="30" xfId="45" applyFont="1" applyFill="1" applyBorder="1">
      <alignment/>
      <protection/>
    </xf>
    <xf numFmtId="172" fontId="12" fillId="0" borderId="31" xfId="45" applyNumberFormat="1" applyFont="1" applyFill="1" applyBorder="1" applyAlignment="1" applyProtection="1">
      <alignment horizontal="center"/>
      <protection/>
    </xf>
    <xf numFmtId="4" fontId="57" fillId="0" borderId="13" xfId="45" applyNumberFormat="1" applyFont="1" applyBorder="1" applyAlignment="1" applyProtection="1">
      <alignment horizontal="center" vertical="center"/>
      <protection/>
    </xf>
    <xf numFmtId="172" fontId="2" fillId="0" borderId="0" xfId="45" applyFont="1">
      <alignment/>
      <protection/>
    </xf>
    <xf numFmtId="4" fontId="8" fillId="0" borderId="32" xfId="45" applyNumberFormat="1" applyFont="1" applyBorder="1" applyAlignment="1" applyProtection="1">
      <alignment horizontal="center" vertical="center"/>
      <protection/>
    </xf>
    <xf numFmtId="4" fontId="8" fillId="0" borderId="33" xfId="45" applyNumberFormat="1" applyFont="1" applyBorder="1" applyAlignment="1" applyProtection="1">
      <alignment horizontal="center" vertical="center"/>
      <protection/>
    </xf>
    <xf numFmtId="172" fontId="2" fillId="0" borderId="0" xfId="45" applyBorder="1" applyAlignment="1">
      <alignment vertical="center"/>
      <protection/>
    </xf>
    <xf numFmtId="172" fontId="8" fillId="0" borderId="34" xfId="45" applyFont="1" applyBorder="1" applyAlignment="1">
      <alignment horizontal="center" vertical="center"/>
      <protection/>
    </xf>
    <xf numFmtId="2" fontId="8" fillId="0" borderId="35" xfId="45" applyNumberFormat="1" applyFont="1" applyBorder="1" applyAlignment="1">
      <alignment horizontal="center" vertical="center"/>
      <protection/>
    </xf>
    <xf numFmtId="2" fontId="8" fillId="0" borderId="23" xfId="45" applyNumberFormat="1" applyFont="1" applyBorder="1" applyAlignment="1">
      <alignment horizontal="center" vertical="center"/>
      <protection/>
    </xf>
    <xf numFmtId="2" fontId="8" fillId="0" borderId="34" xfId="45" applyNumberFormat="1" applyFont="1" applyBorder="1" applyAlignment="1">
      <alignment horizontal="center" vertical="center"/>
      <protection/>
    </xf>
    <xf numFmtId="2" fontId="8" fillId="0" borderId="36" xfId="45" applyNumberFormat="1" applyFont="1" applyBorder="1" applyAlignment="1">
      <alignment horizontal="center" vertical="center"/>
      <protection/>
    </xf>
    <xf numFmtId="2" fontId="8" fillId="0" borderId="21" xfId="45" applyNumberFormat="1" applyFont="1" applyBorder="1" applyAlignment="1">
      <alignment horizontal="center" vertical="center"/>
      <protection/>
    </xf>
    <xf numFmtId="2" fontId="8" fillId="0" borderId="37" xfId="45" applyNumberFormat="1" applyFont="1" applyBorder="1" applyAlignment="1">
      <alignment horizontal="center" vertical="center"/>
      <protection/>
    </xf>
    <xf numFmtId="2" fontId="8" fillId="0" borderId="38" xfId="45" applyNumberFormat="1" applyFont="1" applyBorder="1" applyAlignment="1">
      <alignment horizontal="center" vertical="center"/>
      <protection/>
    </xf>
    <xf numFmtId="2" fontId="8" fillId="0" borderId="39" xfId="45" applyNumberFormat="1" applyFont="1" applyBorder="1" applyAlignment="1">
      <alignment horizontal="center" vertical="center"/>
      <protection/>
    </xf>
    <xf numFmtId="2" fontId="8" fillId="0" borderId="40" xfId="45" applyNumberFormat="1" applyFont="1" applyBorder="1" applyAlignment="1">
      <alignment horizontal="center" vertical="center"/>
      <protection/>
    </xf>
    <xf numFmtId="2" fontId="8" fillId="0" borderId="41" xfId="45" applyNumberFormat="1" applyFont="1" applyBorder="1" applyAlignment="1">
      <alignment horizontal="center" vertical="center"/>
      <protection/>
    </xf>
    <xf numFmtId="2" fontId="8" fillId="0" borderId="42" xfId="45" applyNumberFormat="1" applyFont="1" applyBorder="1" applyAlignment="1">
      <alignment horizontal="center" vertical="center"/>
      <protection/>
    </xf>
    <xf numFmtId="172" fontId="2" fillId="0" borderId="0" xfId="45" applyAlignment="1">
      <alignment horizontal="center" vertical="center"/>
      <protection/>
    </xf>
    <xf numFmtId="172" fontId="2" fillId="0" borderId="0" xfId="45" applyAlignment="1">
      <alignment horizontal="left" vertical="top"/>
      <protection/>
    </xf>
    <xf numFmtId="4" fontId="8" fillId="0" borderId="13" xfId="45" applyNumberFormat="1" applyFont="1" applyBorder="1" applyAlignment="1" applyProtection="1">
      <alignment horizontal="center" vertical="center"/>
      <protection/>
    </xf>
    <xf numFmtId="4" fontId="8" fillId="0" borderId="17" xfId="45" applyNumberFormat="1" applyFont="1" applyBorder="1" applyAlignment="1" applyProtection="1">
      <alignment horizontal="center" vertical="center"/>
      <protection/>
    </xf>
    <xf numFmtId="4" fontId="8" fillId="0" borderId="21" xfId="45" applyNumberFormat="1" applyFont="1" applyBorder="1" applyAlignment="1" applyProtection="1">
      <alignment horizontal="center" vertical="center"/>
      <protection/>
    </xf>
    <xf numFmtId="4" fontId="8" fillId="0" borderId="22" xfId="45" applyNumberFormat="1" applyFont="1" applyBorder="1" applyAlignment="1" applyProtection="1">
      <alignment horizontal="center" vertical="center"/>
      <protection/>
    </xf>
    <xf numFmtId="172" fontId="2" fillId="0" borderId="43" xfId="45" applyFont="1" applyBorder="1" applyAlignment="1">
      <alignment horizontal="center" vertical="center"/>
      <protection/>
    </xf>
    <xf numFmtId="172" fontId="2" fillId="0" borderId="0" xfId="45" applyFont="1" applyAlignment="1">
      <alignment horizontal="center" vertical="center"/>
      <protection/>
    </xf>
    <xf numFmtId="172" fontId="2" fillId="0" borderId="44" xfId="45" applyFont="1" applyBorder="1" applyAlignment="1">
      <alignment horizontal="center" vertical="center"/>
      <protection/>
    </xf>
    <xf numFmtId="172" fontId="12" fillId="0" borderId="11" xfId="45" applyNumberFormat="1" applyFont="1" applyFill="1" applyBorder="1" applyAlignment="1" applyProtection="1">
      <alignment horizontal="center"/>
      <protection/>
    </xf>
    <xf numFmtId="172" fontId="8" fillId="0" borderId="0" xfId="45" applyNumberFormat="1" applyFont="1" applyFill="1" applyBorder="1" applyAlignment="1" applyProtection="1">
      <alignment horizontal="center" vertical="center"/>
      <protection/>
    </xf>
    <xf numFmtId="172" fontId="8" fillId="0" borderId="39" xfId="45" applyNumberFormat="1" applyFont="1" applyFill="1" applyBorder="1" applyAlignment="1" applyProtection="1">
      <alignment horizontal="center" vertical="center"/>
      <protection/>
    </xf>
    <xf numFmtId="172" fontId="14" fillId="0" borderId="0" xfId="45" applyNumberFormat="1" applyFont="1" applyFill="1" applyBorder="1" applyAlignment="1" applyProtection="1">
      <alignment horizontal="center" vertical="center"/>
      <protection/>
    </xf>
    <xf numFmtId="172" fontId="13" fillId="0" borderId="26" xfId="45" applyNumberFormat="1" applyFont="1" applyFill="1" applyBorder="1" applyAlignment="1" applyProtection="1">
      <alignment horizontal="center"/>
      <protection/>
    </xf>
    <xf numFmtId="172" fontId="13" fillId="0" borderId="45" xfId="45" applyNumberFormat="1" applyFont="1" applyFill="1" applyBorder="1" applyAlignment="1" applyProtection="1">
      <alignment horizontal="center"/>
      <protection/>
    </xf>
    <xf numFmtId="172" fontId="12" fillId="0" borderId="45" xfId="45" applyNumberFormat="1" applyFont="1" applyFill="1" applyBorder="1" applyAlignment="1" applyProtection="1">
      <alignment horizontal="center"/>
      <protection/>
    </xf>
    <xf numFmtId="172" fontId="8" fillId="0" borderId="45" xfId="45" applyNumberFormat="1" applyFont="1" applyFill="1" applyBorder="1" applyAlignment="1" applyProtection="1">
      <alignment horizontal="center" vertical="center"/>
      <protection/>
    </xf>
    <xf numFmtId="172" fontId="8" fillId="0" borderId="46" xfId="45" applyNumberFormat="1" applyFont="1" applyFill="1" applyBorder="1" applyAlignment="1" applyProtection="1">
      <alignment horizontal="center" vertical="center"/>
      <protection/>
    </xf>
    <xf numFmtId="172" fontId="8" fillId="0" borderId="47" xfId="45" applyNumberFormat="1" applyFont="1" applyFill="1" applyBorder="1" applyAlignment="1" applyProtection="1">
      <alignment horizontal="center" vertical="center"/>
      <protection/>
    </xf>
    <xf numFmtId="172" fontId="12" fillId="0" borderId="46" xfId="45" applyNumberFormat="1" applyFont="1" applyFill="1" applyBorder="1" applyAlignment="1" applyProtection="1">
      <alignment horizontal="center"/>
      <protection/>
    </xf>
    <xf numFmtId="172" fontId="7" fillId="0" borderId="37" xfId="45" applyFont="1" applyFill="1" applyBorder="1">
      <alignment/>
      <protection/>
    </xf>
    <xf numFmtId="172" fontId="7" fillId="0" borderId="39" xfId="45" applyFont="1" applyFill="1" applyBorder="1">
      <alignment/>
      <protection/>
    </xf>
    <xf numFmtId="172" fontId="7" fillId="0" borderId="45" xfId="45" applyFont="1" applyFill="1" applyBorder="1">
      <alignment/>
      <protection/>
    </xf>
    <xf numFmtId="172" fontId="7" fillId="0" borderId="48" xfId="45" applyFont="1" applyFill="1" applyBorder="1">
      <alignment/>
      <protection/>
    </xf>
    <xf numFmtId="172" fontId="7" fillId="0" borderId="49" xfId="45" applyFont="1" applyFill="1" applyBorder="1" applyAlignment="1">
      <alignment horizontal="left"/>
      <protection/>
    </xf>
    <xf numFmtId="172" fontId="7" fillId="0" borderId="50" xfId="45" applyFont="1" applyFill="1" applyBorder="1" applyAlignment="1">
      <alignment horizontal="left"/>
      <protection/>
    </xf>
    <xf numFmtId="172" fontId="2" fillId="0" borderId="0" xfId="45" applyAlignment="1">
      <alignment vertical="center"/>
      <protection/>
    </xf>
    <xf numFmtId="172" fontId="5" fillId="0" borderId="0" xfId="45" applyFont="1" applyAlignment="1">
      <alignment vertical="center"/>
      <protection/>
    </xf>
    <xf numFmtId="172" fontId="5" fillId="0" borderId="0" xfId="45" applyFont="1" applyBorder="1" applyAlignment="1">
      <alignment vertical="center"/>
      <protection/>
    </xf>
    <xf numFmtId="172" fontId="8" fillId="0" borderId="26" xfId="45" applyNumberFormat="1" applyFont="1" applyFill="1" applyBorder="1" applyAlignment="1" applyProtection="1">
      <alignment horizontal="center" vertical="center"/>
      <protection/>
    </xf>
    <xf numFmtId="172" fontId="8" fillId="0" borderId="47" xfId="45" applyFont="1" applyBorder="1" applyAlignment="1">
      <alignment horizontal="center" vertical="center"/>
      <protection/>
    </xf>
    <xf numFmtId="172" fontId="8" fillId="0" borderId="43" xfId="45" applyFont="1" applyBorder="1" applyAlignment="1">
      <alignment horizontal="center" vertical="center"/>
      <protection/>
    </xf>
    <xf numFmtId="172" fontId="8" fillId="0" borderId="0" xfId="45" applyFont="1" applyAlignment="1">
      <alignment horizontal="center" vertical="center"/>
      <protection/>
    </xf>
    <xf numFmtId="172" fontId="12" fillId="0" borderId="12" xfId="45" applyNumberFormat="1" applyFont="1" applyFill="1" applyBorder="1" applyAlignment="1" applyProtection="1">
      <alignment horizontal="center" vertical="center"/>
      <protection/>
    </xf>
    <xf numFmtId="172" fontId="12" fillId="0" borderId="41" xfId="45" applyNumberFormat="1" applyFont="1" applyFill="1" applyBorder="1" applyAlignment="1" applyProtection="1">
      <alignment horizontal="center" vertical="center"/>
      <protection/>
    </xf>
    <xf numFmtId="172" fontId="12" fillId="0" borderId="51" xfId="45" applyNumberFormat="1" applyFont="1" applyFill="1" applyBorder="1" applyAlignment="1" applyProtection="1">
      <alignment horizontal="center" vertical="center"/>
      <protection/>
    </xf>
    <xf numFmtId="172" fontId="12" fillId="0" borderId="16" xfId="45" applyNumberFormat="1" applyFont="1" applyFill="1" applyBorder="1" applyAlignment="1" applyProtection="1">
      <alignment horizontal="center" vertical="center"/>
      <protection/>
    </xf>
    <xf numFmtId="172" fontId="12" fillId="0" borderId="52" xfId="45" applyNumberFormat="1" applyFont="1" applyFill="1" applyBorder="1" applyAlignment="1" applyProtection="1">
      <alignment horizontal="center" vertical="center"/>
      <protection/>
    </xf>
    <xf numFmtId="172" fontId="12" fillId="0" borderId="15" xfId="45" applyNumberFormat="1" applyFont="1" applyFill="1" applyBorder="1" applyAlignment="1" applyProtection="1">
      <alignment horizontal="center" vertical="center"/>
      <protection/>
    </xf>
    <xf numFmtId="172" fontId="12" fillId="0" borderId="42" xfId="45" applyNumberFormat="1" applyFont="1" applyFill="1" applyBorder="1" applyAlignment="1" applyProtection="1">
      <alignment horizontal="center" vertical="center"/>
      <protection/>
    </xf>
    <xf numFmtId="172" fontId="12" fillId="0" borderId="53" xfId="45" applyNumberFormat="1" applyFont="1" applyFill="1" applyBorder="1" applyAlignment="1" applyProtection="1">
      <alignment horizontal="center" vertical="center"/>
      <protection/>
    </xf>
    <xf numFmtId="172" fontId="12" fillId="0" borderId="51" xfId="45" applyNumberFormat="1" applyFont="1" applyFill="1" applyBorder="1" applyAlignment="1" applyProtection="1">
      <alignment horizontal="center" vertical="center"/>
      <protection/>
    </xf>
    <xf numFmtId="172" fontId="12" fillId="0" borderId="52" xfId="45" applyNumberFormat="1" applyFont="1" applyFill="1" applyBorder="1" applyAlignment="1" applyProtection="1">
      <alignment horizontal="center" vertical="center"/>
      <protection/>
    </xf>
    <xf numFmtId="172" fontId="9" fillId="0" borderId="54" xfId="45" applyNumberFormat="1" applyFont="1" applyFill="1" applyBorder="1" applyAlignment="1" applyProtection="1">
      <alignment vertical="center"/>
      <protection/>
    </xf>
    <xf numFmtId="172" fontId="9" fillId="0" borderId="10" xfId="45" applyNumberFormat="1" applyFont="1" applyFill="1" applyBorder="1" applyAlignment="1" applyProtection="1">
      <alignment vertical="center"/>
      <protection/>
    </xf>
    <xf numFmtId="172" fontId="9" fillId="0" borderId="37" xfId="45" applyNumberFormat="1" applyFont="1" applyFill="1" applyBorder="1" applyAlignment="1" applyProtection="1">
      <alignment vertical="center"/>
      <protection/>
    </xf>
    <xf numFmtId="172" fontId="11" fillId="0" borderId="55" xfId="45" applyNumberFormat="1" applyFont="1" applyFill="1" applyBorder="1" applyAlignment="1" applyProtection="1">
      <alignment vertical="center"/>
      <protection/>
    </xf>
    <xf numFmtId="172" fontId="11" fillId="0" borderId="19" xfId="45" applyNumberFormat="1" applyFont="1" applyFill="1" applyBorder="1" applyAlignment="1" applyProtection="1">
      <alignment vertical="center"/>
      <protection/>
    </xf>
    <xf numFmtId="172" fontId="11" fillId="0" borderId="56" xfId="45" applyNumberFormat="1" applyFont="1" applyFill="1" applyBorder="1" applyAlignment="1" applyProtection="1">
      <alignment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1240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5350" y="2124075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124075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5</xdr:row>
      <xdr:rowOff>0</xdr:rowOff>
    </xdr:from>
    <xdr:to>
      <xdr:col>79</xdr:col>
      <xdr:colOff>0</xdr:colOff>
      <xdr:row>7</xdr:row>
      <xdr:rowOff>114300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10648950" y="233362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79</xdr:col>
      <xdr:colOff>0</xdr:colOff>
      <xdr:row>4</xdr:row>
      <xdr:rowOff>66675</xdr:rowOff>
    </xdr:from>
    <xdr:to>
      <xdr:col>79</xdr:col>
      <xdr:colOff>0</xdr:colOff>
      <xdr:row>6</xdr:row>
      <xdr:rowOff>180975</xdr:rowOff>
    </xdr:to>
    <xdr:sp>
      <xdr:nvSpPr>
        <xdr:cNvPr id="5" name="Text 14"/>
        <xdr:cNvSpPr txBox="1">
          <a:spLocks noChangeArrowheads="1"/>
        </xdr:cNvSpPr>
      </xdr:nvSpPr>
      <xdr:spPr>
        <a:xfrm>
          <a:off x="10648950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1</xdr:row>
      <xdr:rowOff>123825</xdr:rowOff>
    </xdr:from>
    <xdr:to>
      <xdr:col>79</xdr:col>
      <xdr:colOff>0</xdr:colOff>
      <xdr:row>2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0648950" y="46672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79</xdr:col>
      <xdr:colOff>0</xdr:colOff>
      <xdr:row>2</xdr:row>
      <xdr:rowOff>123825</xdr:rowOff>
    </xdr:from>
    <xdr:to>
      <xdr:col>79</xdr:col>
      <xdr:colOff>0</xdr:colOff>
      <xdr:row>3</xdr:row>
      <xdr:rowOff>190500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10648950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79</xdr:col>
      <xdr:colOff>0</xdr:colOff>
      <xdr:row>2</xdr:row>
      <xdr:rowOff>123825</xdr:rowOff>
    </xdr:from>
    <xdr:to>
      <xdr:col>79</xdr:col>
      <xdr:colOff>0</xdr:colOff>
      <xdr:row>3</xdr:row>
      <xdr:rowOff>190500</xdr:rowOff>
    </xdr:to>
    <xdr:sp>
      <xdr:nvSpPr>
        <xdr:cNvPr id="8" name="Text 17"/>
        <xdr:cNvSpPr txBox="1">
          <a:spLocks noChangeArrowheads="1"/>
        </xdr:cNvSpPr>
      </xdr:nvSpPr>
      <xdr:spPr>
        <a:xfrm>
          <a:off x="10648950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79</xdr:col>
      <xdr:colOff>0</xdr:colOff>
      <xdr:row>2</xdr:row>
      <xdr:rowOff>123825</xdr:rowOff>
    </xdr:from>
    <xdr:to>
      <xdr:col>79</xdr:col>
      <xdr:colOff>0</xdr:colOff>
      <xdr:row>3</xdr:row>
      <xdr:rowOff>190500</xdr:rowOff>
    </xdr:to>
    <xdr:sp>
      <xdr:nvSpPr>
        <xdr:cNvPr id="9" name="Text 18"/>
        <xdr:cNvSpPr txBox="1">
          <a:spLocks noChangeArrowheads="1"/>
        </xdr:cNvSpPr>
      </xdr:nvSpPr>
      <xdr:spPr>
        <a:xfrm>
          <a:off x="10648950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79</xdr:col>
      <xdr:colOff>0</xdr:colOff>
      <xdr:row>4</xdr:row>
      <xdr:rowOff>66675</xdr:rowOff>
    </xdr:from>
    <xdr:to>
      <xdr:col>79</xdr:col>
      <xdr:colOff>0</xdr:colOff>
      <xdr:row>6</xdr:row>
      <xdr:rowOff>180975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10648950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4</xdr:row>
      <xdr:rowOff>66675</xdr:rowOff>
    </xdr:from>
    <xdr:to>
      <xdr:col>79</xdr:col>
      <xdr:colOff>0</xdr:colOff>
      <xdr:row>6</xdr:row>
      <xdr:rowOff>180975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10648950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79</xdr:col>
      <xdr:colOff>0</xdr:colOff>
      <xdr:row>4</xdr:row>
      <xdr:rowOff>66675</xdr:rowOff>
    </xdr:from>
    <xdr:to>
      <xdr:col>79</xdr:col>
      <xdr:colOff>0</xdr:colOff>
      <xdr:row>6</xdr:row>
      <xdr:rowOff>180975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648950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1</xdr:row>
      <xdr:rowOff>123825</xdr:rowOff>
    </xdr:from>
    <xdr:to>
      <xdr:col>79</xdr:col>
      <xdr:colOff>0</xdr:colOff>
      <xdr:row>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10648950" y="46672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79</xdr:col>
      <xdr:colOff>0</xdr:colOff>
      <xdr:row>2</xdr:row>
      <xdr:rowOff>66675</xdr:rowOff>
    </xdr:from>
    <xdr:to>
      <xdr:col>79</xdr:col>
      <xdr:colOff>0</xdr:colOff>
      <xdr:row>3</xdr:row>
      <xdr:rowOff>123825</xdr:rowOff>
    </xdr:to>
    <xdr:sp>
      <xdr:nvSpPr>
        <xdr:cNvPr id="14" name="Text 23"/>
        <xdr:cNvSpPr txBox="1">
          <a:spLocks noChangeArrowheads="1"/>
        </xdr:cNvSpPr>
      </xdr:nvSpPr>
      <xdr:spPr>
        <a:xfrm>
          <a:off x="10648950" y="10477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5" name="Text 25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16" name="Text 26"/>
        <xdr:cNvSpPr txBox="1">
          <a:spLocks noChangeArrowheads="1"/>
        </xdr:cNvSpPr>
      </xdr:nvSpPr>
      <xdr:spPr>
        <a:xfrm>
          <a:off x="895350" y="73628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17" name="Text 27"/>
        <xdr:cNvSpPr txBox="1">
          <a:spLocks noChangeArrowheads="1"/>
        </xdr:cNvSpPr>
      </xdr:nvSpPr>
      <xdr:spPr>
        <a:xfrm>
          <a:off x="57150" y="73628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18" name="Text 28"/>
        <xdr:cNvSpPr txBox="1">
          <a:spLocks noChangeArrowheads="1"/>
        </xdr:cNvSpPr>
      </xdr:nvSpPr>
      <xdr:spPr>
        <a:xfrm>
          <a:off x="28575" y="7362825"/>
          <a:ext cx="10620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55</xdr:col>
      <xdr:colOff>85725</xdr:colOff>
      <xdr:row>20</xdr:row>
      <xdr:rowOff>0</xdr:rowOff>
    </xdr:from>
    <xdr:to>
      <xdr:col>78</xdr:col>
      <xdr:colOff>695325</xdr:colOff>
      <xdr:row>20</xdr:row>
      <xdr:rowOff>0</xdr:rowOff>
    </xdr:to>
    <xdr:sp>
      <xdr:nvSpPr>
        <xdr:cNvPr id="19" name="Text 29"/>
        <xdr:cNvSpPr txBox="1">
          <a:spLocks noChangeArrowheads="1"/>
        </xdr:cNvSpPr>
      </xdr:nvSpPr>
      <xdr:spPr>
        <a:xfrm>
          <a:off x="7372350" y="7362825"/>
          <a:ext cx="3276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/..... Z. z.</a:t>
          </a:r>
        </a:p>
      </xdr:txBody>
    </xdr:sp>
    <xdr:clientData/>
  </xdr:twoCellAnchor>
  <xdr:twoCellAnchor>
    <xdr:from>
      <xdr:col>0</xdr:col>
      <xdr:colOff>76200</xdr:colOff>
      <xdr:row>2</xdr:row>
      <xdr:rowOff>104775</xdr:rowOff>
    </xdr:from>
    <xdr:to>
      <xdr:col>84</xdr:col>
      <xdr:colOff>704850</xdr:colOff>
      <xdr:row>3</xdr:row>
      <xdr:rowOff>219075</xdr:rowOff>
    </xdr:to>
    <xdr:sp>
      <xdr:nvSpPr>
        <xdr:cNvPr id="20" name="Text 11"/>
        <xdr:cNvSpPr txBox="1">
          <a:spLocks noChangeArrowheads="1"/>
        </xdr:cNvSpPr>
      </xdr:nvSpPr>
      <xdr:spPr>
        <a:xfrm>
          <a:off x="76200" y="1085850"/>
          <a:ext cx="1209675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 stupnica platových taríf vybraných skupín zamestnancov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666750</xdr:colOff>
      <xdr:row>20</xdr:row>
      <xdr:rowOff>0</xdr:rowOff>
    </xdr:to>
    <xdr:sp>
      <xdr:nvSpPr>
        <xdr:cNvPr id="21" name="Text 25"/>
        <xdr:cNvSpPr txBox="1">
          <a:spLocks noChangeArrowheads="1"/>
        </xdr:cNvSpPr>
      </xdr:nvSpPr>
      <xdr:spPr>
        <a:xfrm>
          <a:off x="57150" y="7362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666750</xdr:colOff>
      <xdr:row>20</xdr:row>
      <xdr:rowOff>0</xdr:rowOff>
    </xdr:to>
    <xdr:sp>
      <xdr:nvSpPr>
        <xdr:cNvPr id="22" name="Text 26"/>
        <xdr:cNvSpPr txBox="1">
          <a:spLocks noChangeArrowheads="1"/>
        </xdr:cNvSpPr>
      </xdr:nvSpPr>
      <xdr:spPr>
        <a:xfrm>
          <a:off x="895350" y="7362825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666750</xdr:colOff>
      <xdr:row>20</xdr:row>
      <xdr:rowOff>0</xdr:rowOff>
    </xdr:to>
    <xdr:sp>
      <xdr:nvSpPr>
        <xdr:cNvPr id="23" name="Text 27"/>
        <xdr:cNvSpPr txBox="1">
          <a:spLocks noChangeArrowheads="1"/>
        </xdr:cNvSpPr>
      </xdr:nvSpPr>
      <xdr:spPr>
        <a:xfrm>
          <a:off x="57150" y="7362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24" name="Text 28"/>
        <xdr:cNvSpPr txBox="1">
          <a:spLocks noChangeArrowheads="1"/>
        </xdr:cNvSpPr>
      </xdr:nvSpPr>
      <xdr:spPr>
        <a:xfrm>
          <a:off x="28575" y="7362825"/>
          <a:ext cx="10620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pre pedagogických zamestnancov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55</xdr:col>
      <xdr:colOff>9525</xdr:colOff>
      <xdr:row>20</xdr:row>
      <xdr:rowOff>0</xdr:rowOff>
    </xdr:from>
    <xdr:to>
      <xdr:col>78</xdr:col>
      <xdr:colOff>752475</xdr:colOff>
      <xdr:row>20</xdr:row>
      <xdr:rowOff>0</xdr:rowOff>
    </xdr:to>
    <xdr:sp>
      <xdr:nvSpPr>
        <xdr:cNvPr id="25" name="Text 29"/>
        <xdr:cNvSpPr txBox="1">
          <a:spLocks noChangeArrowheads="1"/>
        </xdr:cNvSpPr>
      </xdr:nvSpPr>
      <xdr:spPr>
        <a:xfrm>
          <a:off x="7372350" y="7362825"/>
          <a:ext cx="3276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7  k zákonu č.     /..... Z. z.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895350" y="73628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8" name="Text 8"/>
        <xdr:cNvSpPr txBox="1">
          <a:spLocks noChangeArrowheads="1"/>
        </xdr:cNvSpPr>
      </xdr:nvSpPr>
      <xdr:spPr>
        <a:xfrm>
          <a:off x="57150" y="73628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895350" y="73628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1" name="Text 8"/>
        <xdr:cNvSpPr txBox="1">
          <a:spLocks noChangeArrowheads="1"/>
        </xdr:cNvSpPr>
      </xdr:nvSpPr>
      <xdr:spPr>
        <a:xfrm>
          <a:off x="57150" y="73628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895350" y="73628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4" name="Text 8"/>
        <xdr:cNvSpPr txBox="1">
          <a:spLocks noChangeArrowheads="1"/>
        </xdr:cNvSpPr>
      </xdr:nvSpPr>
      <xdr:spPr>
        <a:xfrm>
          <a:off x="57150" y="73628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5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6" name="Text 2"/>
        <xdr:cNvSpPr txBox="1">
          <a:spLocks noChangeArrowheads="1"/>
        </xdr:cNvSpPr>
      </xdr:nvSpPr>
      <xdr:spPr>
        <a:xfrm>
          <a:off x="895350" y="73628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7" name="Text 8"/>
        <xdr:cNvSpPr txBox="1">
          <a:spLocks noChangeArrowheads="1"/>
        </xdr:cNvSpPr>
      </xdr:nvSpPr>
      <xdr:spPr>
        <a:xfrm>
          <a:off x="57150" y="73628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895350" y="73628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790575</xdr:colOff>
      <xdr:row>20</xdr:row>
      <xdr:rowOff>0</xdr:rowOff>
    </xdr:to>
    <xdr:sp>
      <xdr:nvSpPr>
        <xdr:cNvPr id="39" name="Text 8"/>
        <xdr:cNvSpPr txBox="1">
          <a:spLocks noChangeArrowheads="1"/>
        </xdr:cNvSpPr>
      </xdr:nvSpPr>
      <xdr:spPr>
        <a:xfrm>
          <a:off x="0" y="7362825"/>
          <a:ext cx="79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895350" y="73628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790575</xdr:colOff>
      <xdr:row>20</xdr:row>
      <xdr:rowOff>0</xdr:rowOff>
    </xdr:to>
    <xdr:sp>
      <xdr:nvSpPr>
        <xdr:cNvPr id="41" name="Text 8"/>
        <xdr:cNvSpPr txBox="1">
          <a:spLocks noChangeArrowheads="1"/>
        </xdr:cNvSpPr>
      </xdr:nvSpPr>
      <xdr:spPr>
        <a:xfrm>
          <a:off x="0" y="7362825"/>
          <a:ext cx="79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42" name="Text 2"/>
        <xdr:cNvSpPr txBox="1">
          <a:spLocks noChangeArrowheads="1"/>
        </xdr:cNvSpPr>
      </xdr:nvSpPr>
      <xdr:spPr>
        <a:xfrm>
          <a:off x="895350" y="73628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790575</xdr:colOff>
      <xdr:row>20</xdr:row>
      <xdr:rowOff>0</xdr:rowOff>
    </xdr:to>
    <xdr:sp>
      <xdr:nvSpPr>
        <xdr:cNvPr id="43" name="Text 8"/>
        <xdr:cNvSpPr txBox="1">
          <a:spLocks noChangeArrowheads="1"/>
        </xdr:cNvSpPr>
      </xdr:nvSpPr>
      <xdr:spPr>
        <a:xfrm>
          <a:off x="0" y="7362825"/>
          <a:ext cx="79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4</xdr:row>
      <xdr:rowOff>0</xdr:rowOff>
    </xdr:from>
    <xdr:to>
      <xdr:col>79</xdr:col>
      <xdr:colOff>0</xdr:colOff>
      <xdr:row>4</xdr:row>
      <xdr:rowOff>0</xdr:rowOff>
    </xdr:to>
    <xdr:sp>
      <xdr:nvSpPr>
        <xdr:cNvPr id="44" name="Text 25"/>
        <xdr:cNvSpPr txBox="1">
          <a:spLocks noChangeArrowheads="1"/>
        </xdr:cNvSpPr>
      </xdr:nvSpPr>
      <xdr:spPr>
        <a:xfrm>
          <a:off x="106489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4</xdr:row>
      <xdr:rowOff>0</xdr:rowOff>
    </xdr:from>
    <xdr:to>
      <xdr:col>79</xdr:col>
      <xdr:colOff>0</xdr:colOff>
      <xdr:row>4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106489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79</xdr:col>
      <xdr:colOff>0</xdr:colOff>
      <xdr:row>4</xdr:row>
      <xdr:rowOff>0</xdr:rowOff>
    </xdr:from>
    <xdr:to>
      <xdr:col>79</xdr:col>
      <xdr:colOff>0</xdr:colOff>
      <xdr:row>4</xdr:row>
      <xdr:rowOff>0</xdr:rowOff>
    </xdr:to>
    <xdr:sp>
      <xdr:nvSpPr>
        <xdr:cNvPr id="46" name="Text 27"/>
        <xdr:cNvSpPr txBox="1">
          <a:spLocks noChangeArrowheads="1"/>
        </xdr:cNvSpPr>
      </xdr:nvSpPr>
      <xdr:spPr>
        <a:xfrm>
          <a:off x="106489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4</xdr:row>
      <xdr:rowOff>0</xdr:rowOff>
    </xdr:from>
    <xdr:to>
      <xdr:col>79</xdr:col>
      <xdr:colOff>0</xdr:colOff>
      <xdr:row>4</xdr:row>
      <xdr:rowOff>0</xdr:rowOff>
    </xdr:to>
    <xdr:sp>
      <xdr:nvSpPr>
        <xdr:cNvPr id="47" name="Text 28"/>
        <xdr:cNvSpPr txBox="1">
          <a:spLocks noChangeArrowheads="1"/>
        </xdr:cNvSpPr>
      </xdr:nvSpPr>
      <xdr:spPr>
        <a:xfrm>
          <a:off x="106489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pre pedagogických zamestnancov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79</xdr:col>
      <xdr:colOff>0</xdr:colOff>
      <xdr:row>4</xdr:row>
      <xdr:rowOff>0</xdr:rowOff>
    </xdr:from>
    <xdr:to>
      <xdr:col>79</xdr:col>
      <xdr:colOff>0</xdr:colOff>
      <xdr:row>4</xdr:row>
      <xdr:rowOff>0</xdr:rowOff>
    </xdr:to>
    <xdr:sp>
      <xdr:nvSpPr>
        <xdr:cNvPr id="48" name="Text 29"/>
        <xdr:cNvSpPr txBox="1">
          <a:spLocks noChangeArrowheads="1"/>
        </xdr:cNvSpPr>
      </xdr:nvSpPr>
      <xdr:spPr>
        <a:xfrm>
          <a:off x="106489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7  k zákonu č.     /..... Z. z.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50" name="Text 2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51" name="Text 8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53" name="Text 8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55" name="Text 2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56" name="Text 8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59" name="Text 8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62" name="Text 8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63" name="Text 2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64" name="Text 8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66" name="Text 8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67" name="Text 1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69" name="Text 8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79</xdr:col>
      <xdr:colOff>0</xdr:colOff>
      <xdr:row>20</xdr:row>
      <xdr:rowOff>0</xdr:rowOff>
    </xdr:to>
    <xdr:sp>
      <xdr:nvSpPr>
        <xdr:cNvPr id="71" name="Text 8"/>
        <xdr:cNvSpPr txBox="1">
          <a:spLocks noChangeArrowheads="1"/>
        </xdr:cNvSpPr>
      </xdr:nvSpPr>
      <xdr:spPr>
        <a:xfrm>
          <a:off x="106489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58</xdr:col>
      <xdr:colOff>685800</xdr:colOff>
      <xdr:row>1</xdr:row>
      <xdr:rowOff>152400</xdr:rowOff>
    </xdr:from>
    <xdr:to>
      <xdr:col>84</xdr:col>
      <xdr:colOff>600075</xdr:colOff>
      <xdr:row>1</xdr:row>
      <xdr:rowOff>419100</xdr:rowOff>
    </xdr:to>
    <xdr:sp>
      <xdr:nvSpPr>
        <xdr:cNvPr id="72" name="Text 24"/>
        <xdr:cNvSpPr txBox="1">
          <a:spLocks noChangeArrowheads="1"/>
        </xdr:cNvSpPr>
      </xdr:nvSpPr>
      <xdr:spPr>
        <a:xfrm>
          <a:off x="8058150" y="495300"/>
          <a:ext cx="40100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Príloha č. 2 k nariadeniu vlády č. ../2015 Z. 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9"/>
  <sheetViews>
    <sheetView tabSelected="1" zoomScale="75" zoomScaleNormal="75" zoomScalePageLayoutView="0" workbookViewId="0" topLeftCell="A1">
      <selection activeCell="CJ3" sqref="CJ3"/>
    </sheetView>
  </sheetViews>
  <sheetFormatPr defaultColWidth="16.375" defaultRowHeight="12.75"/>
  <cols>
    <col min="1" max="2" width="10.75390625" style="1" customWidth="1"/>
    <col min="3" max="4" width="9.375" style="2" hidden="1" customWidth="1"/>
    <col min="5" max="16" width="9.375" style="1" hidden="1" customWidth="1"/>
    <col min="17" max="17" width="10.75390625" style="76" customWidth="1"/>
    <col min="18" max="22" width="9.375" style="1" hidden="1" customWidth="1"/>
    <col min="23" max="23" width="10.75390625" style="1" customWidth="1"/>
    <col min="24" max="28" width="9.375" style="1" hidden="1" customWidth="1"/>
    <col min="29" max="29" width="10.75390625" style="1" customWidth="1"/>
    <col min="30" max="34" width="9.375" style="1" hidden="1" customWidth="1"/>
    <col min="35" max="35" width="10.75390625" style="1" customWidth="1"/>
    <col min="36" max="40" width="9.375" style="1" hidden="1" customWidth="1"/>
    <col min="41" max="41" width="10.75390625" style="1" customWidth="1"/>
    <col min="42" max="46" width="9.375" style="1" hidden="1" customWidth="1"/>
    <col min="47" max="47" width="10.75390625" style="1" customWidth="1"/>
    <col min="48" max="52" width="9.375" style="1" hidden="1" customWidth="1"/>
    <col min="53" max="53" width="10.75390625" style="1" customWidth="1"/>
    <col min="54" max="58" width="9.375" style="1" hidden="1" customWidth="1"/>
    <col min="59" max="59" width="10.75390625" style="1" customWidth="1"/>
    <col min="60" max="64" width="9.375" style="1" hidden="1" customWidth="1"/>
    <col min="65" max="65" width="10.75390625" style="1" customWidth="1"/>
    <col min="66" max="67" width="9.375" style="1" hidden="1" customWidth="1"/>
    <col min="68" max="70" width="10.625" style="1" hidden="1" customWidth="1"/>
    <col min="71" max="71" width="10.75390625" style="1" customWidth="1"/>
    <col min="72" max="75" width="10.625" style="1" hidden="1" customWidth="1"/>
    <col min="76" max="76" width="10.75390625" style="1" customWidth="1"/>
    <col min="77" max="78" width="10.625" style="1" hidden="1" customWidth="1"/>
    <col min="79" max="79" width="11.125" style="1" hidden="1" customWidth="1"/>
    <col min="80" max="81" width="0" style="1" hidden="1" customWidth="1"/>
    <col min="82" max="82" width="10.75390625" style="1" customWidth="1"/>
    <col min="83" max="83" width="11.25390625" style="1" hidden="1" customWidth="1"/>
    <col min="84" max="84" width="10.75390625" style="1" hidden="1" customWidth="1"/>
    <col min="85" max="86" width="10.75390625" style="1" customWidth="1"/>
    <col min="87" max="16384" width="16.375" style="1" customWidth="1"/>
  </cols>
  <sheetData>
    <row r="1" ht="27" customHeight="1">
      <c r="L1" s="34"/>
    </row>
    <row r="2" spans="1:87" ht="50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77"/>
      <c r="R2" s="4"/>
      <c r="S2" s="4"/>
      <c r="T2" s="5"/>
      <c r="U2" s="5"/>
      <c r="V2" s="5"/>
      <c r="W2" s="5"/>
      <c r="X2" s="5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I2" s="2"/>
    </row>
    <row r="3" spans="1:87" ht="4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7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E3" s="2"/>
      <c r="CG3" s="50"/>
      <c r="CI3" s="2"/>
    </row>
    <row r="4" spans="1:87" ht="43.5" customHeight="1" thickBot="1">
      <c r="A4" s="6"/>
      <c r="B4" s="4"/>
      <c r="C4" s="4"/>
      <c r="D4" s="4"/>
      <c r="E4" s="6"/>
      <c r="F4" s="6"/>
      <c r="G4" s="6"/>
      <c r="H4" s="6"/>
      <c r="I4" s="4"/>
      <c r="J4" s="4"/>
      <c r="K4" s="4"/>
      <c r="L4" s="4"/>
      <c r="M4" s="4"/>
      <c r="N4" s="7"/>
      <c r="O4" s="7"/>
      <c r="P4" s="7"/>
      <c r="Q4" s="78"/>
      <c r="R4" s="7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D4" s="2"/>
      <c r="CE4" s="2"/>
      <c r="CF4" s="37"/>
      <c r="CG4" s="37"/>
      <c r="CH4" s="2"/>
      <c r="CI4" s="51"/>
    </row>
    <row r="5" spans="1:86" ht="21.75" customHeight="1">
      <c r="A5" s="73"/>
      <c r="B5" s="70"/>
      <c r="C5" s="8"/>
      <c r="D5" s="30"/>
      <c r="E5" s="8"/>
      <c r="F5" s="8"/>
      <c r="G5" s="8"/>
      <c r="H5" s="8"/>
      <c r="I5" s="93" t="s">
        <v>12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5"/>
    </row>
    <row r="6" spans="1:87" ht="28.5" customHeight="1">
      <c r="A6" s="74"/>
      <c r="B6" s="71"/>
      <c r="C6" s="16"/>
      <c r="D6" s="31"/>
      <c r="E6" s="9"/>
      <c r="F6" s="9"/>
      <c r="G6" s="9"/>
      <c r="H6" s="9"/>
      <c r="I6" s="96" t="s">
        <v>13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8"/>
      <c r="CI6" s="50"/>
    </row>
    <row r="7" spans="1:86" ht="21.75" customHeight="1" thickBot="1">
      <c r="A7" s="75"/>
      <c r="B7" s="72"/>
      <c r="C7" s="15">
        <v>1</v>
      </c>
      <c r="D7" s="32">
        <v>1</v>
      </c>
      <c r="E7" s="29">
        <v>2</v>
      </c>
      <c r="F7" s="29"/>
      <c r="G7" s="28">
        <v>1</v>
      </c>
      <c r="H7" s="59">
        <v>2</v>
      </c>
      <c r="I7" s="63">
        <v>3</v>
      </c>
      <c r="J7" s="64"/>
      <c r="K7" s="64"/>
      <c r="L7" s="65">
        <v>2</v>
      </c>
      <c r="M7" s="65">
        <v>3</v>
      </c>
      <c r="N7" s="65">
        <v>4</v>
      </c>
      <c r="O7" s="65"/>
      <c r="P7" s="69"/>
      <c r="Q7" s="79">
        <v>1</v>
      </c>
      <c r="R7" s="66">
        <v>3</v>
      </c>
      <c r="S7" s="66">
        <v>4</v>
      </c>
      <c r="T7" s="66">
        <v>5</v>
      </c>
      <c r="U7" s="66"/>
      <c r="V7" s="66"/>
      <c r="W7" s="68">
        <v>2</v>
      </c>
      <c r="X7" s="66">
        <v>4</v>
      </c>
      <c r="Y7" s="66">
        <v>5</v>
      </c>
      <c r="Z7" s="66">
        <v>6</v>
      </c>
      <c r="AA7" s="66"/>
      <c r="AB7" s="66"/>
      <c r="AC7" s="68">
        <v>3</v>
      </c>
      <c r="AD7" s="66">
        <v>5</v>
      </c>
      <c r="AE7" s="66">
        <v>6</v>
      </c>
      <c r="AF7" s="66">
        <v>7</v>
      </c>
      <c r="AG7" s="66"/>
      <c r="AH7" s="66"/>
      <c r="AI7" s="68">
        <v>4</v>
      </c>
      <c r="AJ7" s="66">
        <v>6</v>
      </c>
      <c r="AK7" s="66">
        <v>7</v>
      </c>
      <c r="AL7" s="66">
        <v>8</v>
      </c>
      <c r="AM7" s="66"/>
      <c r="AN7" s="66"/>
      <c r="AO7" s="68">
        <v>5</v>
      </c>
      <c r="AP7" s="66">
        <v>7</v>
      </c>
      <c r="AQ7" s="66">
        <v>8</v>
      </c>
      <c r="AR7" s="66">
        <v>9</v>
      </c>
      <c r="AS7" s="66"/>
      <c r="AT7" s="66"/>
      <c r="AU7" s="66">
        <v>6</v>
      </c>
      <c r="AV7" s="66">
        <v>8</v>
      </c>
      <c r="AW7" s="66">
        <v>9</v>
      </c>
      <c r="AX7" s="66">
        <v>10</v>
      </c>
      <c r="AY7" s="66"/>
      <c r="AZ7" s="66"/>
      <c r="BA7" s="66">
        <v>7</v>
      </c>
      <c r="BB7" s="66">
        <v>9</v>
      </c>
      <c r="BC7" s="66">
        <v>10</v>
      </c>
      <c r="BD7" s="66">
        <v>11</v>
      </c>
      <c r="BE7" s="66"/>
      <c r="BF7" s="66"/>
      <c r="BG7" s="66">
        <v>8</v>
      </c>
      <c r="BH7" s="66">
        <v>10</v>
      </c>
      <c r="BI7" s="66">
        <v>11</v>
      </c>
      <c r="BJ7" s="66">
        <v>12</v>
      </c>
      <c r="BK7" s="67"/>
      <c r="BL7" s="67"/>
      <c r="BM7" s="66">
        <v>9</v>
      </c>
      <c r="BN7" s="67">
        <v>11</v>
      </c>
      <c r="BO7" s="67">
        <v>12</v>
      </c>
      <c r="BP7" s="67">
        <v>13</v>
      </c>
      <c r="BQ7" s="67"/>
      <c r="BR7" s="67"/>
      <c r="BS7" s="67">
        <v>10</v>
      </c>
      <c r="BT7" s="67">
        <v>12</v>
      </c>
      <c r="BU7" s="68">
        <v>13</v>
      </c>
      <c r="BV7" s="67"/>
      <c r="BW7" s="67"/>
      <c r="BX7" s="68">
        <v>11</v>
      </c>
      <c r="BY7" s="60">
        <v>13</v>
      </c>
      <c r="BZ7" s="61">
        <v>14</v>
      </c>
      <c r="CA7" s="62">
        <v>14</v>
      </c>
      <c r="CB7" s="81"/>
      <c r="CC7" s="81"/>
      <c r="CD7" s="80">
        <v>12</v>
      </c>
      <c r="CE7" s="38">
        <v>14</v>
      </c>
      <c r="CF7" s="82"/>
      <c r="CG7" s="80">
        <v>13</v>
      </c>
      <c r="CH7" s="38">
        <v>14</v>
      </c>
    </row>
    <row r="8" spans="1:86" ht="27.75" customHeight="1" thickBot="1">
      <c r="A8" s="83">
        <v>1</v>
      </c>
      <c r="B8" s="84" t="s">
        <v>0</v>
      </c>
      <c r="C8" s="18">
        <v>231</v>
      </c>
      <c r="D8" s="27">
        <f>C8+16</f>
        <v>247</v>
      </c>
      <c r="E8" s="11">
        <v>238</v>
      </c>
      <c r="F8" s="11">
        <f>D8*1.015</f>
        <v>250.70499999999998</v>
      </c>
      <c r="G8" s="33">
        <f aca="true" t="shared" si="0" ref="G8:G19">CEILING(F8,0.5)</f>
        <v>251</v>
      </c>
      <c r="H8" s="11">
        <f aca="true" t="shared" si="1" ref="H8:H19">E8+16</f>
        <v>254</v>
      </c>
      <c r="I8" s="11">
        <v>246.5</v>
      </c>
      <c r="J8" s="11">
        <f>H8*1.015</f>
        <v>257.81</v>
      </c>
      <c r="K8" s="11">
        <f>G8*1.01</f>
        <v>253.51</v>
      </c>
      <c r="L8" s="11">
        <f aca="true" t="shared" si="2" ref="L8:L19">CEILING(J8,0.5)</f>
        <v>258</v>
      </c>
      <c r="M8" s="11">
        <f aca="true" t="shared" si="3" ref="M8:M19">I8+16</f>
        <v>262.5</v>
      </c>
      <c r="N8" s="11">
        <v>258</v>
      </c>
      <c r="O8" s="11">
        <f>M8*1.015</f>
        <v>266.4375</v>
      </c>
      <c r="P8" s="17">
        <f>L8*1.01</f>
        <v>260.58</v>
      </c>
      <c r="Q8" s="24">
        <f>CEILING(264.16,0.5)</f>
        <v>264.5</v>
      </c>
      <c r="R8" s="11">
        <f aca="true" t="shared" si="4" ref="R8:R19">CEILING(O8,0.5)</f>
        <v>266.5</v>
      </c>
      <c r="S8" s="11">
        <f aca="true" t="shared" si="5" ref="S8:S19">N8+16</f>
        <v>274</v>
      </c>
      <c r="T8" s="11">
        <v>279.5</v>
      </c>
      <c r="U8" s="11">
        <f>S8*1.015</f>
        <v>278.10999999999996</v>
      </c>
      <c r="V8" s="11">
        <f>R8*1.01</f>
        <v>269.165</v>
      </c>
      <c r="W8" s="52">
        <f>CEILING(271.44,0.5)</f>
        <v>271.5</v>
      </c>
      <c r="X8" s="11">
        <f aca="true" t="shared" si="6" ref="X8:X19">CEILING(U8,0.5)</f>
        <v>278.5</v>
      </c>
      <c r="Y8" s="11">
        <f aca="true" t="shared" si="7" ref="Y8:Y19">T8+16</f>
        <v>295.5</v>
      </c>
      <c r="Z8" s="11">
        <v>308</v>
      </c>
      <c r="AA8" s="11">
        <f>Y8*1.015</f>
        <v>299.93249999999995</v>
      </c>
      <c r="AB8" s="11">
        <f>X8*1.01</f>
        <v>281.285</v>
      </c>
      <c r="AC8" s="52">
        <f>CEILING(280.28,0.5)</f>
        <v>280.5</v>
      </c>
      <c r="AD8" s="11">
        <f aca="true" t="shared" si="8" ref="AD8:AD19">CEILING(AA8,0.5)</f>
        <v>300</v>
      </c>
      <c r="AE8" s="11">
        <f aca="true" t="shared" si="9" ref="AE8:AE19">Z8+16</f>
        <v>324</v>
      </c>
      <c r="AF8" s="11">
        <v>347.5</v>
      </c>
      <c r="AG8" s="11">
        <f>AE8*1.015</f>
        <v>328.85999999999996</v>
      </c>
      <c r="AH8" s="11">
        <f>AD8*1.01</f>
        <v>303</v>
      </c>
      <c r="AI8" s="11">
        <f>CEILING(292.76,0.5)</f>
        <v>293</v>
      </c>
      <c r="AJ8" s="11">
        <f aca="true" t="shared" si="10" ref="AJ8:AJ19">CEILING(AG8,0.5)</f>
        <v>329</v>
      </c>
      <c r="AK8" s="11">
        <f aca="true" t="shared" si="11" ref="AK8:AK19">AF8+16</f>
        <v>363.5</v>
      </c>
      <c r="AL8" s="11">
        <v>385</v>
      </c>
      <c r="AM8" s="11">
        <f>AK8*1.015</f>
        <v>368.9525</v>
      </c>
      <c r="AN8" s="11">
        <f>AJ8*1.01</f>
        <v>332.29</v>
      </c>
      <c r="AO8" s="11">
        <f>CEILING(315.12,0.5)</f>
        <v>315.5</v>
      </c>
      <c r="AP8" s="11">
        <f aca="true" t="shared" si="12" ref="AP8:AP19">CEILING(AM8,0.5)</f>
        <v>369</v>
      </c>
      <c r="AQ8" s="11">
        <f aca="true" t="shared" si="13" ref="AQ8:AQ19">AL8+16</f>
        <v>401</v>
      </c>
      <c r="AR8" s="11">
        <v>429.5</v>
      </c>
      <c r="AS8" s="11">
        <f>AQ8*1.015</f>
        <v>407.015</v>
      </c>
      <c r="AT8" s="11">
        <f>AP8*1.01</f>
        <v>372.69</v>
      </c>
      <c r="AU8" s="52">
        <f>CEILING(345.8,0.5)</f>
        <v>346</v>
      </c>
      <c r="AV8" s="11">
        <f aca="true" t="shared" si="14" ref="AV8:AV19">CEILING(AS8,0.5)</f>
        <v>407.5</v>
      </c>
      <c r="AW8" s="11">
        <f aca="true" t="shared" si="15" ref="AW8:AW19">AR8+16</f>
        <v>445.5</v>
      </c>
      <c r="AX8" s="11">
        <v>468.5</v>
      </c>
      <c r="AY8" s="11">
        <f>AW8*1.015</f>
        <v>452.18249999999995</v>
      </c>
      <c r="AZ8" s="11">
        <f>AV8*1.01</f>
        <v>411.575</v>
      </c>
      <c r="BA8" s="52">
        <f>CEILING(387.92,0.5)</f>
        <v>388</v>
      </c>
      <c r="BB8" s="11">
        <f aca="true" t="shared" si="16" ref="BB8:BB19">CEILING(AY8,0.5)</f>
        <v>452.5</v>
      </c>
      <c r="BC8" s="11">
        <f aca="true" t="shared" si="17" ref="BC8:BC19">AX8+16</f>
        <v>484.5</v>
      </c>
      <c r="BD8" s="11">
        <v>487.5</v>
      </c>
      <c r="BE8" s="11">
        <f>BC8*1.015</f>
        <v>491.7674999999999</v>
      </c>
      <c r="BF8" s="11">
        <f>BB8*1.01</f>
        <v>457.025</v>
      </c>
      <c r="BG8" s="52">
        <f>CEILING(428.48,0.5)</f>
        <v>428.5</v>
      </c>
      <c r="BH8" s="11">
        <f aca="true" t="shared" si="18" ref="BH8:BH19">CEILING(BE8,0.5)</f>
        <v>492</v>
      </c>
      <c r="BI8" s="11">
        <f aca="true" t="shared" si="19" ref="BI8:BI19">BD8+16</f>
        <v>503.5</v>
      </c>
      <c r="BJ8" s="11">
        <v>522.5</v>
      </c>
      <c r="BK8" s="11">
        <f>BI8*1.015</f>
        <v>511.05249999999995</v>
      </c>
      <c r="BL8" s="11">
        <f>BH8*1.01</f>
        <v>496.92</v>
      </c>
      <c r="BM8" s="52">
        <f>CEILING(475.8,0.5)</f>
        <v>476</v>
      </c>
      <c r="BN8" s="11">
        <f aca="true" t="shared" si="20" ref="BN8:BN19">CEILING(BK8,0.5)</f>
        <v>511.5</v>
      </c>
      <c r="BO8" s="11">
        <f aca="true" t="shared" si="21" ref="BO8:BO19">BJ8+16</f>
        <v>538.5</v>
      </c>
      <c r="BP8" s="11">
        <v>561.5</v>
      </c>
      <c r="BQ8" s="17">
        <f>BO8*1.015</f>
        <v>546.5775</v>
      </c>
      <c r="BR8" s="17">
        <f>BN8*1.01</f>
        <v>516.615</v>
      </c>
      <c r="BS8" s="17">
        <f>CEILING(516.88,0.5)</f>
        <v>517</v>
      </c>
      <c r="BT8" s="17">
        <f aca="true" t="shared" si="22" ref="BT8:BT19">CEILING(BQ8,0.5)</f>
        <v>547</v>
      </c>
      <c r="BU8" s="17">
        <f aca="true" t="shared" si="23" ref="BU8:BU19">BP8+16</f>
        <v>577.5</v>
      </c>
      <c r="BV8" s="17">
        <f>BU8*1.015</f>
        <v>586.1624999999999</v>
      </c>
      <c r="BW8" s="17">
        <f>BT8*1.01</f>
        <v>552.47</v>
      </c>
      <c r="BX8" s="53">
        <f>CEILING(537.68,0.5)</f>
        <v>538</v>
      </c>
      <c r="BY8" s="17">
        <f aca="true" t="shared" si="24" ref="BY8:BY19">CEILING(BV8,0.5)</f>
        <v>586.5</v>
      </c>
      <c r="BZ8" s="12">
        <f>CA8+16</f>
        <v>623.5</v>
      </c>
      <c r="CA8" s="18">
        <v>607.5</v>
      </c>
      <c r="CB8" s="56">
        <f>BZ8*1.015</f>
        <v>632.8525</v>
      </c>
      <c r="CC8" s="56">
        <f>BY8*1.01</f>
        <v>592.365</v>
      </c>
      <c r="CD8" s="49">
        <v>575</v>
      </c>
      <c r="CE8" s="40">
        <f aca="true" t="shared" si="25" ref="CE8:CE19">CEILING(CB8,0.5)</f>
        <v>633</v>
      </c>
      <c r="CF8" s="57">
        <f>CE8*1.01</f>
        <v>639.33</v>
      </c>
      <c r="CG8" s="48">
        <f>CEILING(616.2,0.5)</f>
        <v>616.5</v>
      </c>
      <c r="CH8" s="45">
        <f>CEILING(665.08,0.5)</f>
        <v>665.5</v>
      </c>
    </row>
    <row r="9" spans="1:86" ht="27.75" customHeight="1" thickBot="1">
      <c r="A9" s="25">
        <v>2</v>
      </c>
      <c r="B9" s="85" t="s">
        <v>1</v>
      </c>
      <c r="C9" s="19">
        <v>239.5</v>
      </c>
      <c r="D9" s="24">
        <f aca="true" t="shared" si="26" ref="D9:D19">C9+16</f>
        <v>255.5</v>
      </c>
      <c r="E9" s="13">
        <v>246.5</v>
      </c>
      <c r="F9" s="11">
        <f aca="true" t="shared" si="27" ref="F9:F19">D9*1.015</f>
        <v>259.3325</v>
      </c>
      <c r="G9" s="11">
        <f t="shared" si="0"/>
        <v>259.5</v>
      </c>
      <c r="H9" s="11">
        <f t="shared" si="1"/>
        <v>262.5</v>
      </c>
      <c r="I9" s="13">
        <v>256</v>
      </c>
      <c r="J9" s="11">
        <f aca="true" t="shared" si="28" ref="J9:J19">H9*1.015</f>
        <v>266.4375</v>
      </c>
      <c r="K9" s="11">
        <f aca="true" t="shared" si="29" ref="K9:K19">G9*1.01</f>
        <v>262.095</v>
      </c>
      <c r="L9" s="11">
        <f t="shared" si="2"/>
        <v>266.5</v>
      </c>
      <c r="M9" s="11">
        <f t="shared" si="3"/>
        <v>272</v>
      </c>
      <c r="N9" s="13">
        <v>268</v>
      </c>
      <c r="O9" s="11">
        <f aca="true" t="shared" si="30" ref="O9:O19">M9*1.015</f>
        <v>276.08</v>
      </c>
      <c r="P9" s="17">
        <f aca="true" t="shared" si="31" ref="P9:P19">L9*1.01</f>
        <v>269.165</v>
      </c>
      <c r="Q9" s="24">
        <f>CEILING(273,0.5)</f>
        <v>273</v>
      </c>
      <c r="R9" s="11">
        <f t="shared" si="4"/>
        <v>276.5</v>
      </c>
      <c r="S9" s="11">
        <f t="shared" si="5"/>
        <v>284</v>
      </c>
      <c r="T9" s="13">
        <v>291</v>
      </c>
      <c r="U9" s="11">
        <f aca="true" t="shared" si="32" ref="U9:U19">S9*1.015</f>
        <v>288.26</v>
      </c>
      <c r="V9" s="11">
        <f aca="true" t="shared" si="33" ref="V9:V19">R9*1.01</f>
        <v>279.265</v>
      </c>
      <c r="W9" s="52">
        <f>CEILING(280.28,0.5)</f>
        <v>280.5</v>
      </c>
      <c r="X9" s="11">
        <f t="shared" si="6"/>
        <v>288.5</v>
      </c>
      <c r="Y9" s="11">
        <f t="shared" si="7"/>
        <v>307</v>
      </c>
      <c r="Z9" s="13">
        <v>320.5</v>
      </c>
      <c r="AA9" s="11">
        <f aca="true" t="shared" si="34" ref="AA9:AA19">Y9*1.015</f>
        <v>311.60499999999996</v>
      </c>
      <c r="AB9" s="11">
        <f aca="true" t="shared" si="35" ref="AB9:AB19">X9*1.01</f>
        <v>291.385</v>
      </c>
      <c r="AC9" s="52">
        <f>CEILING(290.68,0.5)</f>
        <v>291</v>
      </c>
      <c r="AD9" s="11">
        <f t="shared" si="8"/>
        <v>312</v>
      </c>
      <c r="AE9" s="11">
        <f t="shared" si="9"/>
        <v>336.5</v>
      </c>
      <c r="AF9" s="13">
        <v>359</v>
      </c>
      <c r="AG9" s="11">
        <f aca="true" t="shared" si="36" ref="AG9:AG19">AE9*1.015</f>
        <v>341.54749999999996</v>
      </c>
      <c r="AH9" s="11">
        <f aca="true" t="shared" si="37" ref="AH9:AH19">AD9*1.01</f>
        <v>315.12</v>
      </c>
      <c r="AI9" s="11">
        <f>CEILING(303.16,0.5)</f>
        <v>303.5</v>
      </c>
      <c r="AJ9" s="11">
        <f t="shared" si="10"/>
        <v>342</v>
      </c>
      <c r="AK9" s="11">
        <f t="shared" si="11"/>
        <v>375</v>
      </c>
      <c r="AL9" s="13">
        <v>395.5</v>
      </c>
      <c r="AM9" s="11">
        <f aca="true" t="shared" si="38" ref="AM9:AM19">AK9*1.015</f>
        <v>380.62499999999994</v>
      </c>
      <c r="AN9" s="11">
        <f aca="true" t="shared" si="39" ref="AN9:AN19">AJ9*1.01</f>
        <v>345.42</v>
      </c>
      <c r="AO9" s="11">
        <f>CEILING(328.12,0.5)</f>
        <v>328.5</v>
      </c>
      <c r="AP9" s="11">
        <f t="shared" si="12"/>
        <v>381</v>
      </c>
      <c r="AQ9" s="11">
        <f t="shared" si="13"/>
        <v>411.5</v>
      </c>
      <c r="AR9" s="13">
        <v>443</v>
      </c>
      <c r="AS9" s="11">
        <f aca="true" t="shared" si="40" ref="AS9:AS19">AQ9*1.015</f>
        <v>417.67249999999996</v>
      </c>
      <c r="AT9" s="11">
        <f aca="true" t="shared" si="41" ref="AT9:AT19">AP9*1.01</f>
        <v>384.81</v>
      </c>
      <c r="AU9" s="52">
        <f>CEILING(359.32,0.5)</f>
        <v>359.5</v>
      </c>
      <c r="AV9" s="11">
        <f t="shared" si="14"/>
        <v>418</v>
      </c>
      <c r="AW9" s="11">
        <f t="shared" si="15"/>
        <v>459</v>
      </c>
      <c r="AX9" s="13">
        <v>482.5</v>
      </c>
      <c r="AY9" s="11">
        <f aca="true" t="shared" si="42" ref="AY9:AY19">AW9*1.015</f>
        <v>465.88499999999993</v>
      </c>
      <c r="AZ9" s="11">
        <f aca="true" t="shared" si="43" ref="AZ9:AZ19">AV9*1.01</f>
        <v>422.18</v>
      </c>
      <c r="BA9" s="52">
        <f>CEILING(400.4,0.5)</f>
        <v>400.5</v>
      </c>
      <c r="BB9" s="11">
        <f t="shared" si="16"/>
        <v>466</v>
      </c>
      <c r="BC9" s="11">
        <f t="shared" si="17"/>
        <v>498.5</v>
      </c>
      <c r="BD9" s="13">
        <v>507.5</v>
      </c>
      <c r="BE9" s="11">
        <f aca="true" t="shared" si="44" ref="BE9:BE19">BC9*1.015</f>
        <v>505.97749999999996</v>
      </c>
      <c r="BF9" s="11">
        <f aca="true" t="shared" si="45" ref="BF9:BF19">BB9*1.01</f>
        <v>470.66</v>
      </c>
      <c r="BG9" s="52">
        <f>CEILING(439.4,0.5)</f>
        <v>439.5</v>
      </c>
      <c r="BH9" s="11">
        <f t="shared" si="18"/>
        <v>506</v>
      </c>
      <c r="BI9" s="11">
        <f t="shared" si="19"/>
        <v>523.5</v>
      </c>
      <c r="BJ9" s="13">
        <v>543.5</v>
      </c>
      <c r="BK9" s="11">
        <f aca="true" t="shared" si="46" ref="BK9:BK19">BI9*1.015</f>
        <v>531.3525</v>
      </c>
      <c r="BL9" s="11">
        <f aca="true" t="shared" si="47" ref="BL9:BL19">BH9*1.01</f>
        <v>511.06</v>
      </c>
      <c r="BM9" s="52">
        <f>CEILING(489.84,0.5)</f>
        <v>490</v>
      </c>
      <c r="BN9" s="11">
        <f t="shared" si="20"/>
        <v>531.5</v>
      </c>
      <c r="BO9" s="11">
        <f t="shared" si="21"/>
        <v>559.5</v>
      </c>
      <c r="BP9" s="13">
        <v>584.5</v>
      </c>
      <c r="BQ9" s="17">
        <f aca="true" t="shared" si="48" ref="BQ9:BQ19">BO9*1.015</f>
        <v>567.8924999999999</v>
      </c>
      <c r="BR9" s="17">
        <f aca="true" t="shared" si="49" ref="BR9:BR19">BN9*1.01</f>
        <v>536.815</v>
      </c>
      <c r="BS9" s="17">
        <f>CEILING(531.96,0.5)</f>
        <v>532</v>
      </c>
      <c r="BT9" s="17">
        <f t="shared" si="22"/>
        <v>568</v>
      </c>
      <c r="BU9" s="17">
        <f t="shared" si="23"/>
        <v>600.5</v>
      </c>
      <c r="BV9" s="17">
        <f aca="true" t="shared" si="50" ref="BV9:BV19">BU9*1.015</f>
        <v>609.5074999999999</v>
      </c>
      <c r="BW9" s="17">
        <f aca="true" t="shared" si="51" ref="BW9:BW19">BT9*1.01</f>
        <v>573.68</v>
      </c>
      <c r="BX9" s="53">
        <f>CEILING(558.48,0.5)</f>
        <v>558.5</v>
      </c>
      <c r="BY9" s="17">
        <f t="shared" si="24"/>
        <v>610</v>
      </c>
      <c r="BZ9" s="12">
        <f aca="true" t="shared" si="52" ref="BZ9:BZ19">CA9+16</f>
        <v>648</v>
      </c>
      <c r="CA9" s="19">
        <v>632</v>
      </c>
      <c r="CB9" s="56">
        <f aca="true" t="shared" si="53" ref="CB9:CB19">BZ9*1.015</f>
        <v>657.7199999999999</v>
      </c>
      <c r="CC9" s="56">
        <f aca="true" t="shared" si="54" ref="CC9:CC19">BY9*1.01</f>
        <v>616.1</v>
      </c>
      <c r="CD9" s="43">
        <f>CEILING(596.96,0.5)</f>
        <v>597</v>
      </c>
      <c r="CE9" s="39">
        <f t="shared" si="25"/>
        <v>658</v>
      </c>
      <c r="CF9" s="57">
        <f aca="true" t="shared" si="55" ref="CF9:CF19">CE9*1.01</f>
        <v>664.58</v>
      </c>
      <c r="CG9" s="48">
        <f>CEILING(641.16,0.5)</f>
        <v>641.5</v>
      </c>
      <c r="CH9" s="44">
        <f>CEILING(691.6,0.5)</f>
        <v>692</v>
      </c>
    </row>
    <row r="10" spans="1:86" ht="27.75" customHeight="1" thickBot="1">
      <c r="A10" s="87">
        <v>3</v>
      </c>
      <c r="B10" s="88" t="s">
        <v>3</v>
      </c>
      <c r="C10" s="19">
        <v>247.5</v>
      </c>
      <c r="D10" s="10">
        <f t="shared" si="26"/>
        <v>263.5</v>
      </c>
      <c r="E10" s="13">
        <v>255</v>
      </c>
      <c r="F10" s="11">
        <f t="shared" si="27"/>
        <v>267.4525</v>
      </c>
      <c r="G10" s="11">
        <f t="shared" si="0"/>
        <v>267.5</v>
      </c>
      <c r="H10" s="11">
        <f t="shared" si="1"/>
        <v>271</v>
      </c>
      <c r="I10" s="13">
        <v>264.5</v>
      </c>
      <c r="J10" s="11">
        <f t="shared" si="28"/>
        <v>275.065</v>
      </c>
      <c r="K10" s="11">
        <f t="shared" si="29"/>
        <v>270.175</v>
      </c>
      <c r="L10" s="11">
        <f t="shared" si="2"/>
        <v>275.5</v>
      </c>
      <c r="M10" s="11">
        <f t="shared" si="3"/>
        <v>280.5</v>
      </c>
      <c r="N10" s="13">
        <v>278</v>
      </c>
      <c r="O10" s="11">
        <f t="shared" si="30"/>
        <v>284.7075</v>
      </c>
      <c r="P10" s="17">
        <f t="shared" si="31"/>
        <v>278.255</v>
      </c>
      <c r="Q10" s="24">
        <f>CEILING(281.32,0.5)</f>
        <v>281.5</v>
      </c>
      <c r="R10" s="11">
        <f t="shared" si="4"/>
        <v>285</v>
      </c>
      <c r="S10" s="11">
        <f t="shared" si="5"/>
        <v>294</v>
      </c>
      <c r="T10" s="13">
        <v>301</v>
      </c>
      <c r="U10" s="11">
        <f t="shared" si="32"/>
        <v>298.40999999999997</v>
      </c>
      <c r="V10" s="11">
        <f t="shared" si="33"/>
        <v>287.85</v>
      </c>
      <c r="W10" s="52">
        <f>CEILING(289.64,0.5)</f>
        <v>290</v>
      </c>
      <c r="X10" s="11">
        <f t="shared" si="6"/>
        <v>298.5</v>
      </c>
      <c r="Y10" s="11">
        <f t="shared" si="7"/>
        <v>317</v>
      </c>
      <c r="Z10" s="13">
        <v>332.5</v>
      </c>
      <c r="AA10" s="11">
        <f t="shared" si="34"/>
        <v>321.755</v>
      </c>
      <c r="AB10" s="11">
        <f t="shared" si="35"/>
        <v>301.485</v>
      </c>
      <c r="AC10" s="52">
        <f>CEILING(299.52,0.5)</f>
        <v>300</v>
      </c>
      <c r="AD10" s="11">
        <f t="shared" si="8"/>
        <v>322</v>
      </c>
      <c r="AE10" s="11">
        <f t="shared" si="9"/>
        <v>348.5</v>
      </c>
      <c r="AF10" s="13">
        <v>367</v>
      </c>
      <c r="AG10" s="11">
        <f t="shared" si="36"/>
        <v>353.72749999999996</v>
      </c>
      <c r="AH10" s="11">
        <f t="shared" si="37"/>
        <v>325.22</v>
      </c>
      <c r="AI10" s="11">
        <f>CEILING(313.56,0.5)</f>
        <v>314</v>
      </c>
      <c r="AJ10" s="11">
        <f t="shared" si="10"/>
        <v>354</v>
      </c>
      <c r="AK10" s="11">
        <f t="shared" si="11"/>
        <v>383</v>
      </c>
      <c r="AL10" s="13">
        <v>406</v>
      </c>
      <c r="AM10" s="11">
        <f t="shared" si="38"/>
        <v>388.74499999999995</v>
      </c>
      <c r="AN10" s="11">
        <f t="shared" si="39"/>
        <v>357.54</v>
      </c>
      <c r="AO10" s="11">
        <f>CEILING(338.52,0.5)</f>
        <v>339</v>
      </c>
      <c r="AP10" s="11">
        <f t="shared" si="12"/>
        <v>389</v>
      </c>
      <c r="AQ10" s="11">
        <f t="shared" si="13"/>
        <v>422</v>
      </c>
      <c r="AR10" s="13">
        <v>453</v>
      </c>
      <c r="AS10" s="11">
        <f t="shared" si="40"/>
        <v>428.33</v>
      </c>
      <c r="AT10" s="11">
        <f t="shared" si="41"/>
        <v>392.89</v>
      </c>
      <c r="AU10" s="52">
        <f>CEILING(372.32,0.5)</f>
        <v>372.5</v>
      </c>
      <c r="AV10" s="11">
        <f t="shared" si="14"/>
        <v>428.5</v>
      </c>
      <c r="AW10" s="11">
        <f t="shared" si="15"/>
        <v>469</v>
      </c>
      <c r="AX10" s="13">
        <v>494</v>
      </c>
      <c r="AY10" s="11">
        <f t="shared" si="42"/>
        <v>476.03499999999997</v>
      </c>
      <c r="AZ10" s="11">
        <f t="shared" si="43"/>
        <v>432.785</v>
      </c>
      <c r="BA10" s="52">
        <f>CEILING(408.72,0.5)</f>
        <v>409</v>
      </c>
      <c r="BB10" s="11">
        <f t="shared" si="16"/>
        <v>476.5</v>
      </c>
      <c r="BC10" s="11">
        <f t="shared" si="17"/>
        <v>510</v>
      </c>
      <c r="BD10" s="13">
        <v>528</v>
      </c>
      <c r="BE10" s="11">
        <f t="shared" si="44"/>
        <v>517.65</v>
      </c>
      <c r="BF10" s="11">
        <f t="shared" si="45"/>
        <v>481.265</v>
      </c>
      <c r="BG10" s="52">
        <f>CEILING(450.32,0.5)</f>
        <v>450.5</v>
      </c>
      <c r="BH10" s="11">
        <f t="shared" si="18"/>
        <v>518</v>
      </c>
      <c r="BI10" s="11">
        <f t="shared" si="19"/>
        <v>544</v>
      </c>
      <c r="BJ10" s="13">
        <v>564.5</v>
      </c>
      <c r="BK10" s="11">
        <f t="shared" si="46"/>
        <v>552.16</v>
      </c>
      <c r="BL10" s="11">
        <f t="shared" si="47"/>
        <v>523.18</v>
      </c>
      <c r="BM10" s="52">
        <f>CEILING(500.76,0.5)</f>
        <v>501</v>
      </c>
      <c r="BN10" s="11">
        <f t="shared" si="20"/>
        <v>552.5</v>
      </c>
      <c r="BO10" s="11">
        <f t="shared" si="21"/>
        <v>580.5</v>
      </c>
      <c r="BP10" s="13">
        <v>607.5</v>
      </c>
      <c r="BQ10" s="17">
        <f t="shared" si="48"/>
        <v>589.2075</v>
      </c>
      <c r="BR10" s="17">
        <f t="shared" si="49"/>
        <v>558.025</v>
      </c>
      <c r="BS10" s="17">
        <f>CEILING(544.44,0.5)</f>
        <v>544.5</v>
      </c>
      <c r="BT10" s="17">
        <f t="shared" si="22"/>
        <v>589.5</v>
      </c>
      <c r="BU10" s="17">
        <f t="shared" si="23"/>
        <v>623.5</v>
      </c>
      <c r="BV10" s="17">
        <f t="shared" si="50"/>
        <v>632.8525</v>
      </c>
      <c r="BW10" s="17">
        <f t="shared" si="51"/>
        <v>595.395</v>
      </c>
      <c r="BX10" s="53">
        <f>CEILING(580.84,0.5)</f>
        <v>581</v>
      </c>
      <c r="BY10" s="21">
        <f t="shared" si="24"/>
        <v>633</v>
      </c>
      <c r="BZ10" s="12">
        <f t="shared" si="52"/>
        <v>673.5</v>
      </c>
      <c r="CA10" s="19">
        <v>657.5</v>
      </c>
      <c r="CB10" s="56">
        <f t="shared" si="53"/>
        <v>683.6025</v>
      </c>
      <c r="CC10" s="56">
        <f t="shared" si="54"/>
        <v>639.33</v>
      </c>
      <c r="CD10" s="49">
        <f>CEILING(619.32,0.5)</f>
        <v>619.5</v>
      </c>
      <c r="CE10" s="40">
        <f t="shared" si="25"/>
        <v>684</v>
      </c>
      <c r="CF10" s="57">
        <f t="shared" si="55"/>
        <v>690.84</v>
      </c>
      <c r="CG10" s="48">
        <f>CEILING(665.08,0.5)</f>
        <v>665.5</v>
      </c>
      <c r="CH10" s="45">
        <f>CEILING(718.64,0.5)</f>
        <v>719</v>
      </c>
    </row>
    <row r="11" spans="1:86" ht="27.75" customHeight="1" thickBot="1">
      <c r="A11" s="87">
        <v>4</v>
      </c>
      <c r="B11" s="88" t="s">
        <v>2</v>
      </c>
      <c r="C11" s="19">
        <v>256.5</v>
      </c>
      <c r="D11" s="10">
        <f t="shared" si="26"/>
        <v>272.5</v>
      </c>
      <c r="E11" s="13">
        <v>263.5</v>
      </c>
      <c r="F11" s="11">
        <f t="shared" si="27"/>
        <v>276.5875</v>
      </c>
      <c r="G11" s="11">
        <f t="shared" si="0"/>
        <v>277</v>
      </c>
      <c r="H11" s="11">
        <f t="shared" si="1"/>
        <v>279.5</v>
      </c>
      <c r="I11" s="13">
        <v>274</v>
      </c>
      <c r="J11" s="11">
        <f t="shared" si="28"/>
        <v>283.6925</v>
      </c>
      <c r="K11" s="11">
        <f t="shared" si="29"/>
        <v>279.77</v>
      </c>
      <c r="L11" s="11">
        <f t="shared" si="2"/>
        <v>284</v>
      </c>
      <c r="M11" s="11">
        <f t="shared" si="3"/>
        <v>290</v>
      </c>
      <c r="N11" s="13">
        <v>288</v>
      </c>
      <c r="O11" s="11">
        <f t="shared" si="30"/>
        <v>294.34999999999997</v>
      </c>
      <c r="P11" s="17">
        <f t="shared" si="31"/>
        <v>286.84</v>
      </c>
      <c r="Q11" s="24">
        <f>CEILING(291.2,0.5)</f>
        <v>291.5</v>
      </c>
      <c r="R11" s="11">
        <f t="shared" si="4"/>
        <v>294.5</v>
      </c>
      <c r="S11" s="11">
        <f t="shared" si="5"/>
        <v>304</v>
      </c>
      <c r="T11" s="13">
        <v>312.5</v>
      </c>
      <c r="U11" s="11">
        <f t="shared" si="32"/>
        <v>308.55999999999995</v>
      </c>
      <c r="V11" s="11">
        <f t="shared" si="33"/>
        <v>297.445</v>
      </c>
      <c r="W11" s="52">
        <f>CEILING(298.48,0.5)</f>
        <v>298.5</v>
      </c>
      <c r="X11" s="11">
        <f t="shared" si="6"/>
        <v>309</v>
      </c>
      <c r="Y11" s="11">
        <f t="shared" si="7"/>
        <v>328.5</v>
      </c>
      <c r="Z11" s="13">
        <v>344.5</v>
      </c>
      <c r="AA11" s="11">
        <f t="shared" si="34"/>
        <v>333.42749999999995</v>
      </c>
      <c r="AB11" s="11">
        <f t="shared" si="35"/>
        <v>312.09</v>
      </c>
      <c r="AC11" s="52">
        <f>CEILING(309.4,0.5)</f>
        <v>309.5</v>
      </c>
      <c r="AD11" s="11">
        <f t="shared" si="8"/>
        <v>333.5</v>
      </c>
      <c r="AE11" s="11">
        <f t="shared" si="9"/>
        <v>360.5</v>
      </c>
      <c r="AF11" s="13">
        <v>379.5</v>
      </c>
      <c r="AG11" s="11">
        <f t="shared" si="36"/>
        <v>365.90749999999997</v>
      </c>
      <c r="AH11" s="11">
        <f t="shared" si="37"/>
        <v>336.835</v>
      </c>
      <c r="AI11" s="11">
        <f>CEILING(325,0.5)</f>
        <v>325</v>
      </c>
      <c r="AJ11" s="11">
        <f t="shared" si="10"/>
        <v>366</v>
      </c>
      <c r="AK11" s="11">
        <f t="shared" si="11"/>
        <v>395.5</v>
      </c>
      <c r="AL11" s="13">
        <v>421</v>
      </c>
      <c r="AM11" s="11">
        <f t="shared" si="38"/>
        <v>401.43249999999995</v>
      </c>
      <c r="AN11" s="11">
        <f t="shared" si="39"/>
        <v>369.66</v>
      </c>
      <c r="AO11" s="11">
        <f>CEILING(350.48,0.5)</f>
        <v>350.5</v>
      </c>
      <c r="AP11" s="11">
        <f t="shared" si="12"/>
        <v>401.5</v>
      </c>
      <c r="AQ11" s="11">
        <f t="shared" si="13"/>
        <v>437</v>
      </c>
      <c r="AR11" s="13">
        <v>470</v>
      </c>
      <c r="AS11" s="11">
        <f t="shared" si="40"/>
        <v>443.55499999999995</v>
      </c>
      <c r="AT11" s="11">
        <f t="shared" si="41"/>
        <v>405.515</v>
      </c>
      <c r="AU11" s="52">
        <f>CEILING(384.8,0.5)</f>
        <v>385</v>
      </c>
      <c r="AV11" s="11">
        <f t="shared" si="14"/>
        <v>444</v>
      </c>
      <c r="AW11" s="11">
        <f t="shared" si="15"/>
        <v>486</v>
      </c>
      <c r="AX11" s="13">
        <v>513</v>
      </c>
      <c r="AY11" s="11">
        <f t="shared" si="42"/>
        <v>493.28999999999996</v>
      </c>
      <c r="AZ11" s="11">
        <f t="shared" si="43"/>
        <v>448.44</v>
      </c>
      <c r="BA11" s="52">
        <f>CEILING(422.24,0.5)</f>
        <v>422.5</v>
      </c>
      <c r="BB11" s="11">
        <f t="shared" si="16"/>
        <v>493.5</v>
      </c>
      <c r="BC11" s="11">
        <f t="shared" si="17"/>
        <v>529</v>
      </c>
      <c r="BD11" s="13">
        <v>547</v>
      </c>
      <c r="BE11" s="11">
        <f t="shared" si="44"/>
        <v>536.935</v>
      </c>
      <c r="BF11" s="11">
        <f t="shared" si="45"/>
        <v>498.435</v>
      </c>
      <c r="BG11" s="52">
        <f>CEILING(466.44,0.5)</f>
        <v>466.5</v>
      </c>
      <c r="BH11" s="11">
        <f t="shared" si="18"/>
        <v>537</v>
      </c>
      <c r="BI11" s="11">
        <f t="shared" si="19"/>
        <v>563</v>
      </c>
      <c r="BJ11" s="13">
        <v>585.5</v>
      </c>
      <c r="BK11" s="11">
        <f t="shared" si="46"/>
        <v>571.4449999999999</v>
      </c>
      <c r="BL11" s="11">
        <f t="shared" si="47"/>
        <v>542.37</v>
      </c>
      <c r="BM11" s="52">
        <f>CEILING(518.44,0.5)</f>
        <v>518.5</v>
      </c>
      <c r="BN11" s="11">
        <f t="shared" si="20"/>
        <v>571.5</v>
      </c>
      <c r="BO11" s="11">
        <f t="shared" si="21"/>
        <v>601.5</v>
      </c>
      <c r="BP11" s="13">
        <v>630.5</v>
      </c>
      <c r="BQ11" s="17">
        <f t="shared" si="48"/>
        <v>610.5224999999999</v>
      </c>
      <c r="BR11" s="17">
        <f t="shared" si="49"/>
        <v>577.215</v>
      </c>
      <c r="BS11" s="17">
        <f>CEILING(564.2,0.5)</f>
        <v>564.5</v>
      </c>
      <c r="BT11" s="17">
        <f t="shared" si="22"/>
        <v>611</v>
      </c>
      <c r="BU11" s="17">
        <f t="shared" si="23"/>
        <v>646.5</v>
      </c>
      <c r="BV11" s="17">
        <f t="shared" si="50"/>
        <v>656.1975</v>
      </c>
      <c r="BW11" s="17">
        <f t="shared" si="51"/>
        <v>617.11</v>
      </c>
      <c r="BX11" s="53">
        <f>CEILING(600.6,0.5)</f>
        <v>601</v>
      </c>
      <c r="BY11" s="17">
        <f t="shared" si="24"/>
        <v>656.5</v>
      </c>
      <c r="BZ11" s="23">
        <f t="shared" si="52"/>
        <v>698</v>
      </c>
      <c r="CA11" s="20">
        <v>682</v>
      </c>
      <c r="CB11" s="58">
        <f t="shared" si="53"/>
        <v>708.4699999999999</v>
      </c>
      <c r="CC11" s="56">
        <f t="shared" si="54"/>
        <v>663.065</v>
      </c>
      <c r="CD11" s="42">
        <f>CEILING(642.2,0.5)</f>
        <v>642.5</v>
      </c>
      <c r="CE11" s="41">
        <f t="shared" si="25"/>
        <v>708.5</v>
      </c>
      <c r="CF11" s="57">
        <f t="shared" si="55"/>
        <v>715.585</v>
      </c>
      <c r="CG11" s="47">
        <f>CEILING(690.04,0.5)</f>
        <v>690.5</v>
      </c>
      <c r="CH11" s="46">
        <f>CEILING(744.64,0.5)</f>
        <v>745</v>
      </c>
    </row>
    <row r="12" spans="1:86" ht="27.75" customHeight="1" thickBot="1">
      <c r="A12" s="87">
        <v>5</v>
      </c>
      <c r="B12" s="89" t="s">
        <v>5</v>
      </c>
      <c r="C12" s="19">
        <v>263.5</v>
      </c>
      <c r="D12" s="10">
        <f t="shared" si="26"/>
        <v>279.5</v>
      </c>
      <c r="E12" s="13">
        <v>272</v>
      </c>
      <c r="F12" s="11">
        <f t="shared" si="27"/>
        <v>283.6925</v>
      </c>
      <c r="G12" s="11">
        <f t="shared" si="0"/>
        <v>284</v>
      </c>
      <c r="H12" s="11">
        <f t="shared" si="1"/>
        <v>288</v>
      </c>
      <c r="I12" s="13">
        <v>283</v>
      </c>
      <c r="J12" s="11">
        <f t="shared" si="28"/>
        <v>292.32</v>
      </c>
      <c r="K12" s="11">
        <f t="shared" si="29"/>
        <v>286.84</v>
      </c>
      <c r="L12" s="11">
        <f t="shared" si="2"/>
        <v>292.5</v>
      </c>
      <c r="M12" s="11">
        <f t="shared" si="3"/>
        <v>299</v>
      </c>
      <c r="N12" s="13">
        <v>298</v>
      </c>
      <c r="O12" s="11">
        <f t="shared" si="30"/>
        <v>303.48499999999996</v>
      </c>
      <c r="P12" s="17">
        <f t="shared" si="31"/>
        <v>295.425</v>
      </c>
      <c r="Q12" s="24">
        <f>CEILING(298.48,0.5)</f>
        <v>298.5</v>
      </c>
      <c r="R12" s="11">
        <f t="shared" si="4"/>
        <v>303.5</v>
      </c>
      <c r="S12" s="11">
        <f t="shared" si="5"/>
        <v>314</v>
      </c>
      <c r="T12" s="13">
        <v>323.5</v>
      </c>
      <c r="U12" s="11">
        <f t="shared" si="32"/>
        <v>318.71</v>
      </c>
      <c r="V12" s="11">
        <f t="shared" si="33"/>
        <v>306.535</v>
      </c>
      <c r="W12" s="52">
        <f>CEILING(307.32,0.5)</f>
        <v>307.5</v>
      </c>
      <c r="X12" s="11">
        <f t="shared" si="6"/>
        <v>319</v>
      </c>
      <c r="Y12" s="11">
        <f t="shared" si="7"/>
        <v>339.5</v>
      </c>
      <c r="Z12" s="13">
        <v>356.5</v>
      </c>
      <c r="AA12" s="11">
        <f t="shared" si="34"/>
        <v>344.5925</v>
      </c>
      <c r="AB12" s="11">
        <f t="shared" si="35"/>
        <v>322.19</v>
      </c>
      <c r="AC12" s="52">
        <f>CEILING(319.28,0.5)</f>
        <v>319.5</v>
      </c>
      <c r="AD12" s="11">
        <f t="shared" si="8"/>
        <v>345</v>
      </c>
      <c r="AE12" s="11">
        <f t="shared" si="9"/>
        <v>372.5</v>
      </c>
      <c r="AF12" s="13">
        <v>393.5</v>
      </c>
      <c r="AG12" s="11">
        <f t="shared" si="36"/>
        <v>378.0875</v>
      </c>
      <c r="AH12" s="11">
        <f t="shared" si="37"/>
        <v>348.45</v>
      </c>
      <c r="AI12" s="11">
        <f>CEILING(335.4,0.5)</f>
        <v>335.5</v>
      </c>
      <c r="AJ12" s="11">
        <f t="shared" si="10"/>
        <v>378.5</v>
      </c>
      <c r="AK12" s="11">
        <f t="shared" si="11"/>
        <v>409.5</v>
      </c>
      <c r="AL12" s="13">
        <v>436.5</v>
      </c>
      <c r="AM12" s="11">
        <f t="shared" si="38"/>
        <v>415.6425</v>
      </c>
      <c r="AN12" s="11">
        <f t="shared" si="39"/>
        <v>382.285</v>
      </c>
      <c r="AO12" s="11">
        <f>CEILING(362.44,0.5)</f>
        <v>362.5</v>
      </c>
      <c r="AP12" s="11">
        <f t="shared" si="12"/>
        <v>416</v>
      </c>
      <c r="AQ12" s="11">
        <f t="shared" si="13"/>
        <v>452.5</v>
      </c>
      <c r="AR12" s="13">
        <v>487</v>
      </c>
      <c r="AS12" s="11">
        <f t="shared" si="40"/>
        <v>459.28749999999997</v>
      </c>
      <c r="AT12" s="11">
        <f t="shared" si="41"/>
        <v>420.16</v>
      </c>
      <c r="AU12" s="52">
        <f>CEILING(397.8,0.5)</f>
        <v>398</v>
      </c>
      <c r="AV12" s="11">
        <f t="shared" si="14"/>
        <v>459.5</v>
      </c>
      <c r="AW12" s="11">
        <f t="shared" si="15"/>
        <v>503</v>
      </c>
      <c r="AX12" s="13">
        <v>530.5</v>
      </c>
      <c r="AY12" s="11">
        <f t="shared" si="42"/>
        <v>510.54499999999996</v>
      </c>
      <c r="AZ12" s="11">
        <f t="shared" si="43"/>
        <v>464.095</v>
      </c>
      <c r="BA12" s="52">
        <f>CEILING(437.32,0.5)</f>
        <v>437.5</v>
      </c>
      <c r="BB12" s="11">
        <f t="shared" si="16"/>
        <v>511</v>
      </c>
      <c r="BC12" s="11">
        <f t="shared" si="17"/>
        <v>546.5</v>
      </c>
      <c r="BD12" s="13">
        <v>567</v>
      </c>
      <c r="BE12" s="11">
        <f t="shared" si="44"/>
        <v>554.6975</v>
      </c>
      <c r="BF12" s="11">
        <f t="shared" si="45"/>
        <v>516.11</v>
      </c>
      <c r="BG12" s="52">
        <f>CEILING(483.08,0.5)</f>
        <v>483.5</v>
      </c>
      <c r="BH12" s="11">
        <f t="shared" si="18"/>
        <v>555</v>
      </c>
      <c r="BI12" s="11">
        <f t="shared" si="19"/>
        <v>583</v>
      </c>
      <c r="BJ12" s="13">
        <v>607.5</v>
      </c>
      <c r="BK12" s="11">
        <f t="shared" si="46"/>
        <v>591.7449999999999</v>
      </c>
      <c r="BL12" s="11">
        <f t="shared" si="47"/>
        <v>560.55</v>
      </c>
      <c r="BM12" s="52">
        <f>CEILING(537.16,0.5)</f>
        <v>537.5</v>
      </c>
      <c r="BN12" s="11">
        <f t="shared" si="20"/>
        <v>592</v>
      </c>
      <c r="BO12" s="11">
        <f t="shared" si="21"/>
        <v>623.5</v>
      </c>
      <c r="BP12" s="13">
        <v>652.5</v>
      </c>
      <c r="BQ12" s="17">
        <f t="shared" si="48"/>
        <v>632.8525</v>
      </c>
      <c r="BR12" s="17">
        <f t="shared" si="49"/>
        <v>597.92</v>
      </c>
      <c r="BS12" s="17">
        <f>CEILING(583.44,0.5)</f>
        <v>583.5</v>
      </c>
      <c r="BT12" s="17">
        <f t="shared" si="22"/>
        <v>633</v>
      </c>
      <c r="BU12" s="17">
        <f t="shared" si="23"/>
        <v>668.5</v>
      </c>
      <c r="BV12" s="17">
        <f t="shared" si="50"/>
        <v>678.5274999999999</v>
      </c>
      <c r="BW12" s="17">
        <f t="shared" si="51"/>
        <v>639.33</v>
      </c>
      <c r="BX12" s="53">
        <f>CEILING(621.92,0.5)</f>
        <v>622</v>
      </c>
      <c r="BY12" s="17">
        <f t="shared" si="24"/>
        <v>679</v>
      </c>
      <c r="BZ12" s="35">
        <f t="shared" si="52"/>
        <v>722.5</v>
      </c>
      <c r="CA12" s="36">
        <v>706.5</v>
      </c>
      <c r="CB12" s="56">
        <f t="shared" si="53"/>
        <v>733.3375</v>
      </c>
      <c r="CC12" s="56">
        <f t="shared" si="54"/>
        <v>685.79</v>
      </c>
      <c r="CD12" s="43">
        <f>CEILING(665.08,0.5)</f>
        <v>665.5</v>
      </c>
      <c r="CE12" s="40">
        <f t="shared" si="25"/>
        <v>733.5</v>
      </c>
      <c r="CF12" s="57">
        <f t="shared" si="55"/>
        <v>740.835</v>
      </c>
      <c r="CG12" s="47">
        <f>CEILING(713.44,0.5)</f>
        <v>713.5</v>
      </c>
      <c r="CH12" s="44">
        <f>CEILING(770.64,0.5)</f>
        <v>771</v>
      </c>
    </row>
    <row r="13" spans="1:86" ht="27.75" customHeight="1" thickBot="1">
      <c r="A13" s="87">
        <v>6</v>
      </c>
      <c r="B13" s="88" t="s">
        <v>6</v>
      </c>
      <c r="C13" s="19">
        <v>272</v>
      </c>
      <c r="D13" s="10">
        <f t="shared" si="26"/>
        <v>288</v>
      </c>
      <c r="E13" s="13">
        <v>279.5</v>
      </c>
      <c r="F13" s="11">
        <f t="shared" si="27"/>
        <v>292.32</v>
      </c>
      <c r="G13" s="11">
        <f t="shared" si="0"/>
        <v>292.5</v>
      </c>
      <c r="H13" s="11">
        <f t="shared" si="1"/>
        <v>295.5</v>
      </c>
      <c r="I13" s="13">
        <v>292</v>
      </c>
      <c r="J13" s="11">
        <f t="shared" si="28"/>
        <v>299.93249999999995</v>
      </c>
      <c r="K13" s="11">
        <f t="shared" si="29"/>
        <v>295.425</v>
      </c>
      <c r="L13" s="11">
        <f t="shared" si="2"/>
        <v>300</v>
      </c>
      <c r="M13" s="11">
        <f t="shared" si="3"/>
        <v>308</v>
      </c>
      <c r="N13" s="13">
        <v>308</v>
      </c>
      <c r="O13" s="11">
        <f t="shared" si="30"/>
        <v>312.61999999999995</v>
      </c>
      <c r="P13" s="17">
        <f t="shared" si="31"/>
        <v>303</v>
      </c>
      <c r="Q13" s="24">
        <f>CEILING(307.32,0.5)</f>
        <v>307.5</v>
      </c>
      <c r="R13" s="11">
        <f t="shared" si="4"/>
        <v>313</v>
      </c>
      <c r="S13" s="11">
        <f t="shared" si="5"/>
        <v>324</v>
      </c>
      <c r="T13" s="13">
        <v>334</v>
      </c>
      <c r="U13" s="11">
        <f t="shared" si="32"/>
        <v>328.85999999999996</v>
      </c>
      <c r="V13" s="11">
        <f t="shared" si="33"/>
        <v>316.13</v>
      </c>
      <c r="W13" s="52">
        <f>CEILING(315.12,0.5)</f>
        <v>315.5</v>
      </c>
      <c r="X13" s="11">
        <f t="shared" si="6"/>
        <v>329</v>
      </c>
      <c r="Y13" s="11">
        <f t="shared" si="7"/>
        <v>350</v>
      </c>
      <c r="Z13" s="13">
        <v>368.5</v>
      </c>
      <c r="AA13" s="11">
        <f t="shared" si="34"/>
        <v>355.24999999999994</v>
      </c>
      <c r="AB13" s="11">
        <f t="shared" si="35"/>
        <v>332.29</v>
      </c>
      <c r="AC13" s="52">
        <f>CEILING(329.16,0.5)</f>
        <v>329.5</v>
      </c>
      <c r="AD13" s="11">
        <f t="shared" si="8"/>
        <v>355.5</v>
      </c>
      <c r="AE13" s="11">
        <f t="shared" si="9"/>
        <v>384.5</v>
      </c>
      <c r="AF13" s="13">
        <v>407.5</v>
      </c>
      <c r="AG13" s="11">
        <f t="shared" si="36"/>
        <v>390.2675</v>
      </c>
      <c r="AH13" s="11">
        <f t="shared" si="37"/>
        <v>359.055</v>
      </c>
      <c r="AI13" s="11">
        <f>CEILING(345.8,0.5)</f>
        <v>346</v>
      </c>
      <c r="AJ13" s="11">
        <f t="shared" si="10"/>
        <v>390.5</v>
      </c>
      <c r="AK13" s="11">
        <f t="shared" si="11"/>
        <v>423.5</v>
      </c>
      <c r="AL13" s="13">
        <v>451</v>
      </c>
      <c r="AM13" s="11">
        <f t="shared" si="38"/>
        <v>429.85249999999996</v>
      </c>
      <c r="AN13" s="11">
        <f t="shared" si="39"/>
        <v>394.40500000000003</v>
      </c>
      <c r="AO13" s="11">
        <f>CEILING(373.88,0.5)</f>
        <v>374</v>
      </c>
      <c r="AP13" s="11">
        <f t="shared" si="12"/>
        <v>430</v>
      </c>
      <c r="AQ13" s="11">
        <f t="shared" si="13"/>
        <v>467</v>
      </c>
      <c r="AR13" s="13">
        <v>504.5</v>
      </c>
      <c r="AS13" s="11">
        <f t="shared" si="40"/>
        <v>474.00499999999994</v>
      </c>
      <c r="AT13" s="11">
        <f t="shared" si="41"/>
        <v>434.3</v>
      </c>
      <c r="AU13" s="52">
        <f>CEILING(410.28,0.5)</f>
        <v>410.5</v>
      </c>
      <c r="AV13" s="11">
        <f t="shared" si="14"/>
        <v>474.5</v>
      </c>
      <c r="AW13" s="11">
        <f t="shared" si="15"/>
        <v>520.5</v>
      </c>
      <c r="AX13" s="13">
        <v>549</v>
      </c>
      <c r="AY13" s="11">
        <f t="shared" si="42"/>
        <v>528.3075</v>
      </c>
      <c r="AZ13" s="11">
        <f t="shared" si="43"/>
        <v>479.245</v>
      </c>
      <c r="BA13" s="52">
        <f>CEILING(451.88,0.5)</f>
        <v>452</v>
      </c>
      <c r="BB13" s="11">
        <f t="shared" si="16"/>
        <v>528.5</v>
      </c>
      <c r="BC13" s="11">
        <f t="shared" si="17"/>
        <v>565</v>
      </c>
      <c r="BD13" s="13">
        <v>587</v>
      </c>
      <c r="BE13" s="11">
        <f t="shared" si="44"/>
        <v>573.4749999999999</v>
      </c>
      <c r="BF13" s="11">
        <f t="shared" si="45"/>
        <v>533.785</v>
      </c>
      <c r="BG13" s="52">
        <f>CEILING(498.68,0.5)</f>
        <v>499</v>
      </c>
      <c r="BH13" s="11">
        <f t="shared" si="18"/>
        <v>573.5</v>
      </c>
      <c r="BI13" s="11">
        <f t="shared" si="19"/>
        <v>603</v>
      </c>
      <c r="BJ13" s="13">
        <v>628.5</v>
      </c>
      <c r="BK13" s="11">
        <f t="shared" si="46"/>
        <v>612.045</v>
      </c>
      <c r="BL13" s="11">
        <f t="shared" si="47"/>
        <v>579.235</v>
      </c>
      <c r="BM13" s="52">
        <f>CEILING(555.36,0.5)</f>
        <v>555.5</v>
      </c>
      <c r="BN13" s="11">
        <f t="shared" si="20"/>
        <v>612.5</v>
      </c>
      <c r="BO13" s="11">
        <f t="shared" si="21"/>
        <v>644.5</v>
      </c>
      <c r="BP13" s="13">
        <v>676</v>
      </c>
      <c r="BQ13" s="17">
        <f t="shared" si="48"/>
        <v>654.1674999999999</v>
      </c>
      <c r="BR13" s="17">
        <f t="shared" si="49"/>
        <v>618.625</v>
      </c>
      <c r="BS13" s="17">
        <f>CEILING(602.68,0.5)</f>
        <v>603</v>
      </c>
      <c r="BT13" s="17">
        <f t="shared" si="22"/>
        <v>654.5</v>
      </c>
      <c r="BU13" s="17">
        <f t="shared" si="23"/>
        <v>692</v>
      </c>
      <c r="BV13" s="17">
        <f t="shared" si="50"/>
        <v>702.3799999999999</v>
      </c>
      <c r="BW13" s="17">
        <f t="shared" si="51"/>
        <v>661.045</v>
      </c>
      <c r="BX13" s="53">
        <f>CEILING(643.76,0.5)</f>
        <v>644</v>
      </c>
      <c r="BY13" s="17">
        <f t="shared" si="24"/>
        <v>702.5</v>
      </c>
      <c r="BZ13" s="12">
        <f t="shared" si="52"/>
        <v>747.5</v>
      </c>
      <c r="CA13" s="19">
        <v>731.5</v>
      </c>
      <c r="CB13" s="56">
        <f t="shared" si="53"/>
        <v>758.7125</v>
      </c>
      <c r="CC13" s="56">
        <f t="shared" si="54"/>
        <v>709.525</v>
      </c>
      <c r="CD13" s="49">
        <f>CEILING(687.96,0.5)</f>
        <v>688</v>
      </c>
      <c r="CE13" s="40">
        <f t="shared" si="25"/>
        <v>759</v>
      </c>
      <c r="CF13" s="57">
        <f t="shared" si="55"/>
        <v>766.59</v>
      </c>
      <c r="CG13" s="47">
        <f>CEILING(738.4,0.5)</f>
        <v>738.5</v>
      </c>
      <c r="CH13" s="44">
        <f>CEILING(797.68,0.5)</f>
        <v>798</v>
      </c>
    </row>
    <row r="14" spans="1:86" ht="27.75" customHeight="1" thickBot="1">
      <c r="A14" s="87">
        <v>7</v>
      </c>
      <c r="B14" s="89" t="s">
        <v>7</v>
      </c>
      <c r="C14" s="19">
        <v>279.5</v>
      </c>
      <c r="D14" s="10">
        <f t="shared" si="26"/>
        <v>295.5</v>
      </c>
      <c r="E14" s="13">
        <v>288.5</v>
      </c>
      <c r="F14" s="11">
        <f t="shared" si="27"/>
        <v>299.93249999999995</v>
      </c>
      <c r="G14" s="11">
        <f t="shared" si="0"/>
        <v>300</v>
      </c>
      <c r="H14" s="11">
        <f t="shared" si="1"/>
        <v>304.5</v>
      </c>
      <c r="I14" s="13">
        <v>300.5</v>
      </c>
      <c r="J14" s="11">
        <f t="shared" si="28"/>
        <v>309.0675</v>
      </c>
      <c r="K14" s="11">
        <f t="shared" si="29"/>
        <v>303</v>
      </c>
      <c r="L14" s="11">
        <f t="shared" si="2"/>
        <v>309.5</v>
      </c>
      <c r="M14" s="11">
        <f t="shared" si="3"/>
        <v>316.5</v>
      </c>
      <c r="N14" s="13">
        <v>318</v>
      </c>
      <c r="O14" s="11">
        <f t="shared" si="30"/>
        <v>321.24749999999995</v>
      </c>
      <c r="P14" s="17">
        <f t="shared" si="31"/>
        <v>312.595</v>
      </c>
      <c r="Q14" s="24">
        <f>CEILING(315.12,0.5)</f>
        <v>315.5</v>
      </c>
      <c r="R14" s="11">
        <f t="shared" si="4"/>
        <v>321.5</v>
      </c>
      <c r="S14" s="11">
        <f t="shared" si="5"/>
        <v>334</v>
      </c>
      <c r="T14" s="13">
        <v>345</v>
      </c>
      <c r="U14" s="11">
        <f t="shared" si="32"/>
        <v>339.01</v>
      </c>
      <c r="V14" s="11">
        <f t="shared" si="33"/>
        <v>324.715</v>
      </c>
      <c r="W14" s="52">
        <f>CEILING(325.52,0.5)</f>
        <v>326</v>
      </c>
      <c r="X14" s="11">
        <f t="shared" si="6"/>
        <v>339.5</v>
      </c>
      <c r="Y14" s="11">
        <f t="shared" si="7"/>
        <v>361</v>
      </c>
      <c r="Z14" s="13">
        <v>380</v>
      </c>
      <c r="AA14" s="11">
        <f t="shared" si="34"/>
        <v>366.41499999999996</v>
      </c>
      <c r="AB14" s="11">
        <f t="shared" si="35"/>
        <v>342.895</v>
      </c>
      <c r="AC14" s="52">
        <f>CEILING(338,0.5)</f>
        <v>338</v>
      </c>
      <c r="AD14" s="11">
        <f t="shared" si="8"/>
        <v>366.5</v>
      </c>
      <c r="AE14" s="11">
        <f t="shared" si="9"/>
        <v>396</v>
      </c>
      <c r="AF14" s="13">
        <v>421</v>
      </c>
      <c r="AG14" s="11">
        <f t="shared" si="36"/>
        <v>401.93999999999994</v>
      </c>
      <c r="AH14" s="11">
        <f t="shared" si="37"/>
        <v>370.165</v>
      </c>
      <c r="AI14" s="11">
        <f>CEILING(356.72,0.5)</f>
        <v>357</v>
      </c>
      <c r="AJ14" s="11">
        <f t="shared" si="10"/>
        <v>402</v>
      </c>
      <c r="AK14" s="11">
        <f t="shared" si="11"/>
        <v>437</v>
      </c>
      <c r="AL14" s="13">
        <v>466.5</v>
      </c>
      <c r="AM14" s="11">
        <f t="shared" si="38"/>
        <v>443.55499999999995</v>
      </c>
      <c r="AN14" s="11">
        <f t="shared" si="39"/>
        <v>406.02</v>
      </c>
      <c r="AO14" s="11">
        <f>CEILING(385.32,0.5)</f>
        <v>385.5</v>
      </c>
      <c r="AP14" s="11">
        <f t="shared" si="12"/>
        <v>444</v>
      </c>
      <c r="AQ14" s="11">
        <f t="shared" si="13"/>
        <v>482.5</v>
      </c>
      <c r="AR14" s="13">
        <v>522</v>
      </c>
      <c r="AS14" s="11">
        <f t="shared" si="40"/>
        <v>489.73749999999995</v>
      </c>
      <c r="AT14" s="11">
        <f t="shared" si="41"/>
        <v>448.44</v>
      </c>
      <c r="AU14" s="52">
        <f>CEILING(422.76,0.5)</f>
        <v>423</v>
      </c>
      <c r="AV14" s="11">
        <f t="shared" si="14"/>
        <v>490</v>
      </c>
      <c r="AW14" s="11">
        <f t="shared" si="15"/>
        <v>538</v>
      </c>
      <c r="AX14" s="13">
        <v>568.5</v>
      </c>
      <c r="AY14" s="11">
        <f t="shared" si="42"/>
        <v>546.0699999999999</v>
      </c>
      <c r="AZ14" s="11">
        <f t="shared" si="43"/>
        <v>494.9</v>
      </c>
      <c r="BA14" s="52">
        <f>CEILING(466.44,0.5)</f>
        <v>466.5</v>
      </c>
      <c r="BB14" s="11">
        <f t="shared" si="16"/>
        <v>546.5</v>
      </c>
      <c r="BC14" s="11">
        <f t="shared" si="17"/>
        <v>584.5</v>
      </c>
      <c r="BD14" s="13">
        <v>607</v>
      </c>
      <c r="BE14" s="11">
        <f t="shared" si="44"/>
        <v>593.2674999999999</v>
      </c>
      <c r="BF14" s="11">
        <f t="shared" si="45"/>
        <v>551.965</v>
      </c>
      <c r="BG14" s="52">
        <f>CEILING(514.8,0.5)</f>
        <v>515</v>
      </c>
      <c r="BH14" s="11">
        <f t="shared" si="18"/>
        <v>593.5</v>
      </c>
      <c r="BI14" s="11">
        <f t="shared" si="19"/>
        <v>623</v>
      </c>
      <c r="BJ14" s="13">
        <v>649.5</v>
      </c>
      <c r="BK14" s="11">
        <f t="shared" si="46"/>
        <v>632.3449999999999</v>
      </c>
      <c r="BL14" s="11">
        <f t="shared" si="47"/>
        <v>599.4350000000001</v>
      </c>
      <c r="BM14" s="52">
        <f>CEILING(574.08,0.5)</f>
        <v>574.5</v>
      </c>
      <c r="BN14" s="11">
        <f t="shared" si="20"/>
        <v>632.5</v>
      </c>
      <c r="BO14" s="11">
        <f t="shared" si="21"/>
        <v>665.5</v>
      </c>
      <c r="BP14" s="13">
        <v>698.5</v>
      </c>
      <c r="BQ14" s="17">
        <f t="shared" si="48"/>
        <v>675.4825</v>
      </c>
      <c r="BR14" s="17">
        <f t="shared" si="49"/>
        <v>638.825</v>
      </c>
      <c r="BS14" s="17">
        <f>CEILING(623.48,0.5)</f>
        <v>623.5</v>
      </c>
      <c r="BT14" s="17">
        <f t="shared" si="22"/>
        <v>675.5</v>
      </c>
      <c r="BU14" s="17">
        <f t="shared" si="23"/>
        <v>714.5</v>
      </c>
      <c r="BV14" s="17">
        <f t="shared" si="50"/>
        <v>725.2175</v>
      </c>
      <c r="BW14" s="17">
        <f t="shared" si="51"/>
        <v>682.255</v>
      </c>
      <c r="BX14" s="53">
        <f>CEILING(664.56,0.5)</f>
        <v>665</v>
      </c>
      <c r="BY14" s="17">
        <f t="shared" si="24"/>
        <v>725.5</v>
      </c>
      <c r="BZ14" s="12">
        <f t="shared" si="52"/>
        <v>772.5</v>
      </c>
      <c r="CA14" s="19">
        <v>756.5</v>
      </c>
      <c r="CB14" s="56">
        <f t="shared" si="53"/>
        <v>784.0875</v>
      </c>
      <c r="CC14" s="56">
        <f t="shared" si="54"/>
        <v>732.755</v>
      </c>
      <c r="CD14" s="42">
        <f>CEILING(709.8,0.5)</f>
        <v>710</v>
      </c>
      <c r="CE14" s="40">
        <f t="shared" si="25"/>
        <v>784.5</v>
      </c>
      <c r="CF14" s="57">
        <f t="shared" si="55"/>
        <v>792.345</v>
      </c>
      <c r="CG14" s="47">
        <f>CEILING(762.32,0.5)</f>
        <v>762.5</v>
      </c>
      <c r="CH14" s="45">
        <f>CEILING(824.2,0.5)</f>
        <v>824.5</v>
      </c>
    </row>
    <row r="15" spans="1:86" ht="27.75" customHeight="1" thickBot="1">
      <c r="A15" s="87">
        <v>8</v>
      </c>
      <c r="B15" s="90" t="s">
        <v>8</v>
      </c>
      <c r="C15" s="19">
        <v>288</v>
      </c>
      <c r="D15" s="10">
        <f t="shared" si="26"/>
        <v>304</v>
      </c>
      <c r="E15" s="13">
        <v>297</v>
      </c>
      <c r="F15" s="11">
        <f t="shared" si="27"/>
        <v>308.55999999999995</v>
      </c>
      <c r="G15" s="11">
        <f t="shared" si="0"/>
        <v>309</v>
      </c>
      <c r="H15" s="11">
        <f t="shared" si="1"/>
        <v>313</v>
      </c>
      <c r="I15" s="13">
        <v>310</v>
      </c>
      <c r="J15" s="11">
        <f t="shared" si="28"/>
        <v>317.695</v>
      </c>
      <c r="K15" s="11">
        <f t="shared" si="29"/>
        <v>312.09</v>
      </c>
      <c r="L15" s="11">
        <f t="shared" si="2"/>
        <v>318</v>
      </c>
      <c r="M15" s="11">
        <f t="shared" si="3"/>
        <v>326</v>
      </c>
      <c r="N15" s="13">
        <v>327.5</v>
      </c>
      <c r="O15" s="11">
        <f t="shared" si="30"/>
        <v>330.89</v>
      </c>
      <c r="P15" s="17">
        <f t="shared" si="31"/>
        <v>321.18</v>
      </c>
      <c r="Q15" s="21">
        <f>CEILING(325,0.5)</f>
        <v>325</v>
      </c>
      <c r="R15" s="11">
        <f t="shared" si="4"/>
        <v>331</v>
      </c>
      <c r="S15" s="11">
        <f t="shared" si="5"/>
        <v>343.5</v>
      </c>
      <c r="T15" s="13">
        <v>356</v>
      </c>
      <c r="U15" s="11">
        <f t="shared" si="32"/>
        <v>348.6525</v>
      </c>
      <c r="V15" s="11">
        <f t="shared" si="33"/>
        <v>334.31</v>
      </c>
      <c r="W15" s="52">
        <f>CEILING(334.36,0.5)</f>
        <v>334.5</v>
      </c>
      <c r="X15" s="11">
        <f t="shared" si="6"/>
        <v>349</v>
      </c>
      <c r="Y15" s="11">
        <f t="shared" si="7"/>
        <v>372</v>
      </c>
      <c r="Z15" s="13">
        <v>392.5</v>
      </c>
      <c r="AA15" s="11">
        <f t="shared" si="34"/>
        <v>377.58</v>
      </c>
      <c r="AB15" s="11">
        <f t="shared" si="35"/>
        <v>352.49</v>
      </c>
      <c r="AC15" s="52">
        <f>CEILING(347.88,0.5)</f>
        <v>348</v>
      </c>
      <c r="AD15" s="11">
        <f t="shared" si="8"/>
        <v>378</v>
      </c>
      <c r="AE15" s="11">
        <f t="shared" si="9"/>
        <v>408.5</v>
      </c>
      <c r="AF15" s="13">
        <v>434</v>
      </c>
      <c r="AG15" s="11">
        <f t="shared" si="36"/>
        <v>414.62749999999994</v>
      </c>
      <c r="AH15" s="11">
        <f t="shared" si="37"/>
        <v>381.78000000000003</v>
      </c>
      <c r="AI15" s="11">
        <f>CEILING(366.6,0.5)</f>
        <v>367</v>
      </c>
      <c r="AJ15" s="11">
        <f t="shared" si="10"/>
        <v>415</v>
      </c>
      <c r="AK15" s="11">
        <f t="shared" si="11"/>
        <v>450</v>
      </c>
      <c r="AL15" s="13">
        <v>482</v>
      </c>
      <c r="AM15" s="11">
        <f t="shared" si="38"/>
        <v>456.74999999999994</v>
      </c>
      <c r="AN15" s="11">
        <f t="shared" si="39"/>
        <v>419.15</v>
      </c>
      <c r="AO15" s="11">
        <f>CEILING(397.28,0.5)</f>
        <v>397.5</v>
      </c>
      <c r="AP15" s="11">
        <f t="shared" si="12"/>
        <v>457</v>
      </c>
      <c r="AQ15" s="11">
        <f t="shared" si="13"/>
        <v>498</v>
      </c>
      <c r="AR15" s="13">
        <v>538.5</v>
      </c>
      <c r="AS15" s="11">
        <f t="shared" si="40"/>
        <v>505.46999999999997</v>
      </c>
      <c r="AT15" s="11">
        <f t="shared" si="41"/>
        <v>461.57</v>
      </c>
      <c r="AU15" s="52">
        <f>CEILING(436.28,0.5)</f>
        <v>436.5</v>
      </c>
      <c r="AV15" s="11">
        <f t="shared" si="14"/>
        <v>505.5</v>
      </c>
      <c r="AW15" s="11">
        <f t="shared" si="15"/>
        <v>554.5</v>
      </c>
      <c r="AX15" s="13">
        <v>587</v>
      </c>
      <c r="AY15" s="11">
        <f t="shared" si="42"/>
        <v>562.8175</v>
      </c>
      <c r="AZ15" s="11">
        <f t="shared" si="43"/>
        <v>510.555</v>
      </c>
      <c r="BA15" s="52">
        <f>CEILING(480.48,0.5)</f>
        <v>480.5</v>
      </c>
      <c r="BB15" s="11">
        <f t="shared" si="16"/>
        <v>563</v>
      </c>
      <c r="BC15" s="11">
        <f t="shared" si="17"/>
        <v>603</v>
      </c>
      <c r="BD15" s="13">
        <v>626</v>
      </c>
      <c r="BE15" s="11">
        <f t="shared" si="44"/>
        <v>612.045</v>
      </c>
      <c r="BF15" s="11">
        <f t="shared" si="45"/>
        <v>568.63</v>
      </c>
      <c r="BG15" s="52">
        <f>CEILING(531.44,0.5)</f>
        <v>531.5</v>
      </c>
      <c r="BH15" s="11">
        <f t="shared" si="18"/>
        <v>612.5</v>
      </c>
      <c r="BI15" s="11">
        <f t="shared" si="19"/>
        <v>642</v>
      </c>
      <c r="BJ15" s="13">
        <v>670.5</v>
      </c>
      <c r="BK15" s="11">
        <f t="shared" si="46"/>
        <v>651.6299999999999</v>
      </c>
      <c r="BL15" s="11">
        <f t="shared" si="47"/>
        <v>618.625</v>
      </c>
      <c r="BM15" s="52">
        <f>CEILING(591.76,0.5)</f>
        <v>592</v>
      </c>
      <c r="BN15" s="11">
        <f t="shared" si="20"/>
        <v>652</v>
      </c>
      <c r="BO15" s="11">
        <f t="shared" si="21"/>
        <v>686.5</v>
      </c>
      <c r="BP15" s="13">
        <v>721.5</v>
      </c>
      <c r="BQ15" s="17">
        <f t="shared" si="48"/>
        <v>696.7974999999999</v>
      </c>
      <c r="BR15" s="17">
        <f t="shared" si="49"/>
        <v>658.52</v>
      </c>
      <c r="BS15" s="17">
        <f>CEILING(643.76,0.5)</f>
        <v>644</v>
      </c>
      <c r="BT15" s="17">
        <f t="shared" si="22"/>
        <v>697</v>
      </c>
      <c r="BU15" s="17">
        <f t="shared" si="23"/>
        <v>737.5</v>
      </c>
      <c r="BV15" s="17">
        <f t="shared" si="50"/>
        <v>748.5624999999999</v>
      </c>
      <c r="BW15" s="17">
        <f t="shared" si="51"/>
        <v>703.97</v>
      </c>
      <c r="BX15" s="53">
        <f>CEILING(685.36,0.5)</f>
        <v>685.5</v>
      </c>
      <c r="BY15" s="17">
        <f t="shared" si="24"/>
        <v>749</v>
      </c>
      <c r="BZ15" s="12">
        <f t="shared" si="52"/>
        <v>797.5</v>
      </c>
      <c r="CA15" s="19">
        <v>781.5</v>
      </c>
      <c r="CB15" s="56">
        <f t="shared" si="53"/>
        <v>809.4625</v>
      </c>
      <c r="CC15" s="56">
        <f t="shared" si="54"/>
        <v>756.49</v>
      </c>
      <c r="CD15" s="42">
        <f>CEILING(732.16,0.5)</f>
        <v>732.5</v>
      </c>
      <c r="CE15" s="40">
        <f t="shared" si="25"/>
        <v>809.5</v>
      </c>
      <c r="CF15" s="57">
        <f t="shared" si="55"/>
        <v>817.595</v>
      </c>
      <c r="CG15" s="47">
        <f>CEILING(786.76,0.5)</f>
        <v>787</v>
      </c>
      <c r="CH15" s="46">
        <f>CEILING(850.72,0.5)</f>
        <v>851</v>
      </c>
    </row>
    <row r="16" spans="1:86" ht="27.75" customHeight="1" thickBot="1">
      <c r="A16" s="25">
        <v>9</v>
      </c>
      <c r="B16" s="91" t="s">
        <v>9</v>
      </c>
      <c r="C16" s="19">
        <v>295</v>
      </c>
      <c r="D16" s="10">
        <f t="shared" si="26"/>
        <v>311</v>
      </c>
      <c r="E16" s="13">
        <v>305.5</v>
      </c>
      <c r="F16" s="11">
        <f t="shared" si="27"/>
        <v>315.66499999999996</v>
      </c>
      <c r="G16" s="11">
        <f t="shared" si="0"/>
        <v>316</v>
      </c>
      <c r="H16" s="11">
        <f t="shared" si="1"/>
        <v>321.5</v>
      </c>
      <c r="I16" s="13">
        <v>319.5</v>
      </c>
      <c r="J16" s="11">
        <f t="shared" si="28"/>
        <v>326.3225</v>
      </c>
      <c r="K16" s="11">
        <f t="shared" si="29"/>
        <v>319.16</v>
      </c>
      <c r="L16" s="11">
        <f t="shared" si="2"/>
        <v>326.5</v>
      </c>
      <c r="M16" s="11">
        <f t="shared" si="3"/>
        <v>335.5</v>
      </c>
      <c r="N16" s="13">
        <v>337.5</v>
      </c>
      <c r="O16" s="11">
        <f t="shared" si="30"/>
        <v>340.53249999999997</v>
      </c>
      <c r="P16" s="17">
        <f t="shared" si="31"/>
        <v>329.765</v>
      </c>
      <c r="Q16" s="24">
        <f>CEILING(332.28,0.5)</f>
        <v>332.5</v>
      </c>
      <c r="R16" s="11">
        <f t="shared" si="4"/>
        <v>341</v>
      </c>
      <c r="S16" s="11">
        <f t="shared" si="5"/>
        <v>353.5</v>
      </c>
      <c r="T16" s="13">
        <v>367.5</v>
      </c>
      <c r="U16" s="11">
        <f t="shared" si="32"/>
        <v>358.80249999999995</v>
      </c>
      <c r="V16" s="11">
        <f t="shared" si="33"/>
        <v>344.41</v>
      </c>
      <c r="W16" s="52">
        <f>CEILING(343.2,0.5)</f>
        <v>343.5</v>
      </c>
      <c r="X16" s="11">
        <f t="shared" si="6"/>
        <v>359</v>
      </c>
      <c r="Y16" s="11">
        <f t="shared" si="7"/>
        <v>383.5</v>
      </c>
      <c r="Z16" s="13">
        <v>405</v>
      </c>
      <c r="AA16" s="11">
        <f t="shared" si="34"/>
        <v>389.25249999999994</v>
      </c>
      <c r="AB16" s="11">
        <f t="shared" si="35"/>
        <v>362.59</v>
      </c>
      <c r="AC16" s="52">
        <f>CEILING(358.28,0.5)</f>
        <v>358.5</v>
      </c>
      <c r="AD16" s="11">
        <f t="shared" si="8"/>
        <v>389.5</v>
      </c>
      <c r="AE16" s="11">
        <f t="shared" si="9"/>
        <v>421</v>
      </c>
      <c r="AF16" s="13">
        <v>448</v>
      </c>
      <c r="AG16" s="11">
        <f t="shared" si="36"/>
        <v>427.31499999999994</v>
      </c>
      <c r="AH16" s="11">
        <f t="shared" si="37"/>
        <v>393.395</v>
      </c>
      <c r="AI16" s="11">
        <f>CEILING(377.52,0.5)</f>
        <v>378</v>
      </c>
      <c r="AJ16" s="11">
        <f t="shared" si="10"/>
        <v>427.5</v>
      </c>
      <c r="AK16" s="11">
        <f t="shared" si="11"/>
        <v>464</v>
      </c>
      <c r="AL16" s="13">
        <v>496.5</v>
      </c>
      <c r="AM16" s="11">
        <f t="shared" si="38"/>
        <v>470.96</v>
      </c>
      <c r="AN16" s="11">
        <f t="shared" si="39"/>
        <v>431.775</v>
      </c>
      <c r="AO16" s="11">
        <f>CEILING(409.24,0.5)</f>
        <v>409.5</v>
      </c>
      <c r="AP16" s="11">
        <f t="shared" si="12"/>
        <v>471</v>
      </c>
      <c r="AQ16" s="11">
        <f t="shared" si="13"/>
        <v>512.5</v>
      </c>
      <c r="AR16" s="13">
        <v>555.5</v>
      </c>
      <c r="AS16" s="11">
        <f t="shared" si="40"/>
        <v>520.1875</v>
      </c>
      <c r="AT16" s="11">
        <f t="shared" si="41"/>
        <v>475.71</v>
      </c>
      <c r="AU16" s="52">
        <f>CEILING(449.28,0.5)</f>
        <v>449.5</v>
      </c>
      <c r="AV16" s="11">
        <f t="shared" si="14"/>
        <v>520.5</v>
      </c>
      <c r="AW16" s="11">
        <f t="shared" si="15"/>
        <v>571.5</v>
      </c>
      <c r="AX16" s="13">
        <v>606</v>
      </c>
      <c r="AY16" s="11">
        <f t="shared" si="42"/>
        <v>580.0725</v>
      </c>
      <c r="AZ16" s="11">
        <f t="shared" si="43"/>
        <v>525.705</v>
      </c>
      <c r="BA16" s="52">
        <f>CEILING(495.04,0.5)</f>
        <v>495.5</v>
      </c>
      <c r="BB16" s="11">
        <f t="shared" si="16"/>
        <v>580.5</v>
      </c>
      <c r="BC16" s="11">
        <f t="shared" si="17"/>
        <v>622</v>
      </c>
      <c r="BD16" s="13">
        <v>646</v>
      </c>
      <c r="BE16" s="11">
        <f t="shared" si="44"/>
        <v>631.3299999999999</v>
      </c>
      <c r="BF16" s="11">
        <f t="shared" si="45"/>
        <v>586.305</v>
      </c>
      <c r="BG16" s="52">
        <f>CEILING(547.04,0.5)</f>
        <v>547.5</v>
      </c>
      <c r="BH16" s="11">
        <f t="shared" si="18"/>
        <v>631.5</v>
      </c>
      <c r="BI16" s="11">
        <f t="shared" si="19"/>
        <v>662</v>
      </c>
      <c r="BJ16" s="13">
        <v>692</v>
      </c>
      <c r="BK16" s="11">
        <f t="shared" si="46"/>
        <v>671.93</v>
      </c>
      <c r="BL16" s="11">
        <f t="shared" si="47"/>
        <v>637.815</v>
      </c>
      <c r="BM16" s="52">
        <f>CEILING(609.96,0.5)</f>
        <v>610</v>
      </c>
      <c r="BN16" s="11">
        <f t="shared" si="20"/>
        <v>672</v>
      </c>
      <c r="BO16" s="11">
        <f t="shared" si="21"/>
        <v>708</v>
      </c>
      <c r="BP16" s="13">
        <v>744.5</v>
      </c>
      <c r="BQ16" s="17">
        <f t="shared" si="48"/>
        <v>718.6199999999999</v>
      </c>
      <c r="BR16" s="17">
        <f t="shared" si="49"/>
        <v>678.72</v>
      </c>
      <c r="BS16" s="17">
        <f>CEILING(663.52,0.5)</f>
        <v>664</v>
      </c>
      <c r="BT16" s="17">
        <f t="shared" si="22"/>
        <v>719</v>
      </c>
      <c r="BU16" s="17">
        <f t="shared" si="23"/>
        <v>760.5</v>
      </c>
      <c r="BV16" s="17">
        <f t="shared" si="50"/>
        <v>771.9074999999999</v>
      </c>
      <c r="BW16" s="17">
        <f t="shared" si="51"/>
        <v>726.19</v>
      </c>
      <c r="BX16" s="53">
        <f>CEILING(706.16,0.5)</f>
        <v>706.5</v>
      </c>
      <c r="BY16" s="17">
        <f t="shared" si="24"/>
        <v>772</v>
      </c>
      <c r="BZ16" s="12">
        <f t="shared" si="52"/>
        <v>822</v>
      </c>
      <c r="CA16" s="19">
        <v>806</v>
      </c>
      <c r="CB16" s="56">
        <f t="shared" si="53"/>
        <v>834.3299999999999</v>
      </c>
      <c r="CC16" s="56">
        <f t="shared" si="54"/>
        <v>779.72</v>
      </c>
      <c r="CD16" s="42">
        <f>CEILING(755.56,0.5)</f>
        <v>756</v>
      </c>
      <c r="CE16" s="40">
        <f t="shared" si="25"/>
        <v>834.5</v>
      </c>
      <c r="CF16" s="57">
        <f t="shared" si="55"/>
        <v>842.845</v>
      </c>
      <c r="CG16" s="47">
        <f>CEILING(811.2,0.5)</f>
        <v>811.5</v>
      </c>
      <c r="CH16" s="45">
        <f>CEILING(876.72,0.5)</f>
        <v>877</v>
      </c>
    </row>
    <row r="17" spans="1:88" ht="27.75" customHeight="1" thickBot="1">
      <c r="A17" s="92">
        <v>10</v>
      </c>
      <c r="B17" s="91" t="s">
        <v>10</v>
      </c>
      <c r="C17" s="19">
        <v>303</v>
      </c>
      <c r="D17" s="10">
        <f t="shared" si="26"/>
        <v>319</v>
      </c>
      <c r="E17" s="13">
        <v>314</v>
      </c>
      <c r="F17" s="11">
        <f t="shared" si="27"/>
        <v>323.78499999999997</v>
      </c>
      <c r="G17" s="11">
        <f t="shared" si="0"/>
        <v>324</v>
      </c>
      <c r="H17" s="11">
        <f t="shared" si="1"/>
        <v>330</v>
      </c>
      <c r="I17" s="13">
        <v>328</v>
      </c>
      <c r="J17" s="11">
        <f t="shared" si="28"/>
        <v>334.95</v>
      </c>
      <c r="K17" s="11">
        <f t="shared" si="29"/>
        <v>327.24</v>
      </c>
      <c r="L17" s="11">
        <f t="shared" si="2"/>
        <v>335</v>
      </c>
      <c r="M17" s="11">
        <f t="shared" si="3"/>
        <v>344</v>
      </c>
      <c r="N17" s="13">
        <v>347.5</v>
      </c>
      <c r="O17" s="11">
        <f t="shared" si="30"/>
        <v>349.15999999999997</v>
      </c>
      <c r="P17" s="17">
        <f t="shared" si="31"/>
        <v>338.35</v>
      </c>
      <c r="Q17" s="24">
        <f>CEILING(340.6,0.5)</f>
        <v>341</v>
      </c>
      <c r="R17" s="11">
        <f t="shared" si="4"/>
        <v>349.5</v>
      </c>
      <c r="S17" s="11">
        <f t="shared" si="5"/>
        <v>363.5</v>
      </c>
      <c r="T17" s="13">
        <v>378</v>
      </c>
      <c r="U17" s="11">
        <f t="shared" si="32"/>
        <v>368.9525</v>
      </c>
      <c r="V17" s="11">
        <f t="shared" si="33"/>
        <v>352.995</v>
      </c>
      <c r="W17" s="52">
        <f>CEILING(352.04,0.5)</f>
        <v>352.5</v>
      </c>
      <c r="X17" s="11">
        <f t="shared" si="6"/>
        <v>369</v>
      </c>
      <c r="Y17" s="11">
        <f t="shared" si="7"/>
        <v>394</v>
      </c>
      <c r="Z17" s="13">
        <v>417</v>
      </c>
      <c r="AA17" s="11">
        <f t="shared" si="34"/>
        <v>399.90999999999997</v>
      </c>
      <c r="AB17" s="11">
        <f t="shared" si="35"/>
        <v>372.69</v>
      </c>
      <c r="AC17" s="52">
        <f>CEILING(367.12,0.5)</f>
        <v>367.5</v>
      </c>
      <c r="AD17" s="11">
        <f t="shared" si="8"/>
        <v>400</v>
      </c>
      <c r="AE17" s="11">
        <f t="shared" si="9"/>
        <v>433</v>
      </c>
      <c r="AF17" s="13">
        <v>462</v>
      </c>
      <c r="AG17" s="11">
        <f t="shared" si="36"/>
        <v>439.49499999999995</v>
      </c>
      <c r="AH17" s="11">
        <f t="shared" si="37"/>
        <v>404</v>
      </c>
      <c r="AI17" s="11">
        <f>CEILING(387.92,0.5)</f>
        <v>388</v>
      </c>
      <c r="AJ17" s="11">
        <f t="shared" si="10"/>
        <v>439.5</v>
      </c>
      <c r="AK17" s="11">
        <f t="shared" si="11"/>
        <v>478</v>
      </c>
      <c r="AL17" s="13">
        <v>512.5</v>
      </c>
      <c r="AM17" s="11">
        <f t="shared" si="38"/>
        <v>485.16999999999996</v>
      </c>
      <c r="AN17" s="11">
        <f t="shared" si="39"/>
        <v>443.895</v>
      </c>
      <c r="AO17" s="11">
        <f>CEILING(420.16,0.5)</f>
        <v>420.5</v>
      </c>
      <c r="AP17" s="11">
        <f t="shared" si="12"/>
        <v>485.5</v>
      </c>
      <c r="AQ17" s="11">
        <f t="shared" si="13"/>
        <v>528.5</v>
      </c>
      <c r="AR17" s="13">
        <v>572.5</v>
      </c>
      <c r="AS17" s="11">
        <f t="shared" si="40"/>
        <v>536.4274999999999</v>
      </c>
      <c r="AT17" s="11">
        <f t="shared" si="41"/>
        <v>490.355</v>
      </c>
      <c r="AU17" s="52">
        <f>CEILING(461.76,0.5)</f>
        <v>462</v>
      </c>
      <c r="AV17" s="11">
        <f t="shared" si="14"/>
        <v>536.5</v>
      </c>
      <c r="AW17" s="11">
        <f t="shared" si="15"/>
        <v>588.5</v>
      </c>
      <c r="AX17" s="13">
        <v>624.5</v>
      </c>
      <c r="AY17" s="11">
        <f t="shared" si="42"/>
        <v>597.3275</v>
      </c>
      <c r="AZ17" s="11">
        <f t="shared" si="43"/>
        <v>541.865</v>
      </c>
      <c r="BA17" s="52">
        <f>CEILING(510.12,0.5)</f>
        <v>510.5</v>
      </c>
      <c r="BB17" s="11">
        <f t="shared" si="16"/>
        <v>597.5</v>
      </c>
      <c r="BC17" s="11">
        <f t="shared" si="17"/>
        <v>640.5</v>
      </c>
      <c r="BD17" s="13">
        <v>666.5</v>
      </c>
      <c r="BE17" s="11">
        <f t="shared" si="44"/>
        <v>650.1075</v>
      </c>
      <c r="BF17" s="11">
        <f t="shared" si="45"/>
        <v>603.475</v>
      </c>
      <c r="BG17" s="52">
        <f>CEILING(563.68,0.5)</f>
        <v>564</v>
      </c>
      <c r="BH17" s="11">
        <f t="shared" si="18"/>
        <v>650.5</v>
      </c>
      <c r="BI17" s="11">
        <f t="shared" si="19"/>
        <v>682.5</v>
      </c>
      <c r="BJ17" s="13">
        <v>713.5</v>
      </c>
      <c r="BK17" s="11">
        <f t="shared" si="46"/>
        <v>692.7375</v>
      </c>
      <c r="BL17" s="11">
        <f t="shared" si="47"/>
        <v>657.005</v>
      </c>
      <c r="BM17" s="52">
        <f>CEILING(627.64,0.5)</f>
        <v>628</v>
      </c>
      <c r="BN17" s="11">
        <f t="shared" si="20"/>
        <v>693</v>
      </c>
      <c r="BO17" s="11">
        <f t="shared" si="21"/>
        <v>729.5</v>
      </c>
      <c r="BP17" s="13">
        <v>768</v>
      </c>
      <c r="BQ17" s="17">
        <f t="shared" si="48"/>
        <v>740.4424999999999</v>
      </c>
      <c r="BR17" s="17">
        <f t="shared" si="49"/>
        <v>699.93</v>
      </c>
      <c r="BS17" s="17">
        <f>CEILING(683.8,0.5)</f>
        <v>684</v>
      </c>
      <c r="BT17" s="17">
        <f t="shared" si="22"/>
        <v>740.5</v>
      </c>
      <c r="BU17" s="17">
        <f t="shared" si="23"/>
        <v>784</v>
      </c>
      <c r="BV17" s="17">
        <f t="shared" si="50"/>
        <v>795.7599999999999</v>
      </c>
      <c r="BW17" s="17">
        <f t="shared" si="51"/>
        <v>747.905</v>
      </c>
      <c r="BX17" s="53">
        <f>CEILING(728,0.5)</f>
        <v>728</v>
      </c>
      <c r="BY17" s="17">
        <f t="shared" si="24"/>
        <v>796</v>
      </c>
      <c r="BZ17" s="12">
        <f t="shared" si="52"/>
        <v>847.5</v>
      </c>
      <c r="CA17" s="19">
        <v>831.5</v>
      </c>
      <c r="CB17" s="56">
        <f t="shared" si="53"/>
        <v>860.2124999999999</v>
      </c>
      <c r="CC17" s="56">
        <f t="shared" si="54"/>
        <v>803.96</v>
      </c>
      <c r="CD17" s="42">
        <f>CEILING(777.92,0.5)</f>
        <v>778</v>
      </c>
      <c r="CE17" s="40">
        <f t="shared" si="25"/>
        <v>860.5</v>
      </c>
      <c r="CF17" s="57">
        <f t="shared" si="55"/>
        <v>869.105</v>
      </c>
      <c r="CG17" s="47">
        <f>CEILING(836.16,0.5)</f>
        <v>836.5</v>
      </c>
      <c r="CH17" s="46">
        <f>CEILING(904.28,0.5)</f>
        <v>904.5</v>
      </c>
      <c r="CJ17" s="2"/>
    </row>
    <row r="18" spans="1:86" ht="27.75" customHeight="1" thickBot="1">
      <c r="A18" s="92">
        <v>11</v>
      </c>
      <c r="B18" s="91" t="s">
        <v>11</v>
      </c>
      <c r="C18" s="19">
        <v>312</v>
      </c>
      <c r="D18" s="10">
        <f t="shared" si="26"/>
        <v>328</v>
      </c>
      <c r="E18" s="13">
        <v>322.5</v>
      </c>
      <c r="F18" s="11">
        <f t="shared" si="27"/>
        <v>332.91999999999996</v>
      </c>
      <c r="G18" s="11">
        <f t="shared" si="0"/>
        <v>333</v>
      </c>
      <c r="H18" s="11">
        <f t="shared" si="1"/>
        <v>338.5</v>
      </c>
      <c r="I18" s="13">
        <v>337</v>
      </c>
      <c r="J18" s="11">
        <f t="shared" si="28"/>
        <v>343.5775</v>
      </c>
      <c r="K18" s="11">
        <f t="shared" si="29"/>
        <v>336.33</v>
      </c>
      <c r="L18" s="11">
        <f t="shared" si="2"/>
        <v>344</v>
      </c>
      <c r="M18" s="11">
        <f t="shared" si="3"/>
        <v>353</v>
      </c>
      <c r="N18" s="13">
        <v>358</v>
      </c>
      <c r="O18" s="11">
        <f t="shared" si="30"/>
        <v>358.29499999999996</v>
      </c>
      <c r="P18" s="17">
        <f t="shared" si="31"/>
        <v>347.44</v>
      </c>
      <c r="Q18" s="24">
        <f>CEILING(349.96,0.5)</f>
        <v>350</v>
      </c>
      <c r="R18" s="11">
        <f t="shared" si="4"/>
        <v>358.5</v>
      </c>
      <c r="S18" s="11">
        <f t="shared" si="5"/>
        <v>374</v>
      </c>
      <c r="T18" s="13">
        <v>388</v>
      </c>
      <c r="U18" s="11">
        <f t="shared" si="32"/>
        <v>379.60999999999996</v>
      </c>
      <c r="V18" s="11">
        <f t="shared" si="33"/>
        <v>362.085</v>
      </c>
      <c r="W18" s="52">
        <f>CEILING(361.4,0.5)</f>
        <v>361.5</v>
      </c>
      <c r="X18" s="11">
        <f t="shared" si="6"/>
        <v>380</v>
      </c>
      <c r="Y18" s="11">
        <f t="shared" si="7"/>
        <v>404</v>
      </c>
      <c r="Z18" s="13">
        <v>429</v>
      </c>
      <c r="AA18" s="11">
        <f t="shared" si="34"/>
        <v>410.05999999999995</v>
      </c>
      <c r="AB18" s="11">
        <f t="shared" si="35"/>
        <v>383.8</v>
      </c>
      <c r="AC18" s="52">
        <f>CEILING(377,0.5)</f>
        <v>377</v>
      </c>
      <c r="AD18" s="11">
        <f t="shared" si="8"/>
        <v>410.5</v>
      </c>
      <c r="AE18" s="11">
        <f t="shared" si="9"/>
        <v>445</v>
      </c>
      <c r="AF18" s="13">
        <v>475</v>
      </c>
      <c r="AG18" s="11">
        <f t="shared" si="36"/>
        <v>451.67499999999995</v>
      </c>
      <c r="AH18" s="11">
        <f t="shared" si="37"/>
        <v>414.605</v>
      </c>
      <c r="AI18" s="11">
        <f>CEILING(399.36,0.5)</f>
        <v>399.5</v>
      </c>
      <c r="AJ18" s="11">
        <f t="shared" si="10"/>
        <v>452</v>
      </c>
      <c r="AK18" s="11">
        <f t="shared" si="11"/>
        <v>491</v>
      </c>
      <c r="AL18" s="13">
        <v>527.5</v>
      </c>
      <c r="AM18" s="11">
        <f t="shared" si="38"/>
        <v>498.36499999999995</v>
      </c>
      <c r="AN18" s="11">
        <f t="shared" si="39"/>
        <v>456.52</v>
      </c>
      <c r="AO18" s="11">
        <f>CEILING(431.6,0.5)</f>
        <v>432</v>
      </c>
      <c r="AP18" s="11">
        <f t="shared" si="12"/>
        <v>498.5</v>
      </c>
      <c r="AQ18" s="11">
        <f t="shared" si="13"/>
        <v>543.5</v>
      </c>
      <c r="AR18" s="13">
        <v>590</v>
      </c>
      <c r="AS18" s="11">
        <f t="shared" si="40"/>
        <v>551.6524999999999</v>
      </c>
      <c r="AT18" s="11">
        <f t="shared" si="41"/>
        <v>503.485</v>
      </c>
      <c r="AU18" s="52">
        <f>CEILING(475.28,0.5)</f>
        <v>475.5</v>
      </c>
      <c r="AV18" s="11">
        <f t="shared" si="14"/>
        <v>552</v>
      </c>
      <c r="AW18" s="11">
        <f t="shared" si="15"/>
        <v>606</v>
      </c>
      <c r="AX18" s="13">
        <v>643</v>
      </c>
      <c r="AY18" s="11">
        <f t="shared" si="42"/>
        <v>615.0899999999999</v>
      </c>
      <c r="AZ18" s="11">
        <f t="shared" si="43"/>
        <v>557.52</v>
      </c>
      <c r="BA18" s="52">
        <f>CEILING(523.64,0.5)</f>
        <v>524</v>
      </c>
      <c r="BB18" s="11">
        <f t="shared" si="16"/>
        <v>615.5</v>
      </c>
      <c r="BC18" s="11">
        <f t="shared" si="17"/>
        <v>659</v>
      </c>
      <c r="BD18" s="13">
        <v>686</v>
      </c>
      <c r="BE18" s="11">
        <f t="shared" si="44"/>
        <v>668.885</v>
      </c>
      <c r="BF18" s="11">
        <f t="shared" si="45"/>
        <v>621.655</v>
      </c>
      <c r="BG18" s="52">
        <f>CEILING(580.32,0.5)</f>
        <v>580.5</v>
      </c>
      <c r="BH18" s="11">
        <f t="shared" si="18"/>
        <v>669</v>
      </c>
      <c r="BI18" s="11">
        <f t="shared" si="19"/>
        <v>702</v>
      </c>
      <c r="BJ18" s="13">
        <v>734</v>
      </c>
      <c r="BK18" s="11">
        <f t="shared" si="46"/>
        <v>712.53</v>
      </c>
      <c r="BL18" s="11">
        <f t="shared" si="47"/>
        <v>675.69</v>
      </c>
      <c r="BM18" s="52">
        <f>CEILING(646.88,0.5)</f>
        <v>647</v>
      </c>
      <c r="BN18" s="11">
        <f t="shared" si="20"/>
        <v>713</v>
      </c>
      <c r="BO18" s="11">
        <f t="shared" si="21"/>
        <v>750</v>
      </c>
      <c r="BP18" s="13">
        <v>790</v>
      </c>
      <c r="BQ18" s="17">
        <f t="shared" si="48"/>
        <v>761.2499999999999</v>
      </c>
      <c r="BR18" s="17">
        <f t="shared" si="49"/>
        <v>720.13</v>
      </c>
      <c r="BS18" s="17">
        <f>CEILING(703.04,0.5)</f>
        <v>703.5</v>
      </c>
      <c r="BT18" s="17">
        <f t="shared" si="22"/>
        <v>761.5</v>
      </c>
      <c r="BU18" s="17">
        <f t="shared" si="23"/>
        <v>806</v>
      </c>
      <c r="BV18" s="17">
        <f t="shared" si="50"/>
        <v>818.0899999999999</v>
      </c>
      <c r="BW18" s="17">
        <f t="shared" si="51"/>
        <v>769.115</v>
      </c>
      <c r="BX18" s="53">
        <f>CEILING(749.32,0.5)</f>
        <v>749.5</v>
      </c>
      <c r="BY18" s="17">
        <f t="shared" si="24"/>
        <v>818.5</v>
      </c>
      <c r="BZ18" s="12">
        <f t="shared" si="52"/>
        <v>871.5</v>
      </c>
      <c r="CA18" s="19">
        <v>855.5</v>
      </c>
      <c r="CB18" s="56">
        <f t="shared" si="53"/>
        <v>884.5724999999999</v>
      </c>
      <c r="CC18" s="56">
        <f t="shared" si="54"/>
        <v>826.6850000000001</v>
      </c>
      <c r="CD18" s="42">
        <f>CEILING(800.28,0.5)</f>
        <v>800.5</v>
      </c>
      <c r="CE18" s="40">
        <f t="shared" si="25"/>
        <v>885</v>
      </c>
      <c r="CF18" s="57">
        <f t="shared" si="55"/>
        <v>893.85</v>
      </c>
      <c r="CG18" s="47">
        <f>CEILING(860.08,0.5)</f>
        <v>860.5</v>
      </c>
      <c r="CH18" s="44">
        <f>CEILING(929.76,0.5)</f>
        <v>930</v>
      </c>
    </row>
    <row r="19" spans="1:86" ht="27.75" customHeight="1" thickBot="1">
      <c r="A19" s="26">
        <v>12</v>
      </c>
      <c r="B19" s="86" t="s">
        <v>4</v>
      </c>
      <c r="C19" s="19">
        <v>320.5</v>
      </c>
      <c r="D19" s="24">
        <f t="shared" si="26"/>
        <v>336.5</v>
      </c>
      <c r="E19" s="14">
        <v>331</v>
      </c>
      <c r="F19" s="11">
        <f t="shared" si="27"/>
        <v>341.54749999999996</v>
      </c>
      <c r="G19" s="21">
        <f t="shared" si="0"/>
        <v>342</v>
      </c>
      <c r="H19" s="21">
        <f t="shared" si="1"/>
        <v>347</v>
      </c>
      <c r="I19" s="14">
        <v>346</v>
      </c>
      <c r="J19" s="21">
        <f t="shared" si="28"/>
        <v>352.205</v>
      </c>
      <c r="K19" s="11">
        <f t="shared" si="29"/>
        <v>345.42</v>
      </c>
      <c r="L19" s="21">
        <f t="shared" si="2"/>
        <v>352.5</v>
      </c>
      <c r="M19" s="21">
        <f t="shared" si="3"/>
        <v>362</v>
      </c>
      <c r="N19" s="14">
        <v>367.5</v>
      </c>
      <c r="O19" s="21">
        <f t="shared" si="30"/>
        <v>367.42999999999995</v>
      </c>
      <c r="P19" s="22">
        <f t="shared" si="31"/>
        <v>356.025</v>
      </c>
      <c r="Q19" s="24">
        <f>CEILING(359.32,0.5)</f>
        <v>359.5</v>
      </c>
      <c r="R19" s="21">
        <f t="shared" si="4"/>
        <v>367.5</v>
      </c>
      <c r="S19" s="21">
        <f t="shared" si="5"/>
        <v>383.5</v>
      </c>
      <c r="T19" s="14">
        <v>400</v>
      </c>
      <c r="U19" s="21">
        <f t="shared" si="32"/>
        <v>389.25249999999994</v>
      </c>
      <c r="V19" s="21">
        <f t="shared" si="33"/>
        <v>371.175</v>
      </c>
      <c r="W19" s="54">
        <f>CEILING(370.76,0.5)</f>
        <v>371</v>
      </c>
      <c r="X19" s="21">
        <f t="shared" si="6"/>
        <v>389.5</v>
      </c>
      <c r="Y19" s="21">
        <f t="shared" si="7"/>
        <v>416</v>
      </c>
      <c r="Z19" s="14">
        <v>440.5</v>
      </c>
      <c r="AA19" s="21">
        <f t="shared" si="34"/>
        <v>422.23999999999995</v>
      </c>
      <c r="AB19" s="21">
        <f t="shared" si="35"/>
        <v>393.395</v>
      </c>
      <c r="AC19" s="54">
        <f>CEILING(386.36,0.5)</f>
        <v>386.5</v>
      </c>
      <c r="AD19" s="21">
        <f t="shared" si="8"/>
        <v>422.5</v>
      </c>
      <c r="AE19" s="21">
        <f t="shared" si="9"/>
        <v>456.5</v>
      </c>
      <c r="AF19" s="14">
        <v>488</v>
      </c>
      <c r="AG19" s="21">
        <f t="shared" si="36"/>
        <v>463.34749999999997</v>
      </c>
      <c r="AH19" s="21">
        <f t="shared" si="37"/>
        <v>426.725</v>
      </c>
      <c r="AI19" s="21">
        <f>CEILING(409.24,0.5)</f>
        <v>409.5</v>
      </c>
      <c r="AJ19" s="21">
        <f t="shared" si="10"/>
        <v>463.5</v>
      </c>
      <c r="AK19" s="21">
        <f t="shared" si="11"/>
        <v>504</v>
      </c>
      <c r="AL19" s="14">
        <v>542.5</v>
      </c>
      <c r="AM19" s="21">
        <f t="shared" si="38"/>
        <v>511.55999999999995</v>
      </c>
      <c r="AN19" s="21">
        <f t="shared" si="39"/>
        <v>468.135</v>
      </c>
      <c r="AO19" s="21">
        <f>CEILING(444.08,0.5)</f>
        <v>444.5</v>
      </c>
      <c r="AP19" s="21">
        <f t="shared" si="12"/>
        <v>512</v>
      </c>
      <c r="AQ19" s="21">
        <f t="shared" si="13"/>
        <v>558.5</v>
      </c>
      <c r="AR19" s="14">
        <v>607.5</v>
      </c>
      <c r="AS19" s="21">
        <f t="shared" si="40"/>
        <v>566.8774999999999</v>
      </c>
      <c r="AT19" s="21">
        <f t="shared" si="41"/>
        <v>517.12</v>
      </c>
      <c r="AU19" s="54">
        <f>CEILING(487.24,0.5)</f>
        <v>487.5</v>
      </c>
      <c r="AV19" s="21">
        <f t="shared" si="14"/>
        <v>567</v>
      </c>
      <c r="AW19" s="21">
        <f t="shared" si="15"/>
        <v>623.5</v>
      </c>
      <c r="AX19" s="14">
        <v>662</v>
      </c>
      <c r="AY19" s="21">
        <f t="shared" si="42"/>
        <v>632.8525</v>
      </c>
      <c r="AZ19" s="21">
        <f t="shared" si="43"/>
        <v>572.67</v>
      </c>
      <c r="BA19" s="54">
        <f>CEILING(538.2,0.5)</f>
        <v>538.5</v>
      </c>
      <c r="BB19" s="21">
        <f t="shared" si="16"/>
        <v>633</v>
      </c>
      <c r="BC19" s="21">
        <f t="shared" si="17"/>
        <v>678</v>
      </c>
      <c r="BD19" s="14">
        <v>705.5</v>
      </c>
      <c r="BE19" s="21">
        <f t="shared" si="44"/>
        <v>688.17</v>
      </c>
      <c r="BF19" s="21">
        <f t="shared" si="45"/>
        <v>639.33</v>
      </c>
      <c r="BG19" s="54">
        <f>CEILING(595.92,0.5)</f>
        <v>596</v>
      </c>
      <c r="BH19" s="21">
        <f t="shared" si="18"/>
        <v>688.5</v>
      </c>
      <c r="BI19" s="21">
        <f t="shared" si="19"/>
        <v>721.5</v>
      </c>
      <c r="BJ19" s="14">
        <v>755</v>
      </c>
      <c r="BK19" s="21">
        <f t="shared" si="46"/>
        <v>732.3224999999999</v>
      </c>
      <c r="BL19" s="21">
        <f t="shared" si="47"/>
        <v>695.385</v>
      </c>
      <c r="BM19" s="54">
        <f>CEILING(665.08,0.5)</f>
        <v>665.5</v>
      </c>
      <c r="BN19" s="21">
        <f t="shared" si="20"/>
        <v>732.5</v>
      </c>
      <c r="BO19" s="21">
        <f t="shared" si="21"/>
        <v>771</v>
      </c>
      <c r="BP19" s="14">
        <v>813.5</v>
      </c>
      <c r="BQ19" s="22">
        <f t="shared" si="48"/>
        <v>782.5649999999999</v>
      </c>
      <c r="BR19" s="22">
        <f t="shared" si="49"/>
        <v>739.825</v>
      </c>
      <c r="BS19" s="22">
        <f>CEILING(723.32,0.5)</f>
        <v>723.5</v>
      </c>
      <c r="BT19" s="22">
        <f t="shared" si="22"/>
        <v>783</v>
      </c>
      <c r="BU19" s="22">
        <f t="shared" si="23"/>
        <v>829.5</v>
      </c>
      <c r="BV19" s="22">
        <f t="shared" si="50"/>
        <v>841.9424999999999</v>
      </c>
      <c r="BW19" s="22">
        <f t="shared" si="51"/>
        <v>790.83</v>
      </c>
      <c r="BX19" s="55">
        <f>CEILING(769.6,0.5)</f>
        <v>770</v>
      </c>
      <c r="BY19" s="22">
        <f t="shared" si="24"/>
        <v>842</v>
      </c>
      <c r="BZ19" s="23">
        <f t="shared" si="52"/>
        <v>897.5</v>
      </c>
      <c r="CA19" s="20">
        <v>881.5</v>
      </c>
      <c r="CB19" s="58">
        <f t="shared" si="53"/>
        <v>910.9624999999999</v>
      </c>
      <c r="CC19" s="58">
        <f t="shared" si="54"/>
        <v>850.42</v>
      </c>
      <c r="CD19" s="43">
        <f>CEILING(822.64,0.5)</f>
        <v>823</v>
      </c>
      <c r="CE19" s="41">
        <f t="shared" si="25"/>
        <v>911</v>
      </c>
      <c r="CF19" s="57">
        <f t="shared" si="55"/>
        <v>920.11</v>
      </c>
      <c r="CG19" s="47">
        <f>CEILING(884.52,0.5)</f>
        <v>885</v>
      </c>
      <c r="CH19" s="45">
        <f>CEILING(957.32,0.5)</f>
        <v>957.5</v>
      </c>
    </row>
  </sheetData>
  <sheetProtection/>
  <mergeCells count="2">
    <mergeCell ref="I5:CH5"/>
    <mergeCell ref="I6:CH6"/>
  </mergeCells>
  <printOptions horizontalCentered="1"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2015-10-15T12:21:32Z</cp:lastPrinted>
  <dcterms:created xsi:type="dcterms:W3CDTF">2009-10-06T09:23:15Z</dcterms:created>
  <dcterms:modified xsi:type="dcterms:W3CDTF">2015-10-16T07:20:43Z</dcterms:modified>
  <cp:category/>
  <cp:version/>
  <cp:contentType/>
  <cp:contentStatus/>
</cp:coreProperties>
</file>