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195" windowHeight="8445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/>
  <calcPr fullCalcOnLoad="1"/>
</workbook>
</file>

<file path=xl/comments1.xml><?xml version="1.0" encoding="utf-8"?>
<comments xmlns="http://schemas.openxmlformats.org/spreadsheetml/2006/main">
  <authors>
    <author>shadow</author>
  </authors>
  <commentList>
    <comment ref="J19" authorId="0">
      <text>
        <r>
          <rPr>
            <b/>
            <sz val="8"/>
            <rFont val="Tahoma"/>
            <family val="0"/>
          </rPr>
          <t>shadow:</t>
        </r>
        <r>
          <rPr>
            <sz val="8"/>
            <rFont val="Tahoma"/>
            <family val="0"/>
          </rPr>
          <t xml:space="preserve">
km
</t>
        </r>
      </text>
    </comment>
  </commentList>
</comments>
</file>

<file path=xl/comments4.xml><?xml version="1.0" encoding="utf-8"?>
<comments xmlns="http://schemas.openxmlformats.org/spreadsheetml/2006/main">
  <authors>
    <author>shadow</author>
  </authors>
  <commentList>
    <comment ref="M8" authorId="0">
      <text>
        <r>
          <rPr>
            <b/>
            <sz val="8"/>
            <rFont val="Tahoma"/>
            <family val="0"/>
          </rPr>
          <t>shadow:</t>
        </r>
        <r>
          <rPr>
            <sz val="8"/>
            <rFont val="Tahoma"/>
            <family val="0"/>
          </rPr>
          <t xml:space="preserve">
NR,PV,KE,+ZA</t>
        </r>
      </text>
    </comment>
  </commentList>
</comments>
</file>

<file path=xl/sharedStrings.xml><?xml version="1.0" encoding="utf-8"?>
<sst xmlns="http://schemas.openxmlformats.org/spreadsheetml/2006/main" count="415" uniqueCount="163">
  <si>
    <t>Povodňou postihnuté obce a mestá</t>
  </si>
  <si>
    <t>Zaplavené obytné domy  (pivnice, suterény)</t>
  </si>
  <si>
    <t>Značne poškodené obytné domy</t>
  </si>
  <si>
    <t xml:space="preserve">Zničené a neobývateľné obytné domy, 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</si>
  <si>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</si>
  <si>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</si>
  <si>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</si>
  <si>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>Zaplavené poľnohospodárske budovy a objekty</t>
  </si>
  <si>
    <t xml:space="preserve">Postihnuté závody,  prevádzky, sklady,       </t>
  </si>
  <si>
    <t>Zaplavené garáže a hospodárske objekty</t>
  </si>
  <si>
    <t>Poškodené úseky železníc /m/</t>
  </si>
  <si>
    <t>Zaplavené železničné objekty</t>
  </si>
  <si>
    <t>Poškodené diaľnice a cesty pre motorové vozidlá</t>
  </si>
  <si>
    <t>Poškodené miestne komunikácie (km)</t>
  </si>
  <si>
    <t>Poškodené a zničené mosty</t>
  </si>
  <si>
    <t xml:space="preserve">Poškodené a zničené lávky </t>
  </si>
  <si>
    <t>Celkový rozsah zaplaveného územia  (ha)</t>
  </si>
  <si>
    <t xml:space="preserve"> - z toho:  intravilány obcí a miest (ha)</t>
  </si>
  <si>
    <t xml:space="preserve">                 poľnohospodárskej pôdy (ha)</t>
  </si>
  <si>
    <t xml:space="preserve">                 lesnej pôdy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</si>
  <si>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</si>
  <si>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</si>
  <si>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</si>
  <si>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</si>
  <si>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</si>
  <si>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</si>
  <si>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</si>
  <si>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elektro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</si>
  <si>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</si>
  <si>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</si>
  <si>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</si>
  <si>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</si>
  <si>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</si>
  <si>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</si>
  <si>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</si>
  <si>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</si>
  <si>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</si>
  <si>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</si>
  <si>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</si>
  <si>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</si>
  <si>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automobily</t>
  </si>
  <si>
    <t xml:space="preserve"> počet</t>
  </si>
  <si>
    <t xml:space="preserve"> </t>
  </si>
  <si>
    <t xml:space="preserve"> počet hodín</t>
  </si>
  <si>
    <t>Príslušníci Hasičského  a záchranného zboru</t>
  </si>
  <si>
    <t>počet</t>
  </si>
  <si>
    <t>počet hodín</t>
  </si>
  <si>
    <t>Členovia a zamestnanci ostatných hasičských jednotiek</t>
  </si>
  <si>
    <t xml:space="preserve">Príslušníci Policajného zboru                                      </t>
  </si>
  <si>
    <t xml:space="preserve">Príslušníci Ozbrojených síl SR                                                   </t>
  </si>
  <si>
    <t xml:space="preserve">Pracovníci orgánov štátnej správy ochrany pre povodňami a povodňových komisií                             </t>
  </si>
  <si>
    <t>Pracovníci iných záchranných zložiek</t>
  </si>
  <si>
    <t xml:space="preserve">počet </t>
  </si>
  <si>
    <t>Pracovníci organizácii v zriaďovateľskej pôsobnosti ústredného orgánu štátnej správy</t>
  </si>
  <si>
    <t>Počet osôb spolu</t>
  </si>
  <si>
    <t>Celkový počet odpracovaných hodín</t>
  </si>
  <si>
    <t>Celkový počet síl/ odpracované hodiny</t>
  </si>
  <si>
    <t>Nákladné automobily</t>
  </si>
  <si>
    <t>Kolesové a pásové traktory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</si>
  <si>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</si>
  <si>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</si>
  <si>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</si>
  <si>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</si>
  <si>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</si>
  <si>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</si>
  <si>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</si>
  <si>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</si>
  <si>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</si>
  <si>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</si>
  <si>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</si>
  <si>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Kalové čerpadlá s výkonom nad 50 l/s</t>
  </si>
  <si>
    <t>Elektrocentrály a osvetľovacie súpravy</t>
  </si>
  <si>
    <t xml:space="preserve">Záchranné člny </t>
  </si>
  <si>
    <t>Plávajúce transportéry</t>
  </si>
  <si>
    <t>Vrtuľníky</t>
  </si>
  <si>
    <t>Ručné motorové píly</t>
  </si>
  <si>
    <t xml:space="preserve">Spotrebované pohonné hmoty </t>
  </si>
  <si>
    <t>Dezinfekčné prostriedky (kg)</t>
  </si>
  <si>
    <t>Uložené vrecia s pieskom</t>
  </si>
  <si>
    <t>Použitý lomový kameň (m3)</t>
  </si>
  <si>
    <t>Štrkopiesok (m3)</t>
  </si>
  <si>
    <t>Fekálne vozy</t>
  </si>
  <si>
    <t>Pojazdná autodielňa</t>
  </si>
  <si>
    <t>Vozidlo na odvoz TKO</t>
  </si>
  <si>
    <t>Kompresor</t>
  </si>
  <si>
    <t>Použité prostriedky (počet)</t>
  </si>
  <si>
    <t>z toho:</t>
  </si>
  <si>
    <t>a)  bežné výdavky celkom</t>
  </si>
  <si>
    <t xml:space="preserve"> mzdy</t>
  </si>
  <si>
    <t>poistné a príspevky do poisťovní</t>
  </si>
  <si>
    <t xml:space="preserve">b) bežné transfery </t>
  </si>
  <si>
    <t>c)  kapitálové výdavky</t>
  </si>
  <si>
    <t>d) transfery - kapitálové</t>
  </si>
  <si>
    <t>Náklady na záchranné práce spolu</t>
  </si>
  <si>
    <t>Náhrada škody spôsobená plnením opatrení na ochranu pred povodňami</t>
  </si>
  <si>
    <t>a) škody u obyvateľov celkom</t>
  </si>
  <si>
    <t>b) škody na majetku obcí celkom</t>
  </si>
  <si>
    <t>c) škody na majetku v správe obvodných úradov</t>
  </si>
  <si>
    <t>d) škody na majetku v správe krajských úradov</t>
  </si>
  <si>
    <t>e) škody na majetku vyšších územných celkov</t>
  </si>
  <si>
    <t>f) škody na majetku Hasičského a záchranného zboru</t>
  </si>
  <si>
    <t>g) škody na majetku Policajného zboru</t>
  </si>
  <si>
    <t>h) škody na majetku v užívaní ozbrojených síl SR</t>
  </si>
  <si>
    <t xml:space="preserve">i) škody na majetku v organizáciách v zriaďovateľskej pôsobnosti ústredného orgánu štátnej správy </t>
  </si>
  <si>
    <t>j) škody u občianskych združení</t>
  </si>
  <si>
    <t>Celkové škody</t>
  </si>
  <si>
    <t>Následky spôsobené povodňami (počet)</t>
  </si>
  <si>
    <t>Bratislavský</t>
  </si>
  <si>
    <t>Trnavský</t>
  </si>
  <si>
    <t>Nitrianský</t>
  </si>
  <si>
    <t>Trenčianský</t>
  </si>
  <si>
    <t>Žilinský</t>
  </si>
  <si>
    <t>Banskobystrický</t>
  </si>
  <si>
    <t>Prešovský</t>
  </si>
  <si>
    <t>Košický</t>
  </si>
  <si>
    <t>SR</t>
  </si>
  <si>
    <t xml:space="preserve">Kraj </t>
  </si>
  <si>
    <t xml:space="preserve">Prehľad následkov spôsobených povodňami </t>
  </si>
  <si>
    <t xml:space="preserve">Prehľad síl nasadených na ochranu pred povodňami                                          </t>
  </si>
  <si>
    <t>Občania</t>
  </si>
  <si>
    <t>Pracovníci správcov vodných tokov cudzí zamestnanci</t>
  </si>
  <si>
    <t xml:space="preserve">Pracovníci správcov vodných tokov vlastní zamestnanci  </t>
  </si>
  <si>
    <t>Kraj</t>
  </si>
  <si>
    <t>Škody spôsobené povodňami                        v tis. Sk</t>
  </si>
  <si>
    <t xml:space="preserve">na domoch </t>
  </si>
  <si>
    <t xml:space="preserve"> na bytoch</t>
  </si>
  <si>
    <t>na bytovom zariadení</t>
  </si>
  <si>
    <t>na ostatnom majetku</t>
  </si>
  <si>
    <t xml:space="preserve">z toho: </t>
  </si>
  <si>
    <t xml:space="preserve">na budovách </t>
  </si>
  <si>
    <t>na cestách a mostoch</t>
  </si>
  <si>
    <t>na regulácii tokov</t>
  </si>
  <si>
    <t>na kanalizácii a ČOV</t>
  </si>
  <si>
    <t xml:space="preserve"> na vodovodoch</t>
  </si>
  <si>
    <t>na chodníkoch a lávkach</t>
  </si>
  <si>
    <t>na plynovodoch</t>
  </si>
  <si>
    <t>na elektrických sieťach</t>
  </si>
  <si>
    <t>na hnuteľnom majetku</t>
  </si>
  <si>
    <t>iné škody</t>
  </si>
  <si>
    <t>Náhrada za obmedzenie vlastníckeho práva alebo užívacieho práva, za poskytnutie osobnej pomoci a vecného prostriedku</t>
  </si>
  <si>
    <t>Náhrady v  tis. Sk</t>
  </si>
  <si>
    <t>Zaplavené a poškodené  iné objekty</t>
  </si>
  <si>
    <t xml:space="preserve">Prehľad síl nasadených na ochranu pred povodňami </t>
  </si>
  <si>
    <t>Príloha č. 2</t>
  </si>
  <si>
    <t xml:space="preserve">Príloha č. 3 </t>
  </si>
  <si>
    <t>Príloha č. 4</t>
  </si>
  <si>
    <t>Príloha č. 5</t>
  </si>
  <si>
    <t>Príloha č. 6</t>
  </si>
  <si>
    <t>Poškodené cesty I. triedy (km)</t>
  </si>
  <si>
    <t>Poškodené cesty II. a III. triedy (km)</t>
  </si>
  <si>
    <t>Poškodené chodníky (m)</t>
  </si>
  <si>
    <t xml:space="preserve">MZ SR </t>
  </si>
  <si>
    <t>MV SR</t>
  </si>
  <si>
    <t>SK Prešov</t>
  </si>
  <si>
    <t>Náklady na výkon záchranných prác (v tis. Sk)</t>
  </si>
  <si>
    <t xml:space="preserve">Náklady na výkon záchranných prác </t>
  </si>
  <si>
    <t>Náhrady za obmedzenie vlastníckeho práva alebo užívacieho práva, za poskytnutie osobnej pomoci a vecného prostriedku, náhrady škôd spôsobených plnením opatrení na ochranu pred povodňami</t>
  </si>
  <si>
    <t>Príloha č. 7</t>
  </si>
  <si>
    <t xml:space="preserve">Vyhodnotenie škôd spôsobených povodňami na majetku                                                                                                                                                        v územnej pôsobnosti orgánov verejnej správy </t>
  </si>
  <si>
    <t>MDPT SR</t>
  </si>
  <si>
    <t xml:space="preserve">k) škody u iných zložiek </t>
  </si>
  <si>
    <t xml:space="preserve">Prehľad technických a materiálu prostriedkov použitých na ochranu pred povodňami </t>
  </si>
  <si>
    <t>Zametací voz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</si>
</sst>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</numFmts>
  <fonts count="6">
    <font>
      <sz val="10"/>
      <name val="Arial CE"/>
      <family val="0"/>
    </font>
    <font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textRotation="90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3" fontId="0" fillId="0" borderId="1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2" xfId="0" applyFill="1" applyBorder="1" applyAlignment="1">
      <alignment/>
    </xf>
    <xf numFmtId="3" fontId="0" fillId="0" borderId="3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0" fillId="0" borderId="30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textRotation="9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3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0" fillId="0" borderId="56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workbookViewId="0" topLeftCell="A1">
      <pane xSplit="3" ySplit="5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7" sqref="J27"/>
    </sheetView>
  </sheetViews>
  <sheetFormatPr defaultColWidth="9.00390625" defaultRowHeight="12.75"/>
  <cols>
    <col min="1" max="1" width="0.875" style="0" customWidth="1"/>
    <col min="2" max="2" width="2.75390625" style="0" customWidth="1"/>
    <col min="3" max="3" width="40.875" style="0" customWidth="1"/>
    <col min="4" max="4" width="5.25390625" style="0" customWidth="1"/>
    <col min="5" max="5" width="4.00390625" style="0" customWidth="1"/>
    <col min="6" max="6" width="5.125" style="0" customWidth="1"/>
    <col min="7" max="7" width="6.375" style="0" customWidth="1"/>
    <col min="8" max="9" width="5.75390625" style="0" customWidth="1"/>
    <col min="10" max="10" width="6.25390625" style="0" customWidth="1"/>
    <col min="11" max="11" width="6.00390625" style="0" customWidth="1"/>
    <col min="12" max="12" width="7.875" style="0" customWidth="1"/>
  </cols>
  <sheetData>
    <row r="1" spans="9:12" ht="12.75">
      <c r="I1" s="55" t="s">
        <v>143</v>
      </c>
      <c r="J1" s="55"/>
      <c r="K1" s="55"/>
      <c r="L1" s="55"/>
    </row>
    <row r="2" spans="2:12" ht="45.75" customHeight="1">
      <c r="B2" s="54" t="s">
        <v>117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27" customHeight="1" thickBot="1"/>
    <row r="4" spans="2:12" ht="12.75" customHeight="1">
      <c r="B4" s="59"/>
      <c r="C4" s="61" t="s">
        <v>106</v>
      </c>
      <c r="D4" s="56" t="s">
        <v>116</v>
      </c>
      <c r="E4" s="56"/>
      <c r="F4" s="56"/>
      <c r="G4" s="56"/>
      <c r="H4" s="56"/>
      <c r="I4" s="56"/>
      <c r="J4" s="56"/>
      <c r="K4" s="56"/>
      <c r="L4" s="57" t="s">
        <v>115</v>
      </c>
    </row>
    <row r="5" spans="2:12" ht="80.25" customHeight="1" thickBot="1">
      <c r="B5" s="60"/>
      <c r="C5" s="62"/>
      <c r="D5" s="11" t="s">
        <v>107</v>
      </c>
      <c r="E5" s="11" t="s">
        <v>108</v>
      </c>
      <c r="F5" s="11" t="s">
        <v>109</v>
      </c>
      <c r="G5" s="11" t="s">
        <v>110</v>
      </c>
      <c r="H5" s="11" t="s">
        <v>111</v>
      </c>
      <c r="I5" s="11" t="s">
        <v>112</v>
      </c>
      <c r="J5" s="11" t="s">
        <v>113</v>
      </c>
      <c r="K5" s="11" t="s">
        <v>114</v>
      </c>
      <c r="L5" s="58"/>
    </row>
    <row r="6" spans="2:12" ht="13.5" thickTop="1">
      <c r="B6" s="8">
        <v>1</v>
      </c>
      <c r="C6" s="9" t="s">
        <v>0</v>
      </c>
      <c r="D6" s="9">
        <v>7</v>
      </c>
      <c r="E6" s="9"/>
      <c r="F6" s="9">
        <v>18</v>
      </c>
      <c r="G6" s="9">
        <v>10</v>
      </c>
      <c r="H6" s="9">
        <f>9+3</f>
        <v>12</v>
      </c>
      <c r="I6" s="9">
        <v>11</v>
      </c>
      <c r="J6" s="9">
        <f>71+44</f>
        <v>115</v>
      </c>
      <c r="K6" s="9">
        <v>53</v>
      </c>
      <c r="L6" s="10">
        <f>SUM(D6:K6)</f>
        <v>226</v>
      </c>
    </row>
    <row r="7" spans="2:12" ht="12.75">
      <c r="B7" s="2">
        <v>2</v>
      </c>
      <c r="C7" s="3" t="s">
        <v>1</v>
      </c>
      <c r="D7" s="3">
        <v>127</v>
      </c>
      <c r="E7" s="3"/>
      <c r="F7" s="3">
        <v>61</v>
      </c>
      <c r="G7" s="3">
        <v>117</v>
      </c>
      <c r="H7" s="3">
        <f>79+36</f>
        <v>115</v>
      </c>
      <c r="I7" s="3">
        <v>51</v>
      </c>
      <c r="J7" s="3">
        <f>478+578</f>
        <v>1056</v>
      </c>
      <c r="K7" s="3">
        <v>209</v>
      </c>
      <c r="L7" s="10">
        <f aca="true" t="shared" si="0" ref="L7:L50">SUM(D7:K7)</f>
        <v>1736</v>
      </c>
    </row>
    <row r="8" spans="2:12" ht="12.75">
      <c r="B8" s="2">
        <v>3</v>
      </c>
      <c r="C8" s="3" t="s">
        <v>2</v>
      </c>
      <c r="D8" s="3">
        <v>4</v>
      </c>
      <c r="E8" s="3"/>
      <c r="F8" s="3"/>
      <c r="G8" s="3"/>
      <c r="H8" s="3"/>
      <c r="I8" s="3"/>
      <c r="J8" s="3">
        <f>23+2</f>
        <v>25</v>
      </c>
      <c r="K8" s="3">
        <v>21</v>
      </c>
      <c r="L8" s="10">
        <f t="shared" si="0"/>
        <v>50</v>
      </c>
    </row>
    <row r="9" spans="2:12" ht="12.75">
      <c r="B9" s="2">
        <v>4</v>
      </c>
      <c r="C9" s="3" t="s">
        <v>3</v>
      </c>
      <c r="D9" s="3"/>
      <c r="E9" s="3"/>
      <c r="F9" s="3"/>
      <c r="G9" s="3"/>
      <c r="H9" s="3"/>
      <c r="I9" s="3"/>
      <c r="J9" s="3">
        <v>4</v>
      </c>
      <c r="K9" s="3">
        <v>20</v>
      </c>
      <c r="L9" s="10">
        <f t="shared" si="0"/>
        <v>24</v>
      </c>
    </row>
    <row r="10" spans="2:12" ht="12.75">
      <c r="B10" s="2">
        <v>5</v>
      </c>
      <c r="C10" s="3" t="s">
        <v>4</v>
      </c>
      <c r="D10" s="3"/>
      <c r="E10" s="3"/>
      <c r="F10" s="3">
        <v>85</v>
      </c>
      <c r="G10" s="3">
        <v>200</v>
      </c>
      <c r="H10" s="3">
        <f>247+290</f>
        <v>537</v>
      </c>
      <c r="I10" s="3"/>
      <c r="J10" s="3">
        <f>341+655</f>
        <v>996</v>
      </c>
      <c r="K10" s="3">
        <f>537+56</f>
        <v>593</v>
      </c>
      <c r="L10" s="10">
        <f t="shared" si="0"/>
        <v>2411</v>
      </c>
    </row>
    <row r="11" spans="2:12" ht="12.75">
      <c r="B11" s="2">
        <v>6</v>
      </c>
      <c r="C11" s="3" t="s">
        <v>5</v>
      </c>
      <c r="D11" s="3"/>
      <c r="E11" s="3"/>
      <c r="F11" s="3"/>
      <c r="G11" s="3"/>
      <c r="H11" s="3"/>
      <c r="I11" s="3"/>
      <c r="J11" s="3">
        <v>39</v>
      </c>
      <c r="K11" s="44">
        <v>60</v>
      </c>
      <c r="L11" s="10">
        <f t="shared" si="0"/>
        <v>99</v>
      </c>
    </row>
    <row r="12" spans="2:12" ht="25.5">
      <c r="B12" s="12">
        <v>7</v>
      </c>
      <c r="C12" s="4" t="s">
        <v>6</v>
      </c>
      <c r="D12" s="3"/>
      <c r="E12" s="3"/>
      <c r="F12" s="3">
        <v>4</v>
      </c>
      <c r="G12" s="3"/>
      <c r="H12" s="3">
        <v>1</v>
      </c>
      <c r="I12" s="3">
        <v>1</v>
      </c>
      <c r="J12" s="3">
        <f>17+12</f>
        <v>29</v>
      </c>
      <c r="K12" s="3"/>
      <c r="L12" s="10">
        <f t="shared" si="0"/>
        <v>35</v>
      </c>
    </row>
    <row r="13" spans="2:12" ht="12.75">
      <c r="B13" s="2">
        <v>8</v>
      </c>
      <c r="C13" s="3" t="s">
        <v>7</v>
      </c>
      <c r="D13" s="3"/>
      <c r="E13" s="3"/>
      <c r="F13" s="3">
        <v>1</v>
      </c>
      <c r="G13" s="3"/>
      <c r="H13" s="3"/>
      <c r="I13" s="3"/>
      <c r="J13" s="3">
        <v>2</v>
      </c>
      <c r="K13" s="3"/>
      <c r="L13" s="10">
        <f t="shared" si="0"/>
        <v>3</v>
      </c>
    </row>
    <row r="14" spans="2:12" ht="12.75">
      <c r="B14" s="2">
        <v>9</v>
      </c>
      <c r="C14" s="3" t="s">
        <v>8</v>
      </c>
      <c r="D14" s="3">
        <v>5</v>
      </c>
      <c r="E14" s="3"/>
      <c r="F14" s="3">
        <v>12</v>
      </c>
      <c r="G14" s="3">
        <v>3</v>
      </c>
      <c r="H14" s="3">
        <v>1</v>
      </c>
      <c r="I14" s="3">
        <v>1</v>
      </c>
      <c r="J14" s="3">
        <f>4+8</f>
        <v>12</v>
      </c>
      <c r="K14" s="3">
        <v>1</v>
      </c>
      <c r="L14" s="10">
        <f t="shared" si="0"/>
        <v>35</v>
      </c>
    </row>
    <row r="15" spans="2:12" ht="12.75">
      <c r="B15" s="2">
        <v>10</v>
      </c>
      <c r="C15" s="3" t="s">
        <v>9</v>
      </c>
      <c r="D15" s="3">
        <v>19</v>
      </c>
      <c r="E15" s="3"/>
      <c r="F15" s="3"/>
      <c r="G15" s="3"/>
      <c r="H15" s="3">
        <v>7</v>
      </c>
      <c r="I15" s="3">
        <v>2</v>
      </c>
      <c r="J15" s="3">
        <f>31+42</f>
        <v>73</v>
      </c>
      <c r="K15" s="3">
        <v>69</v>
      </c>
      <c r="L15" s="10">
        <f t="shared" si="0"/>
        <v>170</v>
      </c>
    </row>
    <row r="16" spans="2:12" ht="12.75">
      <c r="B16" s="2">
        <v>11</v>
      </c>
      <c r="C16" s="3" t="s">
        <v>10</v>
      </c>
      <c r="D16" s="3"/>
      <c r="E16" s="3"/>
      <c r="F16" s="3"/>
      <c r="G16" s="3"/>
      <c r="H16" s="3">
        <v>200</v>
      </c>
      <c r="I16" s="3"/>
      <c r="J16" s="3">
        <v>50</v>
      </c>
      <c r="K16" s="3"/>
      <c r="L16" s="10">
        <f t="shared" si="0"/>
        <v>250</v>
      </c>
    </row>
    <row r="17" spans="2:12" ht="12.75">
      <c r="B17" s="2">
        <v>12</v>
      </c>
      <c r="C17" s="3" t="s">
        <v>11</v>
      </c>
      <c r="D17" s="3"/>
      <c r="E17" s="3"/>
      <c r="F17" s="3"/>
      <c r="G17" s="3"/>
      <c r="H17" s="3">
        <v>1</v>
      </c>
      <c r="I17" s="3"/>
      <c r="J17" s="3"/>
      <c r="K17" s="3"/>
      <c r="L17" s="10">
        <f t="shared" si="0"/>
        <v>1</v>
      </c>
    </row>
    <row r="18" spans="2:12" ht="12.75">
      <c r="B18" s="2">
        <v>13</v>
      </c>
      <c r="C18" s="3" t="s">
        <v>12</v>
      </c>
      <c r="D18" s="3"/>
      <c r="E18" s="3"/>
      <c r="F18" s="3"/>
      <c r="G18" s="3"/>
      <c r="H18" s="3"/>
      <c r="I18" s="3"/>
      <c r="J18" s="3">
        <v>0.8</v>
      </c>
      <c r="K18" s="3"/>
      <c r="L18" s="10">
        <f t="shared" si="0"/>
        <v>0.8</v>
      </c>
    </row>
    <row r="19" spans="2:12" ht="12.75">
      <c r="B19" s="2">
        <v>14</v>
      </c>
      <c r="C19" s="3" t="s">
        <v>148</v>
      </c>
      <c r="D19" s="3"/>
      <c r="E19" s="3"/>
      <c r="F19" s="3"/>
      <c r="G19" s="3"/>
      <c r="H19" s="3"/>
      <c r="I19" s="3"/>
      <c r="J19" s="3">
        <f>6.05+0.2</f>
        <v>6.25</v>
      </c>
      <c r="K19" s="3">
        <v>1.5</v>
      </c>
      <c r="L19" s="10">
        <f t="shared" si="0"/>
        <v>7.75</v>
      </c>
    </row>
    <row r="20" spans="2:12" ht="12.75">
      <c r="B20" s="2">
        <v>15</v>
      </c>
      <c r="C20" s="3" t="s">
        <v>149</v>
      </c>
      <c r="D20" s="30">
        <v>12.75</v>
      </c>
      <c r="E20" s="3"/>
      <c r="F20" s="3"/>
      <c r="G20" s="3">
        <v>12.4</v>
      </c>
      <c r="H20" s="3"/>
      <c r="I20" s="3"/>
      <c r="J20" s="3">
        <f>4.62+46.5</f>
        <v>51.12</v>
      </c>
      <c r="K20" s="3">
        <v>0.02</v>
      </c>
      <c r="L20" s="10">
        <f t="shared" si="0"/>
        <v>76.28999999999999</v>
      </c>
    </row>
    <row r="21" spans="2:12" ht="12.75">
      <c r="B21" s="2">
        <f>B20+1</f>
        <v>16</v>
      </c>
      <c r="C21" s="3" t="s">
        <v>13</v>
      </c>
      <c r="D21" s="3"/>
      <c r="E21" s="3"/>
      <c r="F21" s="3">
        <v>5.7</v>
      </c>
      <c r="G21" s="3">
        <v>12.3</v>
      </c>
      <c r="H21" s="3">
        <f>1.1+24.3</f>
        <v>25.400000000000002</v>
      </c>
      <c r="I21" s="3"/>
      <c r="J21" s="3">
        <f>12.03+1880</f>
        <v>1892.03</v>
      </c>
      <c r="K21" s="3">
        <v>3.03</v>
      </c>
      <c r="L21" s="10">
        <f t="shared" si="0"/>
        <v>1938.46</v>
      </c>
    </row>
    <row r="22" spans="2:12" ht="12.75">
      <c r="B22" s="2">
        <f aca="true" t="shared" si="1" ref="B22:B50">B21+1</f>
        <v>17</v>
      </c>
      <c r="C22" s="3" t="s">
        <v>150</v>
      </c>
      <c r="D22" s="3"/>
      <c r="E22" s="3"/>
      <c r="F22" s="3"/>
      <c r="G22" s="3"/>
      <c r="H22" s="3">
        <v>10200</v>
      </c>
      <c r="I22" s="3"/>
      <c r="J22" s="3">
        <f>300+80</f>
        <v>380</v>
      </c>
      <c r="K22" s="3">
        <v>495</v>
      </c>
      <c r="L22" s="10">
        <f t="shared" si="0"/>
        <v>11075</v>
      </c>
    </row>
    <row r="23" spans="2:12" ht="12.75">
      <c r="B23" s="2">
        <f t="shared" si="1"/>
        <v>18</v>
      </c>
      <c r="C23" s="3" t="s">
        <v>14</v>
      </c>
      <c r="D23" s="3">
        <v>6</v>
      </c>
      <c r="E23" s="3"/>
      <c r="F23" s="3">
        <v>2</v>
      </c>
      <c r="G23" s="3">
        <v>7</v>
      </c>
      <c r="H23" s="3">
        <f>2+2</f>
        <v>4</v>
      </c>
      <c r="I23" s="3"/>
      <c r="J23" s="3">
        <f>28+17</f>
        <v>45</v>
      </c>
      <c r="K23" s="3">
        <v>4</v>
      </c>
      <c r="L23" s="10">
        <f t="shared" si="0"/>
        <v>68</v>
      </c>
    </row>
    <row r="24" spans="2:12" ht="12.75">
      <c r="B24" s="2">
        <f t="shared" si="1"/>
        <v>19</v>
      </c>
      <c r="C24" s="3" t="s">
        <v>15</v>
      </c>
      <c r="D24" s="3"/>
      <c r="E24" s="3"/>
      <c r="F24" s="3">
        <v>3</v>
      </c>
      <c r="G24" s="3">
        <v>3</v>
      </c>
      <c r="H24" s="3">
        <v>13</v>
      </c>
      <c r="I24" s="3"/>
      <c r="J24" s="3">
        <f>15+13</f>
        <v>28</v>
      </c>
      <c r="K24" s="3">
        <v>22</v>
      </c>
      <c r="L24" s="10">
        <f t="shared" si="0"/>
        <v>69</v>
      </c>
    </row>
    <row r="25" spans="2:12" ht="12.75">
      <c r="B25" s="2">
        <f t="shared" si="1"/>
        <v>20</v>
      </c>
      <c r="C25" s="3" t="s">
        <v>16</v>
      </c>
      <c r="D25" s="3">
        <v>864</v>
      </c>
      <c r="E25" s="3"/>
      <c r="F25" s="3">
        <v>5568</v>
      </c>
      <c r="G25" s="3">
        <v>53.2</v>
      </c>
      <c r="H25" s="3">
        <f>5.9+2.8</f>
        <v>8.7</v>
      </c>
      <c r="I25" s="3">
        <v>616.5</v>
      </c>
      <c r="J25" s="3">
        <f>645.2+558</f>
        <v>1203.2</v>
      </c>
      <c r="K25" s="3">
        <v>909.2</v>
      </c>
      <c r="L25" s="10">
        <f t="shared" si="0"/>
        <v>9222.800000000001</v>
      </c>
    </row>
    <row r="26" spans="2:12" ht="12.75">
      <c r="B26" s="2">
        <f t="shared" si="1"/>
        <v>21</v>
      </c>
      <c r="C26" s="3" t="s">
        <v>17</v>
      </c>
      <c r="D26" s="3">
        <v>103</v>
      </c>
      <c r="E26" s="3"/>
      <c r="F26" s="3">
        <v>88</v>
      </c>
      <c r="G26" s="3">
        <v>9.9</v>
      </c>
      <c r="H26" s="3">
        <f>1.9+2.8</f>
        <v>4.699999999999999</v>
      </c>
      <c r="I26" s="3">
        <v>0.5</v>
      </c>
      <c r="J26" s="3">
        <f>106.8+46</f>
        <v>152.8</v>
      </c>
      <c r="K26" s="3">
        <v>82.8</v>
      </c>
      <c r="L26" s="10">
        <f t="shared" si="0"/>
        <v>441.7</v>
      </c>
    </row>
    <row r="27" spans="2:14" ht="12.75">
      <c r="B27" s="2">
        <f t="shared" si="1"/>
        <v>22</v>
      </c>
      <c r="C27" s="3" t="s">
        <v>18</v>
      </c>
      <c r="D27" s="3">
        <v>761</v>
      </c>
      <c r="E27" s="3"/>
      <c r="F27" s="3">
        <v>5480</v>
      </c>
      <c r="G27" s="3">
        <v>43.3</v>
      </c>
      <c r="H27" s="3">
        <v>4</v>
      </c>
      <c r="I27" s="3">
        <v>615</v>
      </c>
      <c r="J27" s="44">
        <f>538.4+492</f>
        <v>1030.4</v>
      </c>
      <c r="K27" s="44">
        <v>826.4</v>
      </c>
      <c r="L27" s="52">
        <f t="shared" si="0"/>
        <v>8760.1</v>
      </c>
      <c r="M27" s="53"/>
      <c r="N27" s="53"/>
    </row>
    <row r="28" spans="2:12" ht="12.75">
      <c r="B28" s="2">
        <f t="shared" si="1"/>
        <v>23</v>
      </c>
      <c r="C28" s="3" t="s">
        <v>19</v>
      </c>
      <c r="D28" s="3"/>
      <c r="E28" s="3"/>
      <c r="F28" s="3"/>
      <c r="G28" s="3"/>
      <c r="H28" s="3"/>
      <c r="I28" s="3">
        <v>1</v>
      </c>
      <c r="J28" s="3">
        <v>21</v>
      </c>
      <c r="K28" s="3"/>
      <c r="L28" s="10">
        <f t="shared" si="0"/>
        <v>22</v>
      </c>
    </row>
    <row r="29" spans="2:12" ht="12.75">
      <c r="B29" s="2">
        <f t="shared" si="1"/>
        <v>24</v>
      </c>
      <c r="C29" s="3" t="s">
        <v>20</v>
      </c>
      <c r="D29" s="3">
        <v>38</v>
      </c>
      <c r="E29" s="3"/>
      <c r="F29" s="3">
        <v>42</v>
      </c>
      <c r="G29" s="3">
        <v>17</v>
      </c>
      <c r="H29" s="3">
        <v>17</v>
      </c>
      <c r="I29" s="3"/>
      <c r="J29" s="3">
        <f>293+184</f>
        <v>477</v>
      </c>
      <c r="K29" s="3">
        <v>124</v>
      </c>
      <c r="L29" s="10">
        <f t="shared" si="0"/>
        <v>715</v>
      </c>
    </row>
    <row r="30" spans="2:12" ht="12.75">
      <c r="B30" s="2">
        <f t="shared" si="1"/>
        <v>25</v>
      </c>
      <c r="C30" s="3" t="s">
        <v>21</v>
      </c>
      <c r="D30" s="3"/>
      <c r="E30" s="3"/>
      <c r="F30" s="3"/>
      <c r="G30" s="3"/>
      <c r="H30" s="3"/>
      <c r="I30" s="3"/>
      <c r="J30" s="3">
        <f>200+670</f>
        <v>870</v>
      </c>
      <c r="K30" s="3">
        <v>1</v>
      </c>
      <c r="L30" s="10">
        <f t="shared" si="0"/>
        <v>871</v>
      </c>
    </row>
    <row r="31" spans="2:12" ht="12.75">
      <c r="B31" s="2">
        <f t="shared" si="1"/>
        <v>26</v>
      </c>
      <c r="C31" s="3" t="s">
        <v>22</v>
      </c>
      <c r="D31" s="3"/>
      <c r="E31" s="3"/>
      <c r="F31" s="3"/>
      <c r="G31" s="3"/>
      <c r="H31" s="3">
        <v>400</v>
      </c>
      <c r="I31" s="3">
        <v>2</v>
      </c>
      <c r="J31" s="3">
        <f>1310+458</f>
        <v>1768</v>
      </c>
      <c r="K31" s="3">
        <v>5030</v>
      </c>
      <c r="L31" s="10">
        <f t="shared" si="0"/>
        <v>7200</v>
      </c>
    </row>
    <row r="32" spans="2:12" ht="12.75">
      <c r="B32" s="2">
        <f t="shared" si="1"/>
        <v>27</v>
      </c>
      <c r="C32" s="3" t="s">
        <v>23</v>
      </c>
      <c r="D32" s="3">
        <v>1</v>
      </c>
      <c r="E32" s="3"/>
      <c r="F32" s="3"/>
      <c r="G32" s="3"/>
      <c r="H32" s="3">
        <v>1</v>
      </c>
      <c r="I32" s="3"/>
      <c r="J32" s="3">
        <f>4+2</f>
        <v>6</v>
      </c>
      <c r="K32" s="3">
        <v>1</v>
      </c>
      <c r="L32" s="10">
        <f t="shared" si="0"/>
        <v>9</v>
      </c>
    </row>
    <row r="33" spans="2:12" ht="12.75">
      <c r="B33" s="2">
        <f t="shared" si="1"/>
        <v>28</v>
      </c>
      <c r="C33" s="3" t="s">
        <v>24</v>
      </c>
      <c r="D33" s="3">
        <v>3.5</v>
      </c>
      <c r="E33" s="3"/>
      <c r="F33" s="3">
        <v>1</v>
      </c>
      <c r="G33" s="3">
        <v>9.24</v>
      </c>
      <c r="H33" s="3">
        <f>0.09+0.8</f>
        <v>0.89</v>
      </c>
      <c r="I33" s="3">
        <v>7.674</v>
      </c>
      <c r="J33" s="3">
        <f>12.24+39.9</f>
        <v>52.14</v>
      </c>
      <c r="K33" s="3">
        <v>21.15</v>
      </c>
      <c r="L33" s="10">
        <f t="shared" si="0"/>
        <v>95.594</v>
      </c>
    </row>
    <row r="34" spans="2:12" ht="12.75">
      <c r="B34" s="2">
        <f t="shared" si="1"/>
        <v>29</v>
      </c>
      <c r="C34" s="3" t="s">
        <v>25</v>
      </c>
      <c r="D34" s="3"/>
      <c r="E34" s="3"/>
      <c r="F34" s="3"/>
      <c r="G34" s="3"/>
      <c r="H34" s="3">
        <v>2</v>
      </c>
      <c r="I34" s="3"/>
      <c r="J34" s="3">
        <f>50+52</f>
        <v>102</v>
      </c>
      <c r="K34" s="3">
        <v>10</v>
      </c>
      <c r="L34" s="10">
        <f t="shared" si="0"/>
        <v>114</v>
      </c>
    </row>
    <row r="35" spans="2:12" ht="12.75">
      <c r="B35" s="2">
        <f t="shared" si="1"/>
        <v>30</v>
      </c>
      <c r="C35" s="3" t="s">
        <v>26</v>
      </c>
      <c r="D35" s="3"/>
      <c r="E35" s="3"/>
      <c r="F35" s="3"/>
      <c r="G35" s="3"/>
      <c r="H35" s="3"/>
      <c r="I35" s="3"/>
      <c r="J35" s="3">
        <f>8+8</f>
        <v>16</v>
      </c>
      <c r="K35" s="3">
        <v>4</v>
      </c>
      <c r="L35" s="10">
        <f t="shared" si="0"/>
        <v>20</v>
      </c>
    </row>
    <row r="36" spans="2:12" ht="12.75">
      <c r="B36" s="2">
        <f t="shared" si="1"/>
        <v>31</v>
      </c>
      <c r="C36" s="3" t="s">
        <v>27</v>
      </c>
      <c r="D36" s="3"/>
      <c r="E36" s="3"/>
      <c r="F36" s="3"/>
      <c r="G36" s="3"/>
      <c r="H36" s="3"/>
      <c r="I36" s="3"/>
      <c r="J36" s="3">
        <f>800+1031</f>
        <v>1831</v>
      </c>
      <c r="K36" s="3"/>
      <c r="L36" s="10">
        <f t="shared" si="0"/>
        <v>1831</v>
      </c>
    </row>
    <row r="37" spans="2:12" ht="12.75">
      <c r="B37" s="2">
        <f t="shared" si="1"/>
        <v>32</v>
      </c>
      <c r="C37" s="3" t="s">
        <v>28</v>
      </c>
      <c r="D37" s="3"/>
      <c r="E37" s="3"/>
      <c r="F37" s="3"/>
      <c r="G37" s="3"/>
      <c r="H37" s="3"/>
      <c r="I37" s="3"/>
      <c r="J37" s="3">
        <v>75</v>
      </c>
      <c r="K37" s="3"/>
      <c r="L37" s="10">
        <f t="shared" si="0"/>
        <v>75</v>
      </c>
    </row>
    <row r="38" spans="2:12" ht="12.75">
      <c r="B38" s="2">
        <f t="shared" si="1"/>
        <v>33</v>
      </c>
      <c r="C38" s="3" t="s">
        <v>29</v>
      </c>
      <c r="D38" s="3">
        <v>20</v>
      </c>
      <c r="E38" s="3"/>
      <c r="F38" s="3">
        <v>9</v>
      </c>
      <c r="G38" s="3"/>
      <c r="H38" s="3"/>
      <c r="I38" s="3"/>
      <c r="J38" s="3">
        <f>8+10</f>
        <v>18</v>
      </c>
      <c r="K38" s="3">
        <v>78</v>
      </c>
      <c r="L38" s="10">
        <f t="shared" si="0"/>
        <v>125</v>
      </c>
    </row>
    <row r="39" spans="2:12" ht="12.75">
      <c r="B39" s="2">
        <f t="shared" si="1"/>
        <v>34</v>
      </c>
      <c r="C39" s="3" t="s">
        <v>30</v>
      </c>
      <c r="D39" s="3"/>
      <c r="E39" s="3"/>
      <c r="F39" s="3"/>
      <c r="G39" s="3"/>
      <c r="H39" s="3"/>
      <c r="I39" s="3"/>
      <c r="J39" s="3">
        <v>2</v>
      </c>
      <c r="K39" s="3">
        <v>60</v>
      </c>
      <c r="L39" s="10">
        <f t="shared" si="0"/>
        <v>62</v>
      </c>
    </row>
    <row r="40" spans="2:12" ht="12.75">
      <c r="B40" s="2">
        <f t="shared" si="1"/>
        <v>35</v>
      </c>
      <c r="C40" s="3" t="s">
        <v>31</v>
      </c>
      <c r="D40" s="3"/>
      <c r="E40" s="3"/>
      <c r="F40" s="3"/>
      <c r="G40" s="3"/>
      <c r="H40" s="3"/>
      <c r="I40" s="3"/>
      <c r="J40" s="3"/>
      <c r="K40" s="3"/>
      <c r="L40" s="10">
        <f t="shared" si="0"/>
        <v>0</v>
      </c>
    </row>
    <row r="41" spans="2:12" ht="12.75">
      <c r="B41" s="2">
        <f t="shared" si="1"/>
        <v>36</v>
      </c>
      <c r="C41" s="3" t="s">
        <v>32</v>
      </c>
      <c r="D41" s="3"/>
      <c r="E41" s="3"/>
      <c r="F41" s="3"/>
      <c r="G41" s="3"/>
      <c r="H41" s="3"/>
      <c r="I41" s="3"/>
      <c r="J41" s="3"/>
      <c r="K41" s="3"/>
      <c r="L41" s="10">
        <f t="shared" si="0"/>
        <v>0</v>
      </c>
    </row>
    <row r="42" spans="2:12" ht="12.75">
      <c r="B42" s="2">
        <f t="shared" si="1"/>
        <v>37</v>
      </c>
      <c r="C42" s="3" t="s">
        <v>33</v>
      </c>
      <c r="D42" s="3"/>
      <c r="E42" s="3"/>
      <c r="F42" s="3"/>
      <c r="G42" s="3"/>
      <c r="H42" s="3"/>
      <c r="I42" s="3"/>
      <c r="J42" s="3"/>
      <c r="K42" s="3"/>
      <c r="L42" s="10">
        <f t="shared" si="0"/>
        <v>0</v>
      </c>
    </row>
    <row r="43" spans="2:12" ht="12.75">
      <c r="B43" s="2">
        <f t="shared" si="1"/>
        <v>38</v>
      </c>
      <c r="C43" s="3" t="s">
        <v>34</v>
      </c>
      <c r="D43" s="3">
        <v>40</v>
      </c>
      <c r="E43" s="3"/>
      <c r="F43" s="3">
        <v>1</v>
      </c>
      <c r="G43" s="3">
        <v>5</v>
      </c>
      <c r="H43" s="3"/>
      <c r="I43" s="3">
        <v>10</v>
      </c>
      <c r="J43" s="3">
        <v>5</v>
      </c>
      <c r="K43" s="3">
        <v>8</v>
      </c>
      <c r="L43" s="10">
        <f t="shared" si="0"/>
        <v>69</v>
      </c>
    </row>
    <row r="44" spans="2:12" ht="12.75">
      <c r="B44" s="2">
        <f t="shared" si="1"/>
        <v>39</v>
      </c>
      <c r="C44" s="3" t="s">
        <v>35</v>
      </c>
      <c r="D44" s="3"/>
      <c r="E44" s="3"/>
      <c r="F44" s="3">
        <v>8</v>
      </c>
      <c r="G44" s="3">
        <v>123</v>
      </c>
      <c r="H44" s="3"/>
      <c r="I44" s="3">
        <v>100</v>
      </c>
      <c r="J44" s="3"/>
      <c r="K44" s="3">
        <v>37</v>
      </c>
      <c r="L44" s="10">
        <f t="shared" si="0"/>
        <v>268</v>
      </c>
    </row>
    <row r="45" spans="2:12" ht="12.75">
      <c r="B45" s="2">
        <f t="shared" si="1"/>
        <v>40</v>
      </c>
      <c r="C45" s="3" t="s">
        <v>36</v>
      </c>
      <c r="D45" s="3"/>
      <c r="E45" s="3"/>
      <c r="F45" s="3"/>
      <c r="G45" s="3"/>
      <c r="H45" s="3"/>
      <c r="I45" s="3"/>
      <c r="J45" s="3"/>
      <c r="K45" s="3"/>
      <c r="L45" s="10">
        <f t="shared" si="0"/>
        <v>0</v>
      </c>
    </row>
    <row r="46" spans="2:12" ht="12.75">
      <c r="B46" s="2">
        <f t="shared" si="1"/>
        <v>41</v>
      </c>
      <c r="C46" s="3" t="s">
        <v>37</v>
      </c>
      <c r="D46" s="3"/>
      <c r="E46" s="3"/>
      <c r="F46" s="3"/>
      <c r="G46" s="3"/>
      <c r="H46" s="3"/>
      <c r="I46" s="3"/>
      <c r="J46" s="3">
        <v>25</v>
      </c>
      <c r="K46" s="3"/>
      <c r="L46" s="10">
        <f t="shared" si="0"/>
        <v>25</v>
      </c>
    </row>
    <row r="47" spans="2:12" ht="12.75">
      <c r="B47" s="2">
        <f t="shared" si="1"/>
        <v>42</v>
      </c>
      <c r="C47" s="3" t="s">
        <v>38</v>
      </c>
      <c r="D47" s="3"/>
      <c r="E47" s="3"/>
      <c r="F47" s="3"/>
      <c r="G47" s="3">
        <v>5</v>
      </c>
      <c r="H47" s="3"/>
      <c r="I47" s="3"/>
      <c r="J47" s="3">
        <v>2</v>
      </c>
      <c r="K47" s="3">
        <v>4</v>
      </c>
      <c r="L47" s="10">
        <f t="shared" si="0"/>
        <v>11</v>
      </c>
    </row>
    <row r="48" spans="2:12" ht="12.75">
      <c r="B48" s="2">
        <f t="shared" si="1"/>
        <v>43</v>
      </c>
      <c r="C48" s="3" t="s">
        <v>39</v>
      </c>
      <c r="D48" s="3"/>
      <c r="E48" s="3"/>
      <c r="F48" s="3"/>
      <c r="G48" s="3">
        <v>1</v>
      </c>
      <c r="H48" s="3">
        <v>1</v>
      </c>
      <c r="I48" s="3">
        <v>57</v>
      </c>
      <c r="J48" s="3">
        <v>13</v>
      </c>
      <c r="K48" s="3">
        <v>31</v>
      </c>
      <c r="L48" s="10">
        <f t="shared" si="0"/>
        <v>103</v>
      </c>
    </row>
    <row r="49" spans="2:12" ht="12.75">
      <c r="B49" s="2">
        <f t="shared" si="1"/>
        <v>44</v>
      </c>
      <c r="C49" s="3" t="s">
        <v>40</v>
      </c>
      <c r="D49" s="3"/>
      <c r="E49" s="3"/>
      <c r="F49" s="3"/>
      <c r="G49" s="3"/>
      <c r="H49" s="3"/>
      <c r="I49" s="3"/>
      <c r="J49" s="3">
        <v>1</v>
      </c>
      <c r="K49" s="3">
        <v>1</v>
      </c>
      <c r="L49" s="10">
        <f t="shared" si="0"/>
        <v>2</v>
      </c>
    </row>
    <row r="50" spans="2:12" ht="13.5" thickBot="1">
      <c r="B50" s="13">
        <f t="shared" si="1"/>
        <v>45</v>
      </c>
      <c r="C50" s="5" t="s">
        <v>141</v>
      </c>
      <c r="D50" s="6"/>
      <c r="E50" s="6"/>
      <c r="F50" s="6"/>
      <c r="G50" s="6">
        <v>51</v>
      </c>
      <c r="H50" s="6"/>
      <c r="I50" s="6"/>
      <c r="J50" s="6">
        <v>199</v>
      </c>
      <c r="K50" s="6"/>
      <c r="L50" s="7">
        <f t="shared" si="0"/>
        <v>250</v>
      </c>
    </row>
  </sheetData>
  <mergeCells count="6">
    <mergeCell ref="B2:L2"/>
    <mergeCell ref="I1:L1"/>
    <mergeCell ref="D4:K4"/>
    <mergeCell ref="L4:L5"/>
    <mergeCell ref="B4:B5"/>
    <mergeCell ref="C4:C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workbookViewId="0" topLeftCell="A3">
      <selection activeCell="K28" sqref="K28"/>
    </sheetView>
  </sheetViews>
  <sheetFormatPr defaultColWidth="9.00390625" defaultRowHeight="12.75"/>
  <cols>
    <col min="1" max="1" width="1.625" style="0" customWidth="1"/>
    <col min="2" max="2" width="3.00390625" style="0" customWidth="1"/>
    <col min="3" max="3" width="27.75390625" style="0" customWidth="1"/>
    <col min="4" max="4" width="12.125" style="0" customWidth="1"/>
  </cols>
  <sheetData>
    <row r="1" spans="12:13" ht="12.75">
      <c r="L1" s="55" t="s">
        <v>144</v>
      </c>
      <c r="M1" s="55"/>
    </row>
    <row r="2" spans="2:13" ht="12.75">
      <c r="B2" s="54" t="s">
        <v>142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3.5" customHeight="1" thickBot="1"/>
    <row r="4" spans="2:13" ht="18.75" customHeight="1">
      <c r="B4" s="59"/>
      <c r="C4" s="65" t="s">
        <v>118</v>
      </c>
      <c r="D4" s="65" t="s">
        <v>56</v>
      </c>
      <c r="E4" s="73" t="s">
        <v>116</v>
      </c>
      <c r="F4" s="74"/>
      <c r="G4" s="74"/>
      <c r="H4" s="74"/>
      <c r="I4" s="74"/>
      <c r="J4" s="74"/>
      <c r="K4" s="74"/>
      <c r="L4" s="75"/>
      <c r="M4" s="71" t="s">
        <v>115</v>
      </c>
    </row>
    <row r="5" spans="2:13" ht="79.5" thickBot="1">
      <c r="B5" s="60"/>
      <c r="C5" s="66"/>
      <c r="D5" s="66"/>
      <c r="E5" s="11" t="s">
        <v>107</v>
      </c>
      <c r="F5" s="11" t="s">
        <v>108</v>
      </c>
      <c r="G5" s="11" t="s">
        <v>109</v>
      </c>
      <c r="H5" s="11" t="s">
        <v>110</v>
      </c>
      <c r="I5" s="11" t="s">
        <v>111</v>
      </c>
      <c r="J5" s="11" t="s">
        <v>112</v>
      </c>
      <c r="K5" s="11" t="s">
        <v>113</v>
      </c>
      <c r="L5" s="11" t="s">
        <v>114</v>
      </c>
      <c r="M5" s="72"/>
    </row>
    <row r="6" spans="2:13" ht="13.5" thickTop="1">
      <c r="B6" s="67">
        <v>1</v>
      </c>
      <c r="C6" s="77" t="s">
        <v>119</v>
      </c>
      <c r="D6" s="9" t="s">
        <v>45</v>
      </c>
      <c r="E6" s="26">
        <v>222</v>
      </c>
      <c r="F6" s="26"/>
      <c r="G6" s="26">
        <v>316</v>
      </c>
      <c r="H6" s="26">
        <v>318</v>
      </c>
      <c r="I6" s="26">
        <v>417</v>
      </c>
      <c r="J6" s="26">
        <v>50</v>
      </c>
      <c r="K6" s="26">
        <f>1839+1879</f>
        <v>3718</v>
      </c>
      <c r="L6" s="26">
        <v>466</v>
      </c>
      <c r="M6" s="27">
        <f>SUM(E6:L6)</f>
        <v>5507</v>
      </c>
    </row>
    <row r="7" spans="2:13" ht="12.75">
      <c r="B7" s="68"/>
      <c r="C7" s="78"/>
      <c r="D7" s="3" t="s">
        <v>46</v>
      </c>
      <c r="E7" s="28">
        <v>340</v>
      </c>
      <c r="F7" s="28"/>
      <c r="G7" s="28">
        <v>2692</v>
      </c>
      <c r="H7" s="28">
        <v>3510</v>
      </c>
      <c r="I7" s="28">
        <v>3551</v>
      </c>
      <c r="J7" s="28">
        <v>440</v>
      </c>
      <c r="K7" s="28">
        <f>18359+16532</f>
        <v>34891</v>
      </c>
      <c r="L7" s="28">
        <v>11670</v>
      </c>
      <c r="M7" s="27">
        <f aca="true" t="shared" si="0" ref="M7:M27">SUM(E7:L7)</f>
        <v>57094</v>
      </c>
    </row>
    <row r="8" spans="2:13" ht="13.5" customHeight="1">
      <c r="B8" s="69">
        <v>2</v>
      </c>
      <c r="C8" s="63" t="s">
        <v>44</v>
      </c>
      <c r="D8" s="3" t="s">
        <v>45</v>
      </c>
      <c r="E8" s="28">
        <v>4</v>
      </c>
      <c r="F8" s="28"/>
      <c r="G8" s="28">
        <v>37</v>
      </c>
      <c r="H8" s="28">
        <v>100</v>
      </c>
      <c r="I8" s="28">
        <f>60+34</f>
        <v>94</v>
      </c>
      <c r="J8" s="28">
        <v>38</v>
      </c>
      <c r="K8" s="28">
        <f>51+49</f>
        <v>100</v>
      </c>
      <c r="L8" s="28">
        <v>82</v>
      </c>
      <c r="M8" s="27">
        <f t="shared" si="0"/>
        <v>455</v>
      </c>
    </row>
    <row r="9" spans="2:13" ht="12.75">
      <c r="B9" s="68"/>
      <c r="C9" s="63"/>
      <c r="D9" s="3" t="s">
        <v>46</v>
      </c>
      <c r="E9" s="28"/>
      <c r="F9" s="28"/>
      <c r="G9" s="28"/>
      <c r="H9" s="28">
        <v>2087.5</v>
      </c>
      <c r="I9" s="28">
        <f>396+22</f>
        <v>418</v>
      </c>
      <c r="J9" s="28">
        <v>386</v>
      </c>
      <c r="K9" s="28">
        <f>614+752</f>
        <v>1366</v>
      </c>
      <c r="L9" s="28">
        <v>488</v>
      </c>
      <c r="M9" s="27">
        <f t="shared" si="0"/>
        <v>4745.5</v>
      </c>
    </row>
    <row r="10" spans="2:13" ht="12.75" customHeight="1">
      <c r="B10" s="69">
        <v>3</v>
      </c>
      <c r="C10" s="63" t="s">
        <v>47</v>
      </c>
      <c r="D10" s="3" t="s">
        <v>45</v>
      </c>
      <c r="E10" s="28">
        <v>54</v>
      </c>
      <c r="F10" s="28"/>
      <c r="G10" s="28"/>
      <c r="H10" s="28"/>
      <c r="I10" s="28">
        <v>78</v>
      </c>
      <c r="J10" s="28"/>
      <c r="K10" s="28">
        <f>86+134</f>
        <v>220</v>
      </c>
      <c r="L10" s="28">
        <v>6</v>
      </c>
      <c r="M10" s="27">
        <f t="shared" si="0"/>
        <v>358</v>
      </c>
    </row>
    <row r="11" spans="2:13" ht="12.75">
      <c r="B11" s="68"/>
      <c r="C11" s="63"/>
      <c r="D11" s="3" t="s">
        <v>46</v>
      </c>
      <c r="E11" s="28">
        <v>846</v>
      </c>
      <c r="F11" s="28"/>
      <c r="G11" s="28"/>
      <c r="H11" s="28"/>
      <c r="I11" s="28">
        <v>51</v>
      </c>
      <c r="J11" s="28"/>
      <c r="K11" s="28">
        <f>695+940</f>
        <v>1635</v>
      </c>
      <c r="L11" s="28">
        <v>36</v>
      </c>
      <c r="M11" s="27">
        <f t="shared" si="0"/>
        <v>2568</v>
      </c>
    </row>
    <row r="12" spans="2:13" ht="12.75">
      <c r="B12" s="69">
        <v>4</v>
      </c>
      <c r="C12" s="79" t="s">
        <v>48</v>
      </c>
      <c r="D12" s="3" t="s">
        <v>41</v>
      </c>
      <c r="E12" s="28"/>
      <c r="F12" s="28"/>
      <c r="G12" s="28">
        <v>8</v>
      </c>
      <c r="H12" s="28"/>
      <c r="I12" s="28">
        <v>4</v>
      </c>
      <c r="J12" s="28"/>
      <c r="K12" s="28">
        <f>5+2</f>
        <v>7</v>
      </c>
      <c r="L12" s="28">
        <v>2</v>
      </c>
      <c r="M12" s="27">
        <f t="shared" si="0"/>
        <v>21</v>
      </c>
    </row>
    <row r="13" spans="2:13" ht="12.75">
      <c r="B13" s="68"/>
      <c r="C13" s="80"/>
      <c r="D13" s="3" t="s">
        <v>43</v>
      </c>
      <c r="E13" s="28"/>
      <c r="F13" s="28"/>
      <c r="G13" s="28">
        <v>32</v>
      </c>
      <c r="H13" s="28"/>
      <c r="I13" s="28">
        <v>16</v>
      </c>
      <c r="J13" s="28"/>
      <c r="K13" s="28">
        <f>82+8</f>
        <v>90</v>
      </c>
      <c r="L13" s="28">
        <v>10.5</v>
      </c>
      <c r="M13" s="27">
        <f t="shared" si="0"/>
        <v>148.5</v>
      </c>
    </row>
    <row r="14" spans="2:13" ht="12.75">
      <c r="B14" s="69">
        <v>5</v>
      </c>
      <c r="C14" s="63" t="s">
        <v>49</v>
      </c>
      <c r="D14" s="3" t="s">
        <v>41</v>
      </c>
      <c r="E14" s="28"/>
      <c r="F14" s="28"/>
      <c r="G14" s="28"/>
      <c r="H14" s="28"/>
      <c r="I14" s="28"/>
      <c r="J14" s="28"/>
      <c r="K14" s="28">
        <f>23</f>
        <v>23</v>
      </c>
      <c r="L14" s="28">
        <v>10</v>
      </c>
      <c r="M14" s="27">
        <f t="shared" si="0"/>
        <v>33</v>
      </c>
    </row>
    <row r="15" spans="2:13" ht="12.75">
      <c r="B15" s="68"/>
      <c r="C15" s="63"/>
      <c r="D15" s="3" t="s">
        <v>43</v>
      </c>
      <c r="E15" s="28"/>
      <c r="F15" s="28"/>
      <c r="G15" s="28"/>
      <c r="H15" s="28"/>
      <c r="I15" s="28"/>
      <c r="J15" s="28"/>
      <c r="K15" s="28">
        <f>108</f>
        <v>108</v>
      </c>
      <c r="L15" s="28">
        <v>85</v>
      </c>
      <c r="M15" s="27">
        <f t="shared" si="0"/>
        <v>193</v>
      </c>
    </row>
    <row r="16" spans="2:13" ht="14.25" customHeight="1">
      <c r="B16" s="69">
        <v>6</v>
      </c>
      <c r="C16" s="63" t="s">
        <v>121</v>
      </c>
      <c r="D16" s="3" t="s">
        <v>41</v>
      </c>
      <c r="E16" s="28"/>
      <c r="F16" s="28"/>
      <c r="G16" s="28">
        <v>75</v>
      </c>
      <c r="H16" s="28">
        <v>6</v>
      </c>
      <c r="I16" s="28">
        <v>18</v>
      </c>
      <c r="J16" s="28">
        <v>14</v>
      </c>
      <c r="K16" s="28">
        <f>5+73</f>
        <v>78</v>
      </c>
      <c r="L16" s="28">
        <v>98</v>
      </c>
      <c r="M16" s="27">
        <f t="shared" si="0"/>
        <v>289</v>
      </c>
    </row>
    <row r="17" spans="2:13" ht="12.75">
      <c r="B17" s="68"/>
      <c r="C17" s="63"/>
      <c r="D17" s="3" t="s">
        <v>43</v>
      </c>
      <c r="E17" s="28" t="s">
        <v>42</v>
      </c>
      <c r="F17" s="28" t="s">
        <v>42</v>
      </c>
      <c r="G17" s="28">
        <v>1797</v>
      </c>
      <c r="H17" s="28">
        <v>300</v>
      </c>
      <c r="I17" s="28">
        <v>82</v>
      </c>
      <c r="J17" s="28">
        <v>754</v>
      </c>
      <c r="K17" s="28">
        <f>50+820</f>
        <v>870</v>
      </c>
      <c r="L17" s="28">
        <v>6011</v>
      </c>
      <c r="M17" s="27">
        <f t="shared" si="0"/>
        <v>9814</v>
      </c>
    </row>
    <row r="18" spans="2:13" ht="16.5" customHeight="1">
      <c r="B18" s="69">
        <v>7</v>
      </c>
      <c r="C18" s="63" t="s">
        <v>120</v>
      </c>
      <c r="D18" s="3" t="s">
        <v>41</v>
      </c>
      <c r="E18" s="28"/>
      <c r="F18" s="28"/>
      <c r="G18" s="28"/>
      <c r="H18" s="28"/>
      <c r="I18" s="28"/>
      <c r="J18" s="28"/>
      <c r="K18" s="28"/>
      <c r="L18" s="28">
        <v>30</v>
      </c>
      <c r="M18" s="27">
        <f t="shared" si="0"/>
        <v>30</v>
      </c>
    </row>
    <row r="19" spans="2:13" ht="12.75">
      <c r="B19" s="68"/>
      <c r="C19" s="63"/>
      <c r="D19" s="3" t="s">
        <v>43</v>
      </c>
      <c r="E19" s="28"/>
      <c r="F19" s="28"/>
      <c r="G19" s="28"/>
      <c r="H19" s="28"/>
      <c r="I19" s="28"/>
      <c r="J19" s="28"/>
      <c r="K19" s="28"/>
      <c r="L19" s="28">
        <v>1719</v>
      </c>
      <c r="M19" s="27">
        <f t="shared" si="0"/>
        <v>1719</v>
      </c>
    </row>
    <row r="20" spans="2:13" ht="18" customHeight="1">
      <c r="B20" s="69">
        <v>8</v>
      </c>
      <c r="C20" s="63" t="s">
        <v>50</v>
      </c>
      <c r="D20" s="3" t="s">
        <v>41</v>
      </c>
      <c r="E20" s="28">
        <v>34</v>
      </c>
      <c r="F20" s="28" t="s">
        <v>42</v>
      </c>
      <c r="G20" s="28">
        <v>30</v>
      </c>
      <c r="H20" s="28">
        <v>32</v>
      </c>
      <c r="I20" s="28">
        <f>38+7</f>
        <v>45</v>
      </c>
      <c r="J20" s="28">
        <v>4</v>
      </c>
      <c r="K20" s="28">
        <f>144+122</f>
        <v>266</v>
      </c>
      <c r="L20" s="28">
        <v>59</v>
      </c>
      <c r="M20" s="27">
        <f t="shared" si="0"/>
        <v>470</v>
      </c>
    </row>
    <row r="21" spans="2:13" ht="21.75" customHeight="1">
      <c r="B21" s="68"/>
      <c r="C21" s="63"/>
      <c r="D21" s="3" t="s">
        <v>43</v>
      </c>
      <c r="E21" s="28">
        <v>352</v>
      </c>
      <c r="F21" s="28" t="s">
        <v>42</v>
      </c>
      <c r="G21" s="28">
        <v>634</v>
      </c>
      <c r="H21" s="28">
        <v>1030</v>
      </c>
      <c r="I21" s="28">
        <f>290+4</f>
        <v>294</v>
      </c>
      <c r="J21" s="28">
        <v>58.5</v>
      </c>
      <c r="K21" s="28">
        <f>2383+566</f>
        <v>2949</v>
      </c>
      <c r="L21" s="28">
        <v>532</v>
      </c>
      <c r="M21" s="27">
        <f t="shared" si="0"/>
        <v>5849.5</v>
      </c>
    </row>
    <row r="22" spans="2:13" ht="13.5" customHeight="1">
      <c r="B22" s="69">
        <v>9</v>
      </c>
      <c r="C22" s="63" t="s">
        <v>51</v>
      </c>
      <c r="D22" s="3" t="s">
        <v>52</v>
      </c>
      <c r="E22" s="28"/>
      <c r="F22" s="28"/>
      <c r="G22" s="28">
        <v>7</v>
      </c>
      <c r="H22" s="28">
        <v>8</v>
      </c>
      <c r="I22" s="28">
        <f>15+5</f>
        <v>20</v>
      </c>
      <c r="J22" s="28"/>
      <c r="K22" s="28">
        <f>9+64</f>
        <v>73</v>
      </c>
      <c r="L22" s="28">
        <v>51</v>
      </c>
      <c r="M22" s="27">
        <f t="shared" si="0"/>
        <v>159</v>
      </c>
    </row>
    <row r="23" spans="2:13" ht="15" customHeight="1">
      <c r="B23" s="68"/>
      <c r="C23" s="63"/>
      <c r="D23" s="3" t="s">
        <v>46</v>
      </c>
      <c r="E23" s="28"/>
      <c r="F23" s="28"/>
      <c r="G23" s="28">
        <v>105</v>
      </c>
      <c r="H23" s="28">
        <v>147.5</v>
      </c>
      <c r="I23" s="28">
        <f>95+5</f>
        <v>100</v>
      </c>
      <c r="J23" s="28"/>
      <c r="K23" s="28">
        <f>200+474</f>
        <v>674</v>
      </c>
      <c r="L23" s="28">
        <v>852.5</v>
      </c>
      <c r="M23" s="27">
        <f t="shared" si="0"/>
        <v>1879</v>
      </c>
    </row>
    <row r="24" spans="2:13" ht="20.25" customHeight="1">
      <c r="B24" s="69">
        <v>10</v>
      </c>
      <c r="C24" s="70" t="s">
        <v>53</v>
      </c>
      <c r="D24" s="3" t="s">
        <v>45</v>
      </c>
      <c r="E24" s="28"/>
      <c r="F24" s="28"/>
      <c r="G24" s="28"/>
      <c r="H24" s="28"/>
      <c r="I24" s="28">
        <v>16</v>
      </c>
      <c r="J24" s="28"/>
      <c r="K24" s="28">
        <f>46+5</f>
        <v>51</v>
      </c>
      <c r="L24" s="28"/>
      <c r="M24" s="27">
        <f t="shared" si="0"/>
        <v>67</v>
      </c>
    </row>
    <row r="25" spans="2:13" ht="16.5" customHeight="1">
      <c r="B25" s="68"/>
      <c r="C25" s="70"/>
      <c r="D25" s="3" t="s">
        <v>46</v>
      </c>
      <c r="E25" s="28"/>
      <c r="F25" s="28"/>
      <c r="G25" s="28"/>
      <c r="H25" s="28"/>
      <c r="I25" s="28">
        <v>31</v>
      </c>
      <c r="J25" s="28"/>
      <c r="K25" s="28">
        <f>807+20</f>
        <v>827</v>
      </c>
      <c r="L25" s="28"/>
      <c r="M25" s="27">
        <f t="shared" si="0"/>
        <v>858</v>
      </c>
    </row>
    <row r="26" spans="2:13" ht="12.75">
      <c r="B26" s="69">
        <v>11</v>
      </c>
      <c r="C26" s="81" t="s">
        <v>54</v>
      </c>
      <c r="D26" s="82"/>
      <c r="E26" s="28">
        <v>312</v>
      </c>
      <c r="F26" s="28" t="s">
        <v>42</v>
      </c>
      <c r="G26" s="28">
        <v>473</v>
      </c>
      <c r="H26" s="28">
        <v>464</v>
      </c>
      <c r="I26" s="28">
        <v>550</v>
      </c>
      <c r="J26" s="28">
        <v>116</v>
      </c>
      <c r="K26" s="28">
        <f>K6+K8+K10+K12+K14+K16+K18+K20+K22+K24</f>
        <v>4536</v>
      </c>
      <c r="L26" s="28">
        <v>884</v>
      </c>
      <c r="M26" s="27">
        <f t="shared" si="0"/>
        <v>7335</v>
      </c>
    </row>
    <row r="27" spans="2:13" ht="12" customHeight="1" thickBot="1">
      <c r="B27" s="76"/>
      <c r="C27" s="64" t="s">
        <v>55</v>
      </c>
      <c r="D27" s="64"/>
      <c r="E27" s="29">
        <v>1478</v>
      </c>
      <c r="F27" s="29" t="s">
        <v>42</v>
      </c>
      <c r="G27" s="29">
        <v>2707</v>
      </c>
      <c r="H27" s="29">
        <v>7075</v>
      </c>
      <c r="I27" s="29">
        <v>4460</v>
      </c>
      <c r="J27" s="29">
        <v>1638.5</v>
      </c>
      <c r="K27" s="29">
        <f>K7+K9+K11+K13+K15+K17+K19+K21+K23+K25</f>
        <v>43410</v>
      </c>
      <c r="L27" s="29">
        <v>22861.5</v>
      </c>
      <c r="M27" s="25">
        <f t="shared" si="0"/>
        <v>83630</v>
      </c>
    </row>
    <row r="28" spans="5:13" ht="12.75">
      <c r="E28" s="24"/>
      <c r="F28" s="24"/>
      <c r="G28" s="24"/>
      <c r="H28" s="24"/>
      <c r="I28" s="24"/>
      <c r="J28" s="24"/>
      <c r="K28" s="24"/>
      <c r="L28" s="24"/>
      <c r="M28" s="24"/>
    </row>
    <row r="29" ht="12.75">
      <c r="B29" t="s">
        <v>42</v>
      </c>
    </row>
  </sheetData>
  <mergeCells count="30">
    <mergeCell ref="B22:B23"/>
    <mergeCell ref="B24:B25"/>
    <mergeCell ref="B26:B27"/>
    <mergeCell ref="C6:C7"/>
    <mergeCell ref="C12:C13"/>
    <mergeCell ref="C26:D26"/>
    <mergeCell ref="B14:B15"/>
    <mergeCell ref="B16:B17"/>
    <mergeCell ref="B18:B19"/>
    <mergeCell ref="B20:B21"/>
    <mergeCell ref="L1:M1"/>
    <mergeCell ref="C24:C25"/>
    <mergeCell ref="C22:C23"/>
    <mergeCell ref="C20:C21"/>
    <mergeCell ref="C18:C19"/>
    <mergeCell ref="C16:C17"/>
    <mergeCell ref="C8:C9"/>
    <mergeCell ref="M4:M5"/>
    <mergeCell ref="E4:L4"/>
    <mergeCell ref="D4:D5"/>
    <mergeCell ref="C10:C11"/>
    <mergeCell ref="C14:C15"/>
    <mergeCell ref="C27:D27"/>
    <mergeCell ref="B2:M2"/>
    <mergeCell ref="C4:C5"/>
    <mergeCell ref="B4:B5"/>
    <mergeCell ref="B6:B7"/>
    <mergeCell ref="B8:B9"/>
    <mergeCell ref="B10:B11"/>
    <mergeCell ref="B12:B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9" sqref="O29"/>
    </sheetView>
  </sheetViews>
  <sheetFormatPr defaultColWidth="9.00390625" defaultRowHeight="12.75"/>
  <cols>
    <col min="1" max="1" width="1.625" style="0" customWidth="1"/>
    <col min="2" max="2" width="3.625" style="0" customWidth="1"/>
    <col min="3" max="3" width="36.375" style="0" customWidth="1"/>
    <col min="4" max="4" width="5.25390625" style="0" customWidth="1"/>
    <col min="5" max="5" width="4.625" style="0" customWidth="1"/>
    <col min="6" max="6" width="5.00390625" style="0" customWidth="1"/>
    <col min="7" max="7" width="5.375" style="0" customWidth="1"/>
    <col min="8" max="8" width="4.75390625" style="0" customWidth="1"/>
    <col min="9" max="9" width="3.25390625" style="0" customWidth="1"/>
    <col min="10" max="10" width="5.125" style="0" customWidth="1"/>
    <col min="11" max="11" width="6.00390625" style="0" customWidth="1"/>
    <col min="12" max="12" width="5.875" style="0" customWidth="1"/>
  </cols>
  <sheetData>
    <row r="2" spans="10:14" ht="12.75">
      <c r="J2" s="55" t="s">
        <v>145</v>
      </c>
      <c r="K2" s="55"/>
      <c r="L2" s="55"/>
      <c r="N2" s="14"/>
    </row>
    <row r="3" spans="2:12" ht="44.25" customHeight="1">
      <c r="B3" s="54" t="s">
        <v>161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ht="27.75" customHeight="1"/>
    <row r="5" ht="13.5" thickBot="1"/>
    <row r="6" spans="2:12" ht="12.75">
      <c r="B6" s="59"/>
      <c r="C6" s="61" t="s">
        <v>85</v>
      </c>
      <c r="D6" s="73" t="s">
        <v>122</v>
      </c>
      <c r="E6" s="74"/>
      <c r="F6" s="74"/>
      <c r="G6" s="74"/>
      <c r="H6" s="74"/>
      <c r="I6" s="74"/>
      <c r="J6" s="74"/>
      <c r="K6" s="75"/>
      <c r="L6" s="57" t="s">
        <v>115</v>
      </c>
    </row>
    <row r="7" spans="2:12" ht="79.5" thickBot="1">
      <c r="B7" s="60"/>
      <c r="C7" s="62"/>
      <c r="D7" s="11" t="s">
        <v>107</v>
      </c>
      <c r="E7" s="11" t="s">
        <v>108</v>
      </c>
      <c r="F7" s="11" t="s">
        <v>109</v>
      </c>
      <c r="G7" s="11" t="s">
        <v>110</v>
      </c>
      <c r="H7" s="11" t="s">
        <v>111</v>
      </c>
      <c r="I7" s="11" t="s">
        <v>112</v>
      </c>
      <c r="J7" s="11" t="s">
        <v>113</v>
      </c>
      <c r="K7" s="11" t="s">
        <v>114</v>
      </c>
      <c r="L7" s="58"/>
    </row>
    <row r="8" spans="2:12" ht="13.5" thickTop="1">
      <c r="B8" s="8">
        <v>1</v>
      </c>
      <c r="C8" s="9" t="s">
        <v>57</v>
      </c>
      <c r="D8" s="21">
        <v>5</v>
      </c>
      <c r="E8" s="21"/>
      <c r="F8" s="21">
        <v>13</v>
      </c>
      <c r="G8" s="21">
        <v>8</v>
      </c>
      <c r="H8" s="21">
        <f>6+4</f>
        <v>10</v>
      </c>
      <c r="I8" s="21">
        <v>1</v>
      </c>
      <c r="J8" s="21">
        <f>98+544</f>
        <v>642</v>
      </c>
      <c r="K8" s="21">
        <v>8</v>
      </c>
      <c r="L8" s="31">
        <f>SUM(D8:K8)</f>
        <v>687</v>
      </c>
    </row>
    <row r="9" spans="2:12" ht="12.75">
      <c r="B9" s="2">
        <v>2</v>
      </c>
      <c r="C9" s="3" t="s">
        <v>58</v>
      </c>
      <c r="D9" s="3">
        <v>7</v>
      </c>
      <c r="E9" s="3"/>
      <c r="F9" s="3">
        <v>11</v>
      </c>
      <c r="G9" s="3">
        <v>7</v>
      </c>
      <c r="H9" s="3">
        <v>5</v>
      </c>
      <c r="I9" s="3"/>
      <c r="J9" s="3">
        <f>37+124</f>
        <v>161</v>
      </c>
      <c r="K9" s="3">
        <v>4</v>
      </c>
      <c r="L9" s="10">
        <f aca="true" t="shared" si="0" ref="L9:L36">SUM(D9:K9)</f>
        <v>195</v>
      </c>
    </row>
    <row r="10" spans="2:12" ht="12.75">
      <c r="B10" s="2">
        <v>3</v>
      </c>
      <c r="C10" s="3" t="s">
        <v>59</v>
      </c>
      <c r="D10" s="3">
        <v>1</v>
      </c>
      <c r="E10" s="3" t="s">
        <v>42</v>
      </c>
      <c r="F10" s="3">
        <v>12</v>
      </c>
      <c r="G10" s="3" t="s">
        <v>42</v>
      </c>
      <c r="H10" s="3" t="s">
        <v>42</v>
      </c>
      <c r="I10" s="3" t="s">
        <v>42</v>
      </c>
      <c r="J10" s="3">
        <f>1+3</f>
        <v>4</v>
      </c>
      <c r="K10" s="3"/>
      <c r="L10" s="10">
        <f t="shared" si="0"/>
        <v>17</v>
      </c>
    </row>
    <row r="11" spans="2:12" ht="12.75">
      <c r="B11" s="2">
        <v>4</v>
      </c>
      <c r="C11" s="3" t="s">
        <v>60</v>
      </c>
      <c r="D11" s="3">
        <v>7</v>
      </c>
      <c r="E11" s="3" t="s">
        <v>42</v>
      </c>
      <c r="F11" s="3" t="s">
        <v>42</v>
      </c>
      <c r="G11" s="3">
        <v>15</v>
      </c>
      <c r="H11" s="3">
        <f>18+5</f>
        <v>23</v>
      </c>
      <c r="I11" s="3">
        <v>1</v>
      </c>
      <c r="J11" s="3">
        <f>99+312</f>
        <v>411</v>
      </c>
      <c r="K11" s="3">
        <v>15</v>
      </c>
      <c r="L11" s="10">
        <f t="shared" si="0"/>
        <v>472</v>
      </c>
    </row>
    <row r="12" spans="2:12" ht="12.75">
      <c r="B12" s="2">
        <v>5</v>
      </c>
      <c r="C12" s="3" t="s">
        <v>61</v>
      </c>
      <c r="D12" s="3" t="s">
        <v>42</v>
      </c>
      <c r="E12" s="3" t="s">
        <v>42</v>
      </c>
      <c r="F12" s="3" t="s">
        <v>42</v>
      </c>
      <c r="G12" s="3">
        <v>2</v>
      </c>
      <c r="H12" s="3" t="s">
        <v>42</v>
      </c>
      <c r="I12" s="3" t="s">
        <v>42</v>
      </c>
      <c r="J12" s="3">
        <f>8+12</f>
        <v>20</v>
      </c>
      <c r="K12" s="3">
        <v>1</v>
      </c>
      <c r="L12" s="10">
        <f t="shared" si="0"/>
        <v>23</v>
      </c>
    </row>
    <row r="13" spans="2:12" ht="12.75">
      <c r="B13" s="2">
        <v>6</v>
      </c>
      <c r="C13" s="3" t="s">
        <v>62</v>
      </c>
      <c r="D13" s="3">
        <v>1</v>
      </c>
      <c r="E13" s="3" t="s">
        <v>42</v>
      </c>
      <c r="F13" s="3">
        <v>3</v>
      </c>
      <c r="G13" s="3" t="s">
        <v>42</v>
      </c>
      <c r="H13" s="3" t="s">
        <v>42</v>
      </c>
      <c r="I13" s="3" t="s">
        <v>42</v>
      </c>
      <c r="J13" s="3">
        <f>1+96</f>
        <v>97</v>
      </c>
      <c r="K13" s="3"/>
      <c r="L13" s="10">
        <f t="shared" si="0"/>
        <v>101</v>
      </c>
    </row>
    <row r="14" spans="2:12" ht="12.75">
      <c r="B14" s="2">
        <v>7</v>
      </c>
      <c r="C14" s="3" t="s">
        <v>63</v>
      </c>
      <c r="D14" s="3" t="s">
        <v>42</v>
      </c>
      <c r="E14" s="3" t="s">
        <v>42</v>
      </c>
      <c r="F14" s="3">
        <v>1</v>
      </c>
      <c r="G14" s="3" t="s">
        <v>42</v>
      </c>
      <c r="H14" s="3" t="s">
        <v>42</v>
      </c>
      <c r="I14" s="3" t="s">
        <v>42</v>
      </c>
      <c r="J14" s="3">
        <v>2</v>
      </c>
      <c r="K14" s="3"/>
      <c r="L14" s="10">
        <f t="shared" si="0"/>
        <v>3</v>
      </c>
    </row>
    <row r="15" spans="2:12" ht="12.75">
      <c r="B15" s="2">
        <v>8</v>
      </c>
      <c r="C15" s="3" t="s">
        <v>64</v>
      </c>
      <c r="D15" s="3" t="s">
        <v>42</v>
      </c>
      <c r="E15" s="3" t="s">
        <v>42</v>
      </c>
      <c r="F15" s="3">
        <v>2</v>
      </c>
      <c r="G15" s="3" t="s">
        <v>42</v>
      </c>
      <c r="H15" s="3" t="s">
        <v>42</v>
      </c>
      <c r="I15" s="3" t="s">
        <v>42</v>
      </c>
      <c r="J15" s="3">
        <f>2+12</f>
        <v>14</v>
      </c>
      <c r="K15" s="3">
        <v>3</v>
      </c>
      <c r="L15" s="10">
        <f t="shared" si="0"/>
        <v>19</v>
      </c>
    </row>
    <row r="16" spans="2:12" ht="12.75">
      <c r="B16" s="2">
        <v>9</v>
      </c>
      <c r="C16" s="3" t="s">
        <v>65</v>
      </c>
      <c r="D16" s="3">
        <v>5</v>
      </c>
      <c r="E16" s="3" t="s">
        <v>42</v>
      </c>
      <c r="F16" s="3">
        <v>6</v>
      </c>
      <c r="G16" s="3">
        <v>9</v>
      </c>
      <c r="H16" s="3">
        <f>4+8</f>
        <v>12</v>
      </c>
      <c r="I16" s="3">
        <v>5</v>
      </c>
      <c r="J16" s="3">
        <f>18+10</f>
        <v>28</v>
      </c>
      <c r="K16" s="3">
        <v>21</v>
      </c>
      <c r="L16" s="10">
        <f t="shared" si="0"/>
        <v>86</v>
      </c>
    </row>
    <row r="17" spans="2:12" ht="12.75">
      <c r="B17" s="2">
        <v>10</v>
      </c>
      <c r="C17" s="3" t="s">
        <v>66</v>
      </c>
      <c r="D17" s="3">
        <v>6</v>
      </c>
      <c r="E17" s="3" t="s">
        <v>42</v>
      </c>
      <c r="F17" s="3">
        <v>6</v>
      </c>
      <c r="G17" s="3">
        <v>13</v>
      </c>
      <c r="H17" s="3">
        <f>5+6</f>
        <v>11</v>
      </c>
      <c r="I17" s="3">
        <v>2</v>
      </c>
      <c r="J17" s="3">
        <f>32+28</f>
        <v>60</v>
      </c>
      <c r="K17" s="3">
        <v>15</v>
      </c>
      <c r="L17" s="10">
        <f t="shared" si="0"/>
        <v>113</v>
      </c>
    </row>
    <row r="18" spans="2:12" ht="12.75">
      <c r="B18" s="2">
        <v>11</v>
      </c>
      <c r="C18" s="3" t="s">
        <v>67</v>
      </c>
      <c r="D18" s="3">
        <v>1</v>
      </c>
      <c r="E18" s="3" t="s">
        <v>42</v>
      </c>
      <c r="F18" s="3">
        <v>1</v>
      </c>
      <c r="G18" s="3">
        <v>3</v>
      </c>
      <c r="H18" s="3">
        <f>2+5</f>
        <v>7</v>
      </c>
      <c r="I18" s="3" t="s">
        <v>42</v>
      </c>
      <c r="J18" s="3">
        <f>18+12</f>
        <v>30</v>
      </c>
      <c r="K18" s="3">
        <v>5</v>
      </c>
      <c r="L18" s="10">
        <f t="shared" si="0"/>
        <v>47</v>
      </c>
    </row>
    <row r="19" spans="2:12" ht="12.75">
      <c r="B19" s="2">
        <v>12</v>
      </c>
      <c r="C19" s="3" t="s">
        <v>68</v>
      </c>
      <c r="D19" s="3">
        <v>5</v>
      </c>
      <c r="E19" s="3" t="s">
        <v>42</v>
      </c>
      <c r="F19" s="3">
        <v>13</v>
      </c>
      <c r="G19" s="3">
        <v>6</v>
      </c>
      <c r="H19" s="3">
        <f>51+10</f>
        <v>61</v>
      </c>
      <c r="I19" s="3">
        <v>2</v>
      </c>
      <c r="J19" s="3">
        <f>47+32</f>
        <v>79</v>
      </c>
      <c r="K19" s="3">
        <v>9</v>
      </c>
      <c r="L19" s="10">
        <f t="shared" si="0"/>
        <v>175</v>
      </c>
    </row>
    <row r="20" spans="2:12" ht="12.75">
      <c r="B20" s="2">
        <v>13</v>
      </c>
      <c r="C20" s="3" t="s">
        <v>69</v>
      </c>
      <c r="D20" s="3">
        <v>2</v>
      </c>
      <c r="E20" s="3" t="s">
        <v>42</v>
      </c>
      <c r="F20" s="3">
        <v>11</v>
      </c>
      <c r="G20" s="3">
        <v>37</v>
      </c>
      <c r="H20" s="3">
        <f>3+8</f>
        <v>11</v>
      </c>
      <c r="I20" s="3">
        <v>2</v>
      </c>
      <c r="J20" s="3">
        <f>294+65</f>
        <v>359</v>
      </c>
      <c r="K20" s="3">
        <v>20</v>
      </c>
      <c r="L20" s="10">
        <f t="shared" si="0"/>
        <v>442</v>
      </c>
    </row>
    <row r="21" spans="2:12" ht="12.75">
      <c r="B21" s="2">
        <v>14</v>
      </c>
      <c r="C21" s="3" t="s">
        <v>70</v>
      </c>
      <c r="D21" s="3">
        <v>2</v>
      </c>
      <c r="E21" s="3" t="s">
        <v>42</v>
      </c>
      <c r="F21" s="3">
        <v>8</v>
      </c>
      <c r="G21" s="3" t="s">
        <v>42</v>
      </c>
      <c r="H21" s="3">
        <v>2</v>
      </c>
      <c r="I21" s="3">
        <v>2</v>
      </c>
      <c r="J21" s="3">
        <f>11+2</f>
        <v>13</v>
      </c>
      <c r="K21" s="3">
        <v>5</v>
      </c>
      <c r="L21" s="10">
        <f t="shared" si="0"/>
        <v>32</v>
      </c>
    </row>
    <row r="22" spans="2:12" ht="12.75">
      <c r="B22" s="2">
        <v>15</v>
      </c>
      <c r="C22" s="3" t="s">
        <v>71</v>
      </c>
      <c r="D22" s="3" t="s">
        <v>42</v>
      </c>
      <c r="E22" s="3" t="s">
        <v>42</v>
      </c>
      <c r="F22" s="3" t="s">
        <v>42</v>
      </c>
      <c r="G22" s="3" t="s">
        <v>42</v>
      </c>
      <c r="H22" s="3">
        <v>1</v>
      </c>
      <c r="I22" s="3" t="s">
        <v>42</v>
      </c>
      <c r="J22" s="3">
        <f>1+2</f>
        <v>3</v>
      </c>
      <c r="K22" s="3">
        <v>6</v>
      </c>
      <c r="L22" s="10">
        <f t="shared" si="0"/>
        <v>10</v>
      </c>
    </row>
    <row r="23" spans="2:12" ht="12.75">
      <c r="B23" s="2">
        <v>16</v>
      </c>
      <c r="C23" s="3" t="s">
        <v>72</v>
      </c>
      <c r="D23" s="3" t="s">
        <v>42</v>
      </c>
      <c r="E23" s="3" t="s">
        <v>42</v>
      </c>
      <c r="F23" s="3" t="s">
        <v>42</v>
      </c>
      <c r="G23" s="3" t="s">
        <v>42</v>
      </c>
      <c r="H23" s="3" t="s">
        <v>42</v>
      </c>
      <c r="I23" s="3" t="s">
        <v>42</v>
      </c>
      <c r="J23" s="3" t="s">
        <v>42</v>
      </c>
      <c r="K23" s="3">
        <v>1</v>
      </c>
      <c r="L23" s="10">
        <f t="shared" si="0"/>
        <v>1</v>
      </c>
    </row>
    <row r="24" spans="2:12" ht="12.75">
      <c r="B24" s="2">
        <v>17</v>
      </c>
      <c r="C24" s="3" t="s">
        <v>73</v>
      </c>
      <c r="D24" s="3" t="s">
        <v>42</v>
      </c>
      <c r="E24" s="3" t="s">
        <v>42</v>
      </c>
      <c r="F24" s="3" t="s">
        <v>42</v>
      </c>
      <c r="G24" s="3" t="s">
        <v>42</v>
      </c>
      <c r="H24" s="3" t="s">
        <v>42</v>
      </c>
      <c r="I24" s="3" t="s">
        <v>42</v>
      </c>
      <c r="J24" s="3" t="s">
        <v>42</v>
      </c>
      <c r="K24" s="3"/>
      <c r="L24" s="10">
        <f t="shared" si="0"/>
        <v>0</v>
      </c>
    </row>
    <row r="25" spans="2:12" ht="12.75">
      <c r="B25" s="2">
        <v>18</v>
      </c>
      <c r="C25" s="3" t="s">
        <v>74</v>
      </c>
      <c r="D25" s="3" t="s">
        <v>42</v>
      </c>
      <c r="E25" s="3" t="s">
        <v>42</v>
      </c>
      <c r="F25" s="3" t="s">
        <v>42</v>
      </c>
      <c r="G25" s="3" t="s">
        <v>42</v>
      </c>
      <c r="H25" s="3" t="s">
        <v>42</v>
      </c>
      <c r="I25" s="3" t="s">
        <v>42</v>
      </c>
      <c r="J25" s="3">
        <v>1</v>
      </c>
      <c r="K25" s="3"/>
      <c r="L25" s="10">
        <f t="shared" si="0"/>
        <v>1</v>
      </c>
    </row>
    <row r="26" spans="2:12" ht="12.75">
      <c r="B26" s="2">
        <v>19</v>
      </c>
      <c r="C26" s="3" t="s">
        <v>75</v>
      </c>
      <c r="D26" s="3">
        <v>2</v>
      </c>
      <c r="E26" s="3" t="s">
        <v>42</v>
      </c>
      <c r="F26" s="3" t="s">
        <v>42</v>
      </c>
      <c r="G26" s="3">
        <v>4</v>
      </c>
      <c r="H26" s="3" t="s">
        <v>42</v>
      </c>
      <c r="I26" s="3" t="s">
        <v>42</v>
      </c>
      <c r="J26" s="3">
        <f>18+346</f>
        <v>364</v>
      </c>
      <c r="K26" s="3"/>
      <c r="L26" s="10">
        <f t="shared" si="0"/>
        <v>370</v>
      </c>
    </row>
    <row r="27" spans="2:12" ht="12.75">
      <c r="B27" s="2">
        <v>20</v>
      </c>
      <c r="C27" s="3" t="s">
        <v>76</v>
      </c>
      <c r="D27" s="3">
        <v>581</v>
      </c>
      <c r="E27" s="3" t="s">
        <v>42</v>
      </c>
      <c r="F27" s="3" t="s">
        <v>42</v>
      </c>
      <c r="G27" s="3">
        <v>558</v>
      </c>
      <c r="H27" s="3">
        <v>550</v>
      </c>
      <c r="I27" s="3" t="s">
        <v>42</v>
      </c>
      <c r="J27" s="3">
        <f>3345+2223</f>
        <v>5568</v>
      </c>
      <c r="K27" s="3">
        <v>5281</v>
      </c>
      <c r="L27" s="10">
        <f t="shared" si="0"/>
        <v>12538</v>
      </c>
    </row>
    <row r="28" spans="2:12" ht="12.75">
      <c r="B28" s="2">
        <v>21</v>
      </c>
      <c r="C28" s="3" t="s">
        <v>77</v>
      </c>
      <c r="D28" s="3" t="s">
        <v>42</v>
      </c>
      <c r="E28" s="3" t="s">
        <v>42</v>
      </c>
      <c r="F28" s="3" t="s">
        <v>42</v>
      </c>
      <c r="G28" s="3" t="s">
        <v>42</v>
      </c>
      <c r="H28" s="3" t="s">
        <v>42</v>
      </c>
      <c r="I28" s="3" t="s">
        <v>42</v>
      </c>
      <c r="J28" s="3">
        <v>219</v>
      </c>
      <c r="K28" s="3">
        <v>1302</v>
      </c>
      <c r="L28" s="10">
        <f t="shared" si="0"/>
        <v>1521</v>
      </c>
    </row>
    <row r="29" spans="2:12" ht="12.75">
      <c r="B29" s="2">
        <v>22</v>
      </c>
      <c r="C29" s="3" t="s">
        <v>78</v>
      </c>
      <c r="D29" s="3">
        <v>200</v>
      </c>
      <c r="E29" s="3" t="s">
        <v>42</v>
      </c>
      <c r="F29" s="3">
        <v>4906</v>
      </c>
      <c r="G29" s="3">
        <v>1050</v>
      </c>
      <c r="H29" s="3">
        <v>120</v>
      </c>
      <c r="I29" s="3" t="s">
        <v>42</v>
      </c>
      <c r="J29" s="3">
        <f>8054+1695</f>
        <v>9749</v>
      </c>
      <c r="K29" s="3">
        <v>4310</v>
      </c>
      <c r="L29" s="10">
        <f t="shared" si="0"/>
        <v>20335</v>
      </c>
    </row>
    <row r="30" spans="2:12" ht="12.75">
      <c r="B30" s="2">
        <v>23</v>
      </c>
      <c r="C30" s="3" t="s">
        <v>79</v>
      </c>
      <c r="D30" s="3">
        <v>26</v>
      </c>
      <c r="E30" s="3" t="s">
        <v>42</v>
      </c>
      <c r="F30" s="3" t="s">
        <v>42</v>
      </c>
      <c r="G30" s="3">
        <v>1</v>
      </c>
      <c r="H30" s="3"/>
      <c r="I30" s="3" t="s">
        <v>42</v>
      </c>
      <c r="J30" s="3">
        <f>1300+5435</f>
        <v>6735</v>
      </c>
      <c r="K30" s="3">
        <v>1318</v>
      </c>
      <c r="L30" s="10">
        <f t="shared" si="0"/>
        <v>8080</v>
      </c>
    </row>
    <row r="31" spans="2:12" ht="12.75">
      <c r="B31" s="2">
        <v>24</v>
      </c>
      <c r="C31" s="3" t="s">
        <v>80</v>
      </c>
      <c r="D31" s="3">
        <v>37</v>
      </c>
      <c r="E31" s="3" t="s">
        <v>42</v>
      </c>
      <c r="F31" s="3">
        <v>37</v>
      </c>
      <c r="G31" s="3">
        <v>54.8</v>
      </c>
      <c r="H31" s="3">
        <f>2+220</f>
        <v>222</v>
      </c>
      <c r="I31" s="3" t="s">
        <v>42</v>
      </c>
      <c r="J31" s="3">
        <f>538+1747</f>
        <v>2285</v>
      </c>
      <c r="K31" s="3">
        <v>147</v>
      </c>
      <c r="L31" s="10">
        <f t="shared" si="0"/>
        <v>2782.8</v>
      </c>
    </row>
    <row r="32" spans="2:12" ht="12.75">
      <c r="B32" s="2">
        <v>25</v>
      </c>
      <c r="C32" s="3" t="s">
        <v>162</v>
      </c>
      <c r="D32" s="3" t="s">
        <v>42</v>
      </c>
      <c r="E32" s="3" t="s">
        <v>42</v>
      </c>
      <c r="F32" s="3" t="s">
        <v>42</v>
      </c>
      <c r="G32" s="3" t="s">
        <v>42</v>
      </c>
      <c r="H32" s="3">
        <v>1</v>
      </c>
      <c r="I32" s="3" t="s">
        <v>42</v>
      </c>
      <c r="J32" s="3">
        <v>8</v>
      </c>
      <c r="K32" s="3"/>
      <c r="L32" s="10">
        <f t="shared" si="0"/>
        <v>9</v>
      </c>
    </row>
    <row r="33" spans="2:12" ht="12.75">
      <c r="B33" s="2">
        <v>26</v>
      </c>
      <c r="C33" s="3" t="s">
        <v>81</v>
      </c>
      <c r="D33" s="3" t="s">
        <v>42</v>
      </c>
      <c r="E33" s="3" t="s">
        <v>42</v>
      </c>
      <c r="F33" s="3">
        <v>1</v>
      </c>
      <c r="G33" s="3">
        <v>4</v>
      </c>
      <c r="H33" s="3">
        <f>3+1</f>
        <v>4</v>
      </c>
      <c r="I33" s="3" t="s">
        <v>42</v>
      </c>
      <c r="J33" s="3">
        <f>6+7</f>
        <v>13</v>
      </c>
      <c r="K33" s="3">
        <v>2</v>
      </c>
      <c r="L33" s="10">
        <f t="shared" si="0"/>
        <v>24</v>
      </c>
    </row>
    <row r="34" spans="2:12" ht="12.75">
      <c r="B34" s="2">
        <v>27</v>
      </c>
      <c r="C34" s="3" t="s">
        <v>82</v>
      </c>
      <c r="D34" s="3">
        <v>1</v>
      </c>
      <c r="E34" s="3" t="s">
        <v>42</v>
      </c>
      <c r="F34" s="3" t="s">
        <v>42</v>
      </c>
      <c r="G34" s="3" t="s">
        <v>42</v>
      </c>
      <c r="H34" s="3" t="s">
        <v>42</v>
      </c>
      <c r="I34" s="3" t="s">
        <v>42</v>
      </c>
      <c r="J34" s="3">
        <v>1</v>
      </c>
      <c r="K34" s="3"/>
      <c r="L34" s="10">
        <f t="shared" si="0"/>
        <v>2</v>
      </c>
    </row>
    <row r="35" spans="2:12" ht="12.75">
      <c r="B35" s="2">
        <v>28</v>
      </c>
      <c r="C35" s="3" t="s">
        <v>83</v>
      </c>
      <c r="D35" s="3" t="s">
        <v>42</v>
      </c>
      <c r="E35" s="3" t="s">
        <v>42</v>
      </c>
      <c r="F35" s="3">
        <v>1</v>
      </c>
      <c r="G35" s="3" t="s">
        <v>42</v>
      </c>
      <c r="H35" s="3" t="s">
        <v>42</v>
      </c>
      <c r="I35" s="3">
        <v>2</v>
      </c>
      <c r="J35" s="3">
        <f>1+1</f>
        <v>2</v>
      </c>
      <c r="K35" s="3"/>
      <c r="L35" s="10">
        <f t="shared" si="0"/>
        <v>5</v>
      </c>
    </row>
    <row r="36" spans="2:12" ht="13.5" thickBot="1">
      <c r="B36" s="15">
        <v>29</v>
      </c>
      <c r="C36" s="6" t="s">
        <v>84</v>
      </c>
      <c r="D36" s="6" t="s">
        <v>42</v>
      </c>
      <c r="E36" s="6" t="s">
        <v>42</v>
      </c>
      <c r="F36" s="6" t="s">
        <v>42</v>
      </c>
      <c r="G36" s="6" t="s">
        <v>42</v>
      </c>
      <c r="H36" s="6" t="s">
        <v>42</v>
      </c>
      <c r="I36" s="6" t="s">
        <v>42</v>
      </c>
      <c r="J36" s="6"/>
      <c r="K36" s="6"/>
      <c r="L36" s="7">
        <f t="shared" si="0"/>
        <v>0</v>
      </c>
    </row>
  </sheetData>
  <mergeCells count="6">
    <mergeCell ref="J2:L2"/>
    <mergeCell ref="L6:L7"/>
    <mergeCell ref="B3:L3"/>
    <mergeCell ref="C6:C7"/>
    <mergeCell ref="D6:K6"/>
    <mergeCell ref="B6:B7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4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0" sqref="I10"/>
    </sheetView>
  </sheetViews>
  <sheetFormatPr defaultColWidth="9.00390625" defaultRowHeight="12.75"/>
  <cols>
    <col min="1" max="1" width="1.75390625" style="0" customWidth="1"/>
    <col min="2" max="2" width="9.375" style="0" customWidth="1"/>
    <col min="3" max="3" width="16.625" style="0" customWidth="1"/>
    <col min="4" max="4" width="7.375" style="0" customWidth="1"/>
    <col min="5" max="5" width="6.25390625" style="0" customWidth="1"/>
    <col min="6" max="6" width="7.375" style="0" customWidth="1"/>
    <col min="7" max="7" width="7.875" style="0" customWidth="1"/>
    <col min="8" max="8" width="7.375" style="0" customWidth="1"/>
    <col min="9" max="9" width="6.00390625" style="0" customWidth="1"/>
    <col min="10" max="10" width="8.125" style="0" customWidth="1"/>
    <col min="11" max="11" width="7.75390625" style="0" customWidth="1"/>
    <col min="12" max="14" width="8.125" style="0" customWidth="1"/>
    <col min="15" max="15" width="8.25390625" style="0" customWidth="1"/>
    <col min="16" max="16" width="9.375" style="0" customWidth="1"/>
  </cols>
  <sheetData>
    <row r="1" spans="11:16" ht="12.75">
      <c r="K1" s="55" t="s">
        <v>146</v>
      </c>
      <c r="L1" s="55"/>
      <c r="M1" s="55"/>
      <c r="N1" s="55"/>
      <c r="O1" s="55"/>
      <c r="P1" s="55"/>
    </row>
    <row r="3" spans="2:16" ht="12.75" customHeight="1">
      <c r="B3" s="96" t="s">
        <v>155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5" ht="13.5" thickBot="1"/>
    <row r="6" spans="2:16" ht="12.75" customHeight="1">
      <c r="B6" s="90" t="s">
        <v>154</v>
      </c>
      <c r="C6" s="91"/>
      <c r="D6" s="56" t="s">
        <v>122</v>
      </c>
      <c r="E6" s="56"/>
      <c r="F6" s="56"/>
      <c r="G6" s="56"/>
      <c r="H6" s="56"/>
      <c r="I6" s="56"/>
      <c r="J6" s="56"/>
      <c r="K6" s="56"/>
      <c r="L6" s="94" t="s">
        <v>153</v>
      </c>
      <c r="M6" s="94" t="s">
        <v>152</v>
      </c>
      <c r="N6" s="94" t="s">
        <v>159</v>
      </c>
      <c r="O6" s="94" t="s">
        <v>151</v>
      </c>
      <c r="P6" s="57" t="s">
        <v>115</v>
      </c>
    </row>
    <row r="7" spans="2:16" ht="93.75" thickBot="1">
      <c r="B7" s="92"/>
      <c r="C7" s="93"/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32" t="s">
        <v>112</v>
      </c>
      <c r="J7" s="32" t="s">
        <v>113</v>
      </c>
      <c r="K7" s="32" t="s">
        <v>114</v>
      </c>
      <c r="L7" s="95"/>
      <c r="M7" s="95"/>
      <c r="N7" s="95"/>
      <c r="O7" s="95"/>
      <c r="P7" s="97"/>
    </row>
    <row r="8" spans="2:21" ht="25.5" customHeight="1" thickTop="1">
      <c r="B8" s="88" t="s">
        <v>87</v>
      </c>
      <c r="C8" s="89"/>
      <c r="D8" s="35">
        <v>358.261</v>
      </c>
      <c r="E8" s="35" t="s">
        <v>42</v>
      </c>
      <c r="F8" s="35">
        <f>99.32+6.9</f>
        <v>106.22</v>
      </c>
      <c r="G8" s="35">
        <v>609.1</v>
      </c>
      <c r="H8" s="35">
        <f>113.399+95</f>
        <v>208.399</v>
      </c>
      <c r="I8" s="35">
        <v>7</v>
      </c>
      <c r="J8" s="35">
        <f>4751+31130</f>
        <v>35881</v>
      </c>
      <c r="K8" s="35">
        <f>665.027+92.382</f>
        <v>757.4090000000001</v>
      </c>
      <c r="L8" s="36">
        <f>4858.1+2082</f>
        <v>6940.1</v>
      </c>
      <c r="M8" s="36">
        <v>391</v>
      </c>
      <c r="N8" s="36"/>
      <c r="O8" s="36">
        <f>35.385+16.101+52.196</f>
        <v>103.68199999999999</v>
      </c>
      <c r="P8" s="37">
        <f>SUM(D8:O8)</f>
        <v>45362.171</v>
      </c>
      <c r="Q8" t="s">
        <v>42</v>
      </c>
      <c r="R8" t="s">
        <v>42</v>
      </c>
      <c r="S8" t="s">
        <v>42</v>
      </c>
      <c r="T8" t="s">
        <v>42</v>
      </c>
      <c r="U8" t="s">
        <v>42</v>
      </c>
    </row>
    <row r="9" spans="2:21" ht="21" customHeight="1">
      <c r="B9" s="86" t="s">
        <v>86</v>
      </c>
      <c r="C9" s="4" t="s">
        <v>88</v>
      </c>
      <c r="D9" s="38">
        <v>4.155</v>
      </c>
      <c r="E9" s="38" t="s">
        <v>42</v>
      </c>
      <c r="F9" s="38">
        <f>32.83+5.1</f>
        <v>37.93</v>
      </c>
      <c r="G9" s="38">
        <v>68.5</v>
      </c>
      <c r="H9" s="38">
        <f>30.3+92</f>
        <v>122.3</v>
      </c>
      <c r="I9" s="38">
        <v>6</v>
      </c>
      <c r="J9" s="38">
        <f>107+87</f>
        <v>194</v>
      </c>
      <c r="K9" s="38">
        <f>318.5+39.8</f>
        <v>358.3</v>
      </c>
      <c r="L9" s="39">
        <f>348.9+166.1</f>
        <v>515</v>
      </c>
      <c r="M9" s="39">
        <v>192</v>
      </c>
      <c r="N9" s="39"/>
      <c r="O9" s="39">
        <v>35</v>
      </c>
      <c r="P9" s="40">
        <f aca="true" t="shared" si="0" ref="P9:P14">SUM(D9:O9)</f>
        <v>1533.185</v>
      </c>
      <c r="Q9" t="s">
        <v>42</v>
      </c>
      <c r="R9" t="s">
        <v>42</v>
      </c>
      <c r="S9" t="s">
        <v>42</v>
      </c>
      <c r="T9" t="s">
        <v>42</v>
      </c>
      <c r="U9" t="s">
        <v>42</v>
      </c>
    </row>
    <row r="10" spans="2:21" ht="29.25" customHeight="1">
      <c r="B10" s="87"/>
      <c r="C10" s="19" t="s">
        <v>89</v>
      </c>
      <c r="D10" s="38">
        <v>0.03</v>
      </c>
      <c r="E10" s="38" t="s">
        <v>42</v>
      </c>
      <c r="F10" s="38">
        <f>11.5+1.8</f>
        <v>13.3</v>
      </c>
      <c r="G10" s="38">
        <v>3</v>
      </c>
      <c r="H10" s="38">
        <v>3</v>
      </c>
      <c r="I10" s="38"/>
      <c r="J10" s="38">
        <v>29</v>
      </c>
      <c r="K10" s="38">
        <f>142.27+13.913</f>
        <v>156.18300000000002</v>
      </c>
      <c r="L10" s="39">
        <f>126.8+60.83</f>
        <v>187.63</v>
      </c>
      <c r="M10" s="39">
        <v>56</v>
      </c>
      <c r="N10" s="39"/>
      <c r="O10" s="39">
        <v>16.101</v>
      </c>
      <c r="P10" s="40">
        <f t="shared" si="0"/>
        <v>464.244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</row>
    <row r="11" spans="2:21" ht="16.5" customHeight="1">
      <c r="B11" s="83" t="s">
        <v>90</v>
      </c>
      <c r="C11" s="82"/>
      <c r="D11" s="38"/>
      <c r="E11" s="38" t="s">
        <v>42</v>
      </c>
      <c r="F11" s="38">
        <v>8.24</v>
      </c>
      <c r="G11" s="38"/>
      <c r="H11" s="38">
        <v>34</v>
      </c>
      <c r="I11" s="38"/>
      <c r="J11" s="38">
        <v>511</v>
      </c>
      <c r="K11" s="38">
        <f>190.2</f>
        <v>190.2</v>
      </c>
      <c r="L11" s="39"/>
      <c r="M11" s="39">
        <v>57</v>
      </c>
      <c r="N11" s="39"/>
      <c r="O11" s="39"/>
      <c r="P11" s="40">
        <f t="shared" si="0"/>
        <v>800.44</v>
      </c>
      <c r="Q11" t="s">
        <v>42</v>
      </c>
      <c r="R11" t="s">
        <v>42</v>
      </c>
      <c r="S11" t="s">
        <v>42</v>
      </c>
      <c r="T11" t="s">
        <v>42</v>
      </c>
      <c r="U11" t="s">
        <v>42</v>
      </c>
    </row>
    <row r="12" spans="2:21" ht="16.5" customHeight="1">
      <c r="B12" s="83" t="s">
        <v>91</v>
      </c>
      <c r="C12" s="82"/>
      <c r="D12" s="38"/>
      <c r="E12" s="38" t="s">
        <v>42</v>
      </c>
      <c r="F12" s="38"/>
      <c r="G12" s="38"/>
      <c r="H12" s="38"/>
      <c r="I12" s="38"/>
      <c r="J12" s="38">
        <v>109</v>
      </c>
      <c r="K12" s="38"/>
      <c r="L12" s="39"/>
      <c r="M12" s="39"/>
      <c r="N12" s="39"/>
      <c r="O12" s="39"/>
      <c r="P12" s="40">
        <f t="shared" si="0"/>
        <v>109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</row>
    <row r="13" spans="2:21" ht="18.75" customHeight="1">
      <c r="B13" s="83" t="s">
        <v>92</v>
      </c>
      <c r="C13" s="82"/>
      <c r="D13" s="38" t="s">
        <v>42</v>
      </c>
      <c r="E13" s="38" t="s">
        <v>42</v>
      </c>
      <c r="F13" s="38" t="s">
        <v>42</v>
      </c>
      <c r="G13" s="38"/>
      <c r="H13" s="38" t="s">
        <v>42</v>
      </c>
      <c r="I13" s="38"/>
      <c r="J13" s="38">
        <v>0</v>
      </c>
      <c r="K13" s="38"/>
      <c r="L13" s="39"/>
      <c r="M13" s="39"/>
      <c r="N13" s="39"/>
      <c r="O13" s="39"/>
      <c r="P13" s="40">
        <f t="shared" si="0"/>
        <v>0</v>
      </c>
      <c r="Q13" t="s">
        <v>42</v>
      </c>
      <c r="R13" t="s">
        <v>42</v>
      </c>
      <c r="S13" t="s">
        <v>42</v>
      </c>
      <c r="T13" t="s">
        <v>42</v>
      </c>
      <c r="U13" t="s">
        <v>42</v>
      </c>
    </row>
    <row r="14" spans="2:21" ht="26.25" customHeight="1" thickBot="1">
      <c r="B14" s="84" t="s">
        <v>93</v>
      </c>
      <c r="C14" s="85"/>
      <c r="D14" s="41">
        <f>D8+D11+D12</f>
        <v>358.261</v>
      </c>
      <c r="E14" s="42" t="s">
        <v>42</v>
      </c>
      <c r="F14" s="45">
        <v>115</v>
      </c>
      <c r="G14" s="42">
        <f aca="true" t="shared" si="1" ref="G14:O14">G8+G11+G12</f>
        <v>609.1</v>
      </c>
      <c r="H14" s="42">
        <f t="shared" si="1"/>
        <v>242.399</v>
      </c>
      <c r="I14" s="42">
        <f t="shared" si="1"/>
        <v>7</v>
      </c>
      <c r="J14" s="42">
        <f t="shared" si="1"/>
        <v>36501</v>
      </c>
      <c r="K14" s="42">
        <f t="shared" si="1"/>
        <v>947.6090000000002</v>
      </c>
      <c r="L14" s="42">
        <f t="shared" si="1"/>
        <v>6940.1</v>
      </c>
      <c r="M14" s="42">
        <v>448</v>
      </c>
      <c r="N14" s="45">
        <v>2735</v>
      </c>
      <c r="O14" s="42">
        <f t="shared" si="1"/>
        <v>103.68199999999999</v>
      </c>
      <c r="P14" s="43">
        <f t="shared" si="0"/>
        <v>49007.151</v>
      </c>
      <c r="Q14" t="s">
        <v>42</v>
      </c>
      <c r="R14" t="s">
        <v>42</v>
      </c>
      <c r="S14" t="s">
        <v>42</v>
      </c>
      <c r="T14" t="s">
        <v>42</v>
      </c>
      <c r="U14" t="s">
        <v>42</v>
      </c>
    </row>
  </sheetData>
  <mergeCells count="15">
    <mergeCell ref="B3:P3"/>
    <mergeCell ref="K1:P1"/>
    <mergeCell ref="D6:K6"/>
    <mergeCell ref="P6:P7"/>
    <mergeCell ref="M6:M7"/>
    <mergeCell ref="O6:O7"/>
    <mergeCell ref="N6:N7"/>
    <mergeCell ref="B9:B10"/>
    <mergeCell ref="B8:C8"/>
    <mergeCell ref="B6:C7"/>
    <mergeCell ref="L6:L7"/>
    <mergeCell ref="B11:C11"/>
    <mergeCell ref="B12:C12"/>
    <mergeCell ref="B13:C13"/>
    <mergeCell ref="B14:C14"/>
  </mergeCells>
  <printOptions/>
  <pageMargins left="0.75" right="0.75" top="1" bottom="1" header="0.4921259845" footer="0.4921259845"/>
  <pageSetup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7"/>
  <sheetViews>
    <sheetView workbookViewId="0" topLeftCell="A1">
      <selection activeCell="K6" sqref="K6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11" width="7.375" style="0" customWidth="1"/>
  </cols>
  <sheetData>
    <row r="1" spans="10:11" ht="12.75">
      <c r="J1" s="55" t="s">
        <v>147</v>
      </c>
      <c r="K1" s="55"/>
    </row>
    <row r="2" spans="2:11" ht="115.5" customHeight="1">
      <c r="B2" s="100" t="s">
        <v>156</v>
      </c>
      <c r="C2" s="100"/>
      <c r="D2" s="100"/>
      <c r="E2" s="100"/>
      <c r="F2" s="100"/>
      <c r="G2" s="100"/>
      <c r="H2" s="100"/>
      <c r="I2" s="100"/>
      <c r="J2" s="100"/>
      <c r="K2" s="100"/>
    </row>
    <row r="3" ht="13.5" thickBot="1"/>
    <row r="4" spans="2:11" ht="18.75" customHeight="1">
      <c r="B4" s="98" t="s">
        <v>140</v>
      </c>
      <c r="C4" s="73" t="s">
        <v>122</v>
      </c>
      <c r="D4" s="74"/>
      <c r="E4" s="74"/>
      <c r="F4" s="74"/>
      <c r="G4" s="74"/>
      <c r="H4" s="74"/>
      <c r="I4" s="74"/>
      <c r="J4" s="75"/>
      <c r="K4" s="71" t="s">
        <v>115</v>
      </c>
    </row>
    <row r="5" spans="2:11" ht="79.5" thickBot="1">
      <c r="B5" s="99"/>
      <c r="C5" s="32" t="s">
        <v>107</v>
      </c>
      <c r="D5" s="32" t="s">
        <v>108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114</v>
      </c>
      <c r="K5" s="72"/>
    </row>
    <row r="6" spans="2:11" ht="39" thickTop="1">
      <c r="B6" s="22" t="s">
        <v>139</v>
      </c>
      <c r="C6" s="16"/>
      <c r="D6" s="16"/>
      <c r="E6" s="16"/>
      <c r="F6" s="16"/>
      <c r="G6" s="16"/>
      <c r="H6" s="16"/>
      <c r="I6" s="16"/>
      <c r="J6" s="16"/>
      <c r="K6" s="17"/>
    </row>
    <row r="7" spans="2:11" ht="37.5" customHeight="1" thickBot="1">
      <c r="B7" s="23" t="s">
        <v>94</v>
      </c>
      <c r="C7" s="6"/>
      <c r="D7" s="6"/>
      <c r="E7" s="6"/>
      <c r="F7" s="6"/>
      <c r="G7" s="6"/>
      <c r="H7" s="6"/>
      <c r="I7" s="6"/>
      <c r="J7" s="29">
        <v>3255</v>
      </c>
      <c r="K7" s="25">
        <f>SUM(C7:J7)</f>
        <v>3255</v>
      </c>
    </row>
  </sheetData>
  <mergeCells count="5">
    <mergeCell ref="J1:K1"/>
    <mergeCell ref="C4:J4"/>
    <mergeCell ref="K4:K5"/>
    <mergeCell ref="B4:B5"/>
    <mergeCell ref="B2:K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25" sqref="J25"/>
    </sheetView>
  </sheetViews>
  <sheetFormatPr defaultColWidth="9.00390625" defaultRowHeight="12.75"/>
  <cols>
    <col min="1" max="1" width="1.37890625" style="0" customWidth="1"/>
    <col min="2" max="2" width="7.25390625" style="0" customWidth="1"/>
    <col min="3" max="3" width="25.875" style="0" customWidth="1"/>
    <col min="4" max="4" width="5.875" style="0" customWidth="1"/>
    <col min="5" max="5" width="3.875" style="0" customWidth="1"/>
    <col min="6" max="6" width="6.875" style="0" customWidth="1"/>
    <col min="7" max="7" width="6.25390625" style="0" customWidth="1"/>
    <col min="8" max="8" width="6.125" style="0" customWidth="1"/>
    <col min="9" max="9" width="6.00390625" style="0" customWidth="1"/>
    <col min="10" max="10" width="8.875" style="0" customWidth="1"/>
    <col min="11" max="11" width="6.25390625" style="0" customWidth="1"/>
    <col min="12" max="12" width="7.875" style="0" customWidth="1"/>
  </cols>
  <sheetData>
    <row r="1" spans="11:12" ht="12.75">
      <c r="K1" s="55" t="s">
        <v>157</v>
      </c>
      <c r="L1" s="55"/>
    </row>
    <row r="2" ht="24.75" customHeight="1"/>
    <row r="3" spans="2:12" ht="28.5" customHeight="1">
      <c r="B3" s="102" t="s">
        <v>158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30.75" customHeight="1" thickBot="1">
      <c r="B4" s="1"/>
    </row>
    <row r="5" spans="2:12" ht="18.75" customHeight="1">
      <c r="B5" s="90" t="s">
        <v>123</v>
      </c>
      <c r="C5" s="91"/>
      <c r="D5" s="73" t="s">
        <v>122</v>
      </c>
      <c r="E5" s="74"/>
      <c r="F5" s="74"/>
      <c r="G5" s="74"/>
      <c r="H5" s="74"/>
      <c r="I5" s="74"/>
      <c r="J5" s="74"/>
      <c r="K5" s="75"/>
      <c r="L5" s="71" t="s">
        <v>115</v>
      </c>
    </row>
    <row r="6" spans="2:12" ht="79.5" thickBot="1">
      <c r="B6" s="105"/>
      <c r="C6" s="106"/>
      <c r="D6" s="33" t="s">
        <v>107</v>
      </c>
      <c r="E6" s="34" t="s">
        <v>108</v>
      </c>
      <c r="F6" s="34" t="s">
        <v>109</v>
      </c>
      <c r="G6" s="34" t="s">
        <v>110</v>
      </c>
      <c r="H6" s="34" t="s">
        <v>111</v>
      </c>
      <c r="I6" s="34" t="s">
        <v>112</v>
      </c>
      <c r="J6" s="34" t="s">
        <v>113</v>
      </c>
      <c r="K6" s="34" t="s">
        <v>114</v>
      </c>
      <c r="L6" s="72"/>
    </row>
    <row r="7" spans="2:12" ht="13.5" thickTop="1">
      <c r="B7" s="107" t="s">
        <v>95</v>
      </c>
      <c r="C7" s="108"/>
      <c r="D7" s="46">
        <v>781</v>
      </c>
      <c r="E7" s="46"/>
      <c r="F7" s="46">
        <v>2150</v>
      </c>
      <c r="G7" s="46">
        <v>710</v>
      </c>
      <c r="H7" s="46">
        <f>1855+320</f>
        <v>2175</v>
      </c>
      <c r="I7" s="46">
        <v>328</v>
      </c>
      <c r="J7" s="46">
        <f>3793.2+4335.2</f>
        <v>8128.4</v>
      </c>
      <c r="K7" s="46">
        <v>4016.1</v>
      </c>
      <c r="L7" s="47">
        <f aca="true" t="shared" si="0" ref="L7:L25">SUM(D7:K7)</f>
        <v>18288.5</v>
      </c>
    </row>
    <row r="8" spans="2:12" ht="12.75">
      <c r="B8" s="101" t="s">
        <v>128</v>
      </c>
      <c r="C8" s="3" t="s">
        <v>124</v>
      </c>
      <c r="D8" s="28">
        <v>631</v>
      </c>
      <c r="E8" s="28"/>
      <c r="F8" s="28">
        <v>1704</v>
      </c>
      <c r="G8" s="28">
        <v>200</v>
      </c>
      <c r="H8" s="28">
        <f>631+230</f>
        <v>861</v>
      </c>
      <c r="I8" s="28"/>
      <c r="J8" s="28">
        <f>1261.1+1865</f>
        <v>3126.1</v>
      </c>
      <c r="K8" s="28">
        <v>550.8</v>
      </c>
      <c r="L8" s="47">
        <f t="shared" si="0"/>
        <v>7072.900000000001</v>
      </c>
    </row>
    <row r="9" spans="2:12" ht="12.75">
      <c r="B9" s="101"/>
      <c r="C9" s="3" t="s">
        <v>125</v>
      </c>
      <c r="D9" s="28"/>
      <c r="E9" s="28"/>
      <c r="F9" s="28" t="s">
        <v>42</v>
      </c>
      <c r="G9" s="28" t="s">
        <v>42</v>
      </c>
      <c r="H9" s="28"/>
      <c r="I9" s="28"/>
      <c r="J9" s="28">
        <v>10</v>
      </c>
      <c r="K9" s="28"/>
      <c r="L9" s="47">
        <f t="shared" si="0"/>
        <v>10</v>
      </c>
    </row>
    <row r="10" spans="2:12" ht="12.75">
      <c r="B10" s="101"/>
      <c r="C10" s="3" t="s">
        <v>126</v>
      </c>
      <c r="D10" s="28">
        <v>67</v>
      </c>
      <c r="E10" s="28"/>
      <c r="F10" s="28" t="s">
        <v>42</v>
      </c>
      <c r="G10" s="28">
        <v>280</v>
      </c>
      <c r="H10" s="28">
        <v>53</v>
      </c>
      <c r="I10" s="28"/>
      <c r="J10" s="28">
        <f>57+181</f>
        <v>238</v>
      </c>
      <c r="K10" s="28"/>
      <c r="L10" s="47">
        <f t="shared" si="0"/>
        <v>638</v>
      </c>
    </row>
    <row r="11" spans="2:12" ht="12.75">
      <c r="B11" s="101"/>
      <c r="C11" s="20" t="s">
        <v>127</v>
      </c>
      <c r="D11" s="28">
        <v>83</v>
      </c>
      <c r="E11" s="28"/>
      <c r="F11" s="28">
        <v>446</v>
      </c>
      <c r="G11" s="28">
        <v>230</v>
      </c>
      <c r="H11" s="28">
        <f>694+90</f>
        <v>784</v>
      </c>
      <c r="I11" s="28"/>
      <c r="J11" s="28">
        <f>187+2289</f>
        <v>2476</v>
      </c>
      <c r="K11" s="28">
        <v>3465.3</v>
      </c>
      <c r="L11" s="47">
        <f t="shared" si="0"/>
        <v>7484.3</v>
      </c>
    </row>
    <row r="12" spans="2:12" ht="12.75">
      <c r="B12" s="113" t="s">
        <v>96</v>
      </c>
      <c r="C12" s="114"/>
      <c r="D12" s="28">
        <v>5496</v>
      </c>
      <c r="E12" s="28"/>
      <c r="F12" s="28">
        <v>2816.1</v>
      </c>
      <c r="G12" s="28">
        <v>5011</v>
      </c>
      <c r="H12" s="28">
        <f>625+1685</f>
        <v>2310</v>
      </c>
      <c r="I12" s="28">
        <v>2336</v>
      </c>
      <c r="J12" s="28">
        <f>20404.86+22619.6</f>
        <v>43024.46</v>
      </c>
      <c r="K12" s="28">
        <v>3672.64</v>
      </c>
      <c r="L12" s="47">
        <f t="shared" si="0"/>
        <v>64666.2</v>
      </c>
    </row>
    <row r="13" spans="2:12" ht="12.75">
      <c r="B13" s="69" t="s">
        <v>128</v>
      </c>
      <c r="C13" s="18" t="s">
        <v>129</v>
      </c>
      <c r="D13" s="28">
        <v>104</v>
      </c>
      <c r="E13" s="28"/>
      <c r="F13" s="28">
        <v>55</v>
      </c>
      <c r="G13" s="28" t="s">
        <v>42</v>
      </c>
      <c r="H13" s="28">
        <v>10</v>
      </c>
      <c r="I13" s="28"/>
      <c r="J13" s="28">
        <f>783+361.3</f>
        <v>1144.3</v>
      </c>
      <c r="K13" s="28">
        <v>120</v>
      </c>
      <c r="L13" s="47">
        <f t="shared" si="0"/>
        <v>1433.3</v>
      </c>
    </row>
    <row r="14" spans="2:12" ht="12.75">
      <c r="B14" s="117"/>
      <c r="C14" s="18" t="s">
        <v>130</v>
      </c>
      <c r="D14" s="28">
        <v>5176</v>
      </c>
      <c r="E14" s="28"/>
      <c r="F14" s="28">
        <v>2645</v>
      </c>
      <c r="G14" s="28">
        <v>5453</v>
      </c>
      <c r="H14" s="28">
        <f>46+500</f>
        <v>546</v>
      </c>
      <c r="I14" s="28"/>
      <c r="J14" s="28">
        <f>13294+13933.3</f>
        <v>27227.3</v>
      </c>
      <c r="K14" s="28">
        <v>1273</v>
      </c>
      <c r="L14" s="47">
        <f t="shared" si="0"/>
        <v>42320.3</v>
      </c>
    </row>
    <row r="15" spans="2:12" ht="12.75">
      <c r="B15" s="117"/>
      <c r="C15" s="18" t="s">
        <v>134</v>
      </c>
      <c r="D15" s="28">
        <v>87</v>
      </c>
      <c r="E15" s="28"/>
      <c r="F15" s="28">
        <v>70</v>
      </c>
      <c r="G15" s="28">
        <v>85</v>
      </c>
      <c r="H15" s="28">
        <v>260</v>
      </c>
      <c r="I15" s="28"/>
      <c r="J15" s="28">
        <f>719+515</f>
        <v>1234</v>
      </c>
      <c r="K15" s="28">
        <v>367</v>
      </c>
      <c r="L15" s="47">
        <f t="shared" si="0"/>
        <v>2103</v>
      </c>
    </row>
    <row r="16" spans="2:12" ht="12.75">
      <c r="B16" s="117"/>
      <c r="C16" s="18" t="s">
        <v>131</v>
      </c>
      <c r="D16" s="28">
        <v>50</v>
      </c>
      <c r="E16" s="28"/>
      <c r="F16" s="28" t="s">
        <v>42</v>
      </c>
      <c r="G16" s="28">
        <v>15</v>
      </c>
      <c r="H16" s="28">
        <f>125+400</f>
        <v>525</v>
      </c>
      <c r="I16" s="28">
        <v>1336</v>
      </c>
      <c r="J16" s="28">
        <f>2470+3240</f>
        <v>5710</v>
      </c>
      <c r="K16" s="28">
        <v>228</v>
      </c>
      <c r="L16" s="47">
        <f t="shared" si="0"/>
        <v>7864</v>
      </c>
    </row>
    <row r="17" spans="2:12" ht="12.75">
      <c r="B17" s="117"/>
      <c r="C17" s="18" t="s">
        <v>132</v>
      </c>
      <c r="D17" s="28">
        <v>24</v>
      </c>
      <c r="E17" s="28"/>
      <c r="F17" s="28" t="s">
        <v>42</v>
      </c>
      <c r="G17" s="28" t="s">
        <v>42</v>
      </c>
      <c r="H17" s="28">
        <v>10</v>
      </c>
      <c r="I17" s="28"/>
      <c r="J17" s="28">
        <f>191+1965</f>
        <v>2156</v>
      </c>
      <c r="K17" s="28">
        <v>161</v>
      </c>
      <c r="L17" s="47">
        <f t="shared" si="0"/>
        <v>2351</v>
      </c>
    </row>
    <row r="18" spans="2:12" ht="12.75">
      <c r="B18" s="117"/>
      <c r="C18" s="18" t="s">
        <v>133</v>
      </c>
      <c r="D18" s="28"/>
      <c r="E18" s="28"/>
      <c r="F18" s="28" t="s">
        <v>42</v>
      </c>
      <c r="G18" s="28" t="s">
        <v>42</v>
      </c>
      <c r="H18" s="28">
        <v>5</v>
      </c>
      <c r="I18" s="28"/>
      <c r="J18" s="28">
        <v>1020</v>
      </c>
      <c r="K18" s="28"/>
      <c r="L18" s="47">
        <f t="shared" si="0"/>
        <v>1025</v>
      </c>
    </row>
    <row r="19" spans="2:12" ht="12.75">
      <c r="B19" s="117"/>
      <c r="C19" s="18" t="s">
        <v>135</v>
      </c>
      <c r="D19" s="28"/>
      <c r="E19" s="28"/>
      <c r="F19" s="28" t="s">
        <v>42</v>
      </c>
      <c r="G19" s="28" t="s">
        <v>42</v>
      </c>
      <c r="H19" s="28" t="s">
        <v>42</v>
      </c>
      <c r="I19" s="28"/>
      <c r="J19" s="28"/>
      <c r="K19" s="28"/>
      <c r="L19" s="47">
        <f t="shared" si="0"/>
        <v>0</v>
      </c>
    </row>
    <row r="20" spans="2:12" ht="12.75">
      <c r="B20" s="117"/>
      <c r="C20" s="18" t="s">
        <v>136</v>
      </c>
      <c r="D20" s="28"/>
      <c r="E20" s="28"/>
      <c r="F20" s="28" t="s">
        <v>42</v>
      </c>
      <c r="G20" s="28" t="s">
        <v>42</v>
      </c>
      <c r="H20" s="28" t="s">
        <v>42</v>
      </c>
      <c r="I20" s="28"/>
      <c r="J20" s="28">
        <v>500</v>
      </c>
      <c r="K20" s="28"/>
      <c r="L20" s="47">
        <f t="shared" si="0"/>
        <v>500</v>
      </c>
    </row>
    <row r="21" spans="2:12" ht="12.75">
      <c r="B21" s="117"/>
      <c r="C21" s="18" t="s">
        <v>137</v>
      </c>
      <c r="D21" s="28">
        <v>15</v>
      </c>
      <c r="E21" s="28"/>
      <c r="F21" s="28">
        <v>42.6</v>
      </c>
      <c r="G21" s="28" t="s">
        <v>42</v>
      </c>
      <c r="H21" s="28" t="s">
        <v>42</v>
      </c>
      <c r="I21" s="28">
        <v>1000</v>
      </c>
      <c r="J21" s="28">
        <f>10+7</f>
        <v>17</v>
      </c>
      <c r="K21" s="28">
        <v>53</v>
      </c>
      <c r="L21" s="47">
        <f t="shared" si="0"/>
        <v>1127.6</v>
      </c>
    </row>
    <row r="22" spans="2:12" ht="12.75">
      <c r="B22" s="68"/>
      <c r="C22" s="18" t="s">
        <v>138</v>
      </c>
      <c r="D22" s="28">
        <v>40</v>
      </c>
      <c r="E22" s="28"/>
      <c r="F22" s="28">
        <v>3.5</v>
      </c>
      <c r="G22" s="28">
        <v>458</v>
      </c>
      <c r="H22" s="28">
        <f>40+500</f>
        <v>540</v>
      </c>
      <c r="I22" s="28"/>
      <c r="J22" s="28">
        <f>2316.6+1078</f>
        <v>3394.6</v>
      </c>
      <c r="K22" s="28">
        <v>20.64</v>
      </c>
      <c r="L22" s="47">
        <f t="shared" si="0"/>
        <v>4456.740000000001</v>
      </c>
    </row>
    <row r="23" spans="2:12" ht="25.5" customHeight="1">
      <c r="B23" s="115" t="s">
        <v>97</v>
      </c>
      <c r="C23" s="116"/>
      <c r="D23" s="28"/>
      <c r="E23" s="28"/>
      <c r="F23" s="28"/>
      <c r="G23" s="28" t="s">
        <v>42</v>
      </c>
      <c r="H23" s="28" t="s">
        <v>42</v>
      </c>
      <c r="I23" s="28"/>
      <c r="J23" s="28"/>
      <c r="K23" s="28"/>
      <c r="L23" s="47">
        <f t="shared" si="0"/>
        <v>0</v>
      </c>
    </row>
    <row r="24" spans="2:12" ht="24.75" customHeight="1">
      <c r="B24" s="103" t="s">
        <v>98</v>
      </c>
      <c r="C24" s="104"/>
      <c r="D24" s="28"/>
      <c r="E24" s="28"/>
      <c r="F24" s="28"/>
      <c r="G24" s="28" t="s">
        <v>42</v>
      </c>
      <c r="H24" s="28" t="s">
        <v>42</v>
      </c>
      <c r="I24" s="28"/>
      <c r="J24" s="28"/>
      <c r="K24" s="28"/>
      <c r="L24" s="47">
        <f t="shared" si="0"/>
        <v>0</v>
      </c>
    </row>
    <row r="25" spans="2:12" ht="25.5" customHeight="1">
      <c r="B25" s="103" t="s">
        <v>99</v>
      </c>
      <c r="C25" s="104"/>
      <c r="D25" s="28"/>
      <c r="E25" s="28"/>
      <c r="F25" s="28"/>
      <c r="G25" s="28" t="s">
        <v>42</v>
      </c>
      <c r="H25" s="28" t="s">
        <v>42</v>
      </c>
      <c r="I25" s="28"/>
      <c r="J25" s="28">
        <f>79801+38080</f>
        <v>117881</v>
      </c>
      <c r="K25" s="28">
        <v>100</v>
      </c>
      <c r="L25" s="47">
        <f t="shared" si="0"/>
        <v>117981</v>
      </c>
    </row>
    <row r="26" spans="2:12" ht="26.25" customHeight="1">
      <c r="B26" s="103" t="s">
        <v>100</v>
      </c>
      <c r="C26" s="104"/>
      <c r="D26" s="28"/>
      <c r="E26" s="28"/>
      <c r="F26" s="28">
        <v>40</v>
      </c>
      <c r="G26" s="28" t="s">
        <v>42</v>
      </c>
      <c r="H26" s="28" t="s">
        <v>42</v>
      </c>
      <c r="I26" s="28"/>
      <c r="J26" s="28">
        <v>5</v>
      </c>
      <c r="K26" s="28">
        <v>106</v>
      </c>
      <c r="L26" s="47">
        <f>SUM(D26:K26)</f>
        <v>151</v>
      </c>
    </row>
    <row r="27" spans="2:12" ht="24.75" customHeight="1">
      <c r="B27" s="103" t="s">
        <v>101</v>
      </c>
      <c r="C27" s="104"/>
      <c r="D27" s="28"/>
      <c r="E27" s="28"/>
      <c r="F27" s="28"/>
      <c r="G27" s="28" t="s">
        <v>42</v>
      </c>
      <c r="H27" s="28" t="s">
        <v>42</v>
      </c>
      <c r="I27" s="28"/>
      <c r="J27" s="28"/>
      <c r="K27" s="28"/>
      <c r="L27" s="47">
        <f aca="true" t="shared" si="1" ref="L27:L32">SUM(D27:K27)</f>
        <v>0</v>
      </c>
    </row>
    <row r="28" spans="2:12" ht="25.5" customHeight="1">
      <c r="B28" s="103" t="s">
        <v>102</v>
      </c>
      <c r="C28" s="104"/>
      <c r="D28" s="28"/>
      <c r="E28" s="28"/>
      <c r="F28" s="28"/>
      <c r="G28" s="28" t="s">
        <v>42</v>
      </c>
      <c r="H28" s="28" t="s">
        <v>42</v>
      </c>
      <c r="I28" s="28"/>
      <c r="J28" s="28"/>
      <c r="K28" s="28"/>
      <c r="L28" s="47">
        <f t="shared" si="1"/>
        <v>0</v>
      </c>
    </row>
    <row r="29" spans="2:12" ht="26.25" customHeight="1">
      <c r="B29" s="103" t="s">
        <v>103</v>
      </c>
      <c r="C29" s="104"/>
      <c r="D29" s="28"/>
      <c r="E29" s="28"/>
      <c r="F29" s="28"/>
      <c r="G29" s="28" t="s">
        <v>42</v>
      </c>
      <c r="H29" s="28" t="s">
        <v>42</v>
      </c>
      <c r="I29" s="28"/>
      <c r="J29" s="28"/>
      <c r="K29" s="28"/>
      <c r="L29" s="47">
        <f t="shared" si="1"/>
        <v>0</v>
      </c>
    </row>
    <row r="30" spans="2:12" ht="13.5" customHeight="1">
      <c r="B30" s="103" t="s">
        <v>104</v>
      </c>
      <c r="C30" s="104"/>
      <c r="D30" s="28"/>
      <c r="E30" s="28"/>
      <c r="F30" s="28">
        <v>10</v>
      </c>
      <c r="G30" s="28" t="s">
        <v>42</v>
      </c>
      <c r="H30" s="28" t="s">
        <v>42</v>
      </c>
      <c r="I30" s="28"/>
      <c r="J30" s="28"/>
      <c r="K30" s="28"/>
      <c r="L30" s="47">
        <f t="shared" si="1"/>
        <v>10</v>
      </c>
    </row>
    <row r="31" spans="2:12" ht="13.5" customHeight="1" thickBot="1">
      <c r="B31" s="111" t="s">
        <v>160</v>
      </c>
      <c r="C31" s="112"/>
      <c r="D31" s="48"/>
      <c r="E31" s="48"/>
      <c r="F31" s="48"/>
      <c r="G31" s="48" t="s">
        <v>42</v>
      </c>
      <c r="H31" s="48" t="s">
        <v>42</v>
      </c>
      <c r="I31" s="48"/>
      <c r="J31" s="48">
        <f>26198-6450</f>
        <v>19748</v>
      </c>
      <c r="K31" s="48">
        <v>170</v>
      </c>
      <c r="L31" s="49">
        <f t="shared" si="1"/>
        <v>19918</v>
      </c>
    </row>
    <row r="32" spans="2:12" ht="21" customHeight="1" thickBot="1">
      <c r="B32" s="109" t="s">
        <v>105</v>
      </c>
      <c r="C32" s="110"/>
      <c r="D32" s="50">
        <f>D7+D12+D23+D24+D25+D26+D27+D28+D29+D30+D31</f>
        <v>6277</v>
      </c>
      <c r="E32" s="50">
        <f>E7+E12+E23+E24+E25+E26+E27+E28+E29+E30+E31</f>
        <v>0</v>
      </c>
      <c r="F32" s="50">
        <f>F7+F12+F23+F24+F25+F26+F27+F28+F29+F30+F31</f>
        <v>5016.1</v>
      </c>
      <c r="G32" s="50">
        <v>6721</v>
      </c>
      <c r="H32" s="50">
        <f>2480+2005</f>
        <v>4485</v>
      </c>
      <c r="I32" s="50">
        <v>2664</v>
      </c>
      <c r="J32" s="50">
        <f>J7+J12+J23+J24+J25+J26+J27+J28+J29+J30+J31</f>
        <v>188786.86</v>
      </c>
      <c r="K32" s="50">
        <f>K7+K12+K23+K24+K25+K26+K27+K28+K29+K30+K31</f>
        <v>8064.74</v>
      </c>
      <c r="L32" s="51">
        <f t="shared" si="1"/>
        <v>222014.69999999998</v>
      </c>
    </row>
  </sheetData>
  <mergeCells count="19">
    <mergeCell ref="B28:C28"/>
    <mergeCell ref="B27:C27"/>
    <mergeCell ref="B12:C12"/>
    <mergeCell ref="B23:C23"/>
    <mergeCell ref="B24:C24"/>
    <mergeCell ref="B25:C25"/>
    <mergeCell ref="B13:B22"/>
    <mergeCell ref="B32:C32"/>
    <mergeCell ref="B31:C31"/>
    <mergeCell ref="B30:C30"/>
    <mergeCell ref="B29:C29"/>
    <mergeCell ref="B8:B11"/>
    <mergeCell ref="B3:L3"/>
    <mergeCell ref="K1:L1"/>
    <mergeCell ref="B26:C26"/>
    <mergeCell ref="D5:K5"/>
    <mergeCell ref="L5:L6"/>
    <mergeCell ref="B5:C6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shadow</cp:lastModifiedBy>
  <cp:lastPrinted>2005-09-06T09:20:16Z</cp:lastPrinted>
  <dcterms:created xsi:type="dcterms:W3CDTF">2006-01-20T20:01:25Z</dcterms:created>
  <dcterms:modified xsi:type="dcterms:W3CDTF">2005-10-10T07:09:08Z</dcterms:modified>
  <cp:category/>
  <cp:version/>
  <cp:contentType/>
  <cp:contentStatus/>
</cp:coreProperties>
</file>