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<sst xmlns="http://schemas.openxmlformats.org/spreadsheetml/2006/main" count="158" uniqueCount="129">
  <si>
    <t>(v Sk)</t>
  </si>
  <si>
    <t>Trieda                                                                                 podtrieda</t>
  </si>
  <si>
    <t>600                     Bežné            výdavky spolu</t>
  </si>
  <si>
    <t>610                    Mzdy, platy,            sl. príjmy a OOV</t>
  </si>
  <si>
    <t>620                     Poistné a prísp.            do pooisťovní</t>
  </si>
  <si>
    <t>630                 Tovary                       a služby</t>
  </si>
  <si>
    <t>640                                 Bežné                transfery                   spolu</t>
  </si>
  <si>
    <t>640                                  Bežné transf. rozp. organizácií</t>
  </si>
  <si>
    <t>640 BT a 644 Transfery nefin. subjektom</t>
  </si>
  <si>
    <t>01.1.3     Zahraničná oblasť ( účasť v medz. organizáciách)</t>
  </si>
  <si>
    <t xml:space="preserve">02.1.0     Vojenská obrana, 02.1.0.3 Hospodárska mobilizácia </t>
  </si>
  <si>
    <t>03.6.0.7  Železničná polícia</t>
  </si>
  <si>
    <t>04.5     DOPRAVA, z toho: 04.5.1 Cestná doprava</t>
  </si>
  <si>
    <t>Pren. výkon</t>
  </si>
  <si>
    <t xml:space="preserve">            KÚ pre cestnú dopravu a pozemné komunikácie</t>
  </si>
  <si>
    <t>z toho: KÚ pre CD a PK Bratislava</t>
  </si>
  <si>
    <t>z toho: KÚ pre CD a PK Trnava</t>
  </si>
  <si>
    <t>z toho: KÚ pre CD a PK Nitra</t>
  </si>
  <si>
    <t>z toho: KÚ pre CD a PK Trenčín</t>
  </si>
  <si>
    <t>z toho: KÚ pre CD a PK Banská Bystrica</t>
  </si>
  <si>
    <t>z toho: KÚ pre CD a PK Žilina</t>
  </si>
  <si>
    <t>z toho: KÚ pre CD a PK Prešov</t>
  </si>
  <si>
    <t>z toho: KÚ pre CD a PK Košice</t>
  </si>
  <si>
    <t>04.5.1.1 MDPT - Aparát MDPT SR</t>
  </si>
  <si>
    <t>04.5.1.1 Dočasne alokované zdroje PO 2007-2013 - PJ</t>
  </si>
  <si>
    <t>04.5.1.1 Technická pomoc - ERDF 1. PO</t>
  </si>
  <si>
    <t>04.5.1.1 Technická pomoc - Spolufin. ERDF 1. PO</t>
  </si>
  <si>
    <t>04.5.1.1 Technická pomoc - ERDF 2. PO</t>
  </si>
  <si>
    <t>04.5.1.1 Technická pomoc - Spolufin. ERDF 2. PO</t>
  </si>
  <si>
    <t>04.5.1.1 PJ - Technická pomoc - ERDF 1. PO</t>
  </si>
  <si>
    <t>04.5.1.1 PJ - Technická pomoc - Spolufin. ERDF 1. PO</t>
  </si>
  <si>
    <t>04.5.1.1 PJ - Technická pomoc - ERDF 2. PO</t>
  </si>
  <si>
    <t>04.5.1.1 PJ - Technická pomoc - Spolufin. ERDF 2. PO</t>
  </si>
  <si>
    <t>04.5.1.2 Údržba a oprava ciest I. tr. a diaľ. privádz. (SSC)</t>
  </si>
  <si>
    <t>04.5.1.2 Údržba a oprava diaľnic a rýchlost. ciest (NDS,a.s.)</t>
  </si>
  <si>
    <t>04.5.1.4 Slovenská správa ciest</t>
  </si>
  <si>
    <t>04.5     DOPRAVA, z toho: 04.5.2 Vodná doprava</t>
  </si>
  <si>
    <t>04.5.2.1 Štátna plavebná správa</t>
  </si>
  <si>
    <t>04.5     DOPRAVA, z toho: 04.5.3 Železničná doprava</t>
  </si>
  <si>
    <t>z toho:   Železničná spoločnosť Slovensko, a. s. (BT, ZVVZ)</t>
  </si>
  <si>
    <t>z toho:   ŽS Slovensko, a.s. - Podpora obrany</t>
  </si>
  <si>
    <t>z toho:   Železnice SR (BT, ZVVZ)</t>
  </si>
  <si>
    <t>z toho:   Železnice SR - Podpora obrany</t>
  </si>
  <si>
    <t xml:space="preserve">z toho:   Úrad pre reguláciu železničnej dopravy  </t>
  </si>
  <si>
    <t xml:space="preserve">              z toho: Zrušená Technická ochrana a obnova železníc</t>
  </si>
  <si>
    <t>04.5     DOPRAVA, z toho: 04.5.4 Letecká doprava</t>
  </si>
  <si>
    <t>z toho: Dotácie v leteckej doprave</t>
  </si>
  <si>
    <t>z toho: Dotácie v leteckej doprave - Podpora obrany</t>
  </si>
  <si>
    <t>z toho: Letecký úrad SR</t>
  </si>
  <si>
    <r>
      <t xml:space="preserve">04.5     DOPRAVA,z toho: 04.5.5 Iná doprava </t>
    </r>
    <r>
      <rPr>
        <sz val="11"/>
        <rFont val="Arial CE"/>
        <family val="2"/>
      </rPr>
      <t>(Komb. doprava)</t>
    </r>
  </si>
  <si>
    <t>0.4.6    KOMUNIKÁCIE, 04.6.0 Komunikácie</t>
  </si>
  <si>
    <t>z toho: Telekomunikačný úrad SR</t>
  </si>
  <si>
    <t>z toho: Poštový regulačný úrad Žilina</t>
  </si>
  <si>
    <t xml:space="preserve">04.8.5  Výskum a vývoj v oblasti dopravy                   </t>
  </si>
  <si>
    <t xml:space="preserve">04.8.6  Výskum a vývoj v oblasti komunikácií                     </t>
  </si>
  <si>
    <t xml:space="preserve">            Výskum a vývoj v oblasti komunikácií - Podpora obrany                  </t>
  </si>
  <si>
    <t>07.2.1  Všeobecné lekárske služby (Úrad verej. zdravotníctva)</t>
  </si>
  <si>
    <t>09.8.0  Vzdelávanie inde neklasifikované</t>
  </si>
  <si>
    <t>REZORT DOPRAVY SPOLU:</t>
  </si>
  <si>
    <t>Spracované podľa rozpisového listu MF SR č. MF/030247/2007-441 zo 07.01.2008</t>
  </si>
  <si>
    <t>Trieda                                                                                                    podtrieda</t>
  </si>
  <si>
    <t>700 Kapitálové výdavky</t>
  </si>
  <si>
    <t>710 Obstarávanie kapitálových aktív</t>
  </si>
  <si>
    <t>720 KT a 723 Trans. nefin. subjektom</t>
  </si>
  <si>
    <t>Bežné a kapitálové výdavky spolu</t>
  </si>
  <si>
    <t>Prostriedky z rozpočtu EÚ</t>
  </si>
  <si>
    <t>Spolufin. zo ŠR</t>
  </si>
  <si>
    <t>04.5     DOPRAVA, z toho: 04.5.1. Cestná doprava</t>
  </si>
  <si>
    <t xml:space="preserve"> </t>
  </si>
  <si>
    <t>04.5.1.1 Dočasne alokované zdroje PO 2007-2013</t>
  </si>
  <si>
    <t>2. PO</t>
  </si>
  <si>
    <t>04.5.1.1 Tech. pomoc - ERDF 1. PO</t>
  </si>
  <si>
    <t>04.5.1.1 Tech. pomoc - Spolufin. ERDF 1. PO</t>
  </si>
  <si>
    <t>04.5.1.1 Tech. pomoc - ERDF 2. PO</t>
  </si>
  <si>
    <t>04.5.1.1 Tech. pomoc - Spolufin. ERDF 2. PO</t>
  </si>
  <si>
    <t>04.5.1.1 PJ - Tech. pomoc - ERDF 1. PO</t>
  </si>
  <si>
    <t>04.5.1.1 PJ - Tech. pomoc - Spolufin. ERDF 1. PO</t>
  </si>
  <si>
    <t>04.5.1.1 PJ - Tech. pomoc - ERDF 2. PO</t>
  </si>
  <si>
    <t>04.5.1.1 PJ - Tech. pomoc - Spolufin. ERDF 2. PO</t>
  </si>
  <si>
    <t>04.5.1.2 Výstavba diaľnic, rýchlostných ciest a ciest I. triedy</t>
  </si>
  <si>
    <t>z toho:   Výstavba ciest I. tr. a diaľničných privádzačov (SSC)</t>
  </si>
  <si>
    <t>z toho:   Výstavba ciest I. tr. a diaľ priv. (SSC) EÚ 1. PO</t>
  </si>
  <si>
    <t>z toho:   Výstavba ciest I. tr. a diaľ priv. (SSC) Spolufin. 1. PO</t>
  </si>
  <si>
    <t>z toho:   Výstavba ciest I. tr. a diaľ priv. (SSC) EÚ 2. PO</t>
  </si>
  <si>
    <t>z toho:   Výstavba ciest I. tr. a diaľ priv. (SSC) Spolufin. 2. PO</t>
  </si>
  <si>
    <t>z toho:   Výstavba diaľnic a rýchlostných ciest (NDS, a.s.)</t>
  </si>
  <si>
    <t>z toho:   Projekty PPP</t>
  </si>
  <si>
    <t>z toho:   Podpora obrany (SSC)</t>
  </si>
  <si>
    <t>z toho:   PJ - SSC         - ERDF 1. PO</t>
  </si>
  <si>
    <t>z toho:   PJ - SSC         - Spolufin. ERDF 1. PO</t>
  </si>
  <si>
    <t>z toho:   PJ - SSC         - ERDF 2. PO</t>
  </si>
  <si>
    <t>z toho:   PJ - SSC         - Spolufin. ERDF 2. PO</t>
  </si>
  <si>
    <t>z toho:   PJ - NDS, a.s. - ERDF 1. PO</t>
  </si>
  <si>
    <t>z toho:   PJ - NDS, a.s. - Spolufin. ERDF 1. PO</t>
  </si>
  <si>
    <t>z toho:   PJ - NDS, a.s. - ERDF 2. PO</t>
  </si>
  <si>
    <t>z toho:   PJ - NDS, a.s. - Spolufin. ERDF 2. PO</t>
  </si>
  <si>
    <t>z toho:   PJ - NDS, a.s. - Kohézny fond 1. PO</t>
  </si>
  <si>
    <t>z toho:   PJ - NDS, a.s. - spolufinancovanie KF 1. PO</t>
  </si>
  <si>
    <t>z toho:   PJ - NDS, a.s. - Kohézny fond 2. PO</t>
  </si>
  <si>
    <t>z toho:   PJ - NDS, a.s. - spolufinancovanie KF 2. PO</t>
  </si>
  <si>
    <t>z toho: ŽS Slovensko, a.s. - BT, ZVVZ</t>
  </si>
  <si>
    <t>z toho: ŽS Slovensko, a.s. - Podpora obrany</t>
  </si>
  <si>
    <t>z toho: PJ - ŽSS, a.s. - ERDF 2. PO (mobil. park)</t>
  </si>
  <si>
    <t>z toho: PJ - ŽSS, a.s. - spolufin. ERDF 2. PO</t>
  </si>
  <si>
    <t>z toho: Železnice SR         - BT, ZVVZ</t>
  </si>
  <si>
    <t>z toho: Železnice SR         - Podpora obrany</t>
  </si>
  <si>
    <t>z toho: PJ - Železnice SR - ERDF 1. PO</t>
  </si>
  <si>
    <t>z toho: PJ - Železnice SR - spolufin. ERDF 1. PO</t>
  </si>
  <si>
    <t>z toho: PJ - Železnice SR - ERDF 2. PO</t>
  </si>
  <si>
    <t>z toho: PJ - Železnice SR - spolufin. ERDF 2. PO</t>
  </si>
  <si>
    <t>z toho: PJ - Železnice SR - KF 1. PO (Piešťany - N. Mesto n/V)</t>
  </si>
  <si>
    <t>z toho: PJ - Železnice SR - spolufinancovanie KF 1. PO</t>
  </si>
  <si>
    <t>z toho: PJ - Železnice SR - Kohézny fond 2. PO</t>
  </si>
  <si>
    <t>z toho: PJ - Železnice SR - spolufinancovanie KF 2. PO</t>
  </si>
  <si>
    <t>z toho: Železnice SR - prostr. zo ŠR (ostatné investičné akcie)</t>
  </si>
  <si>
    <t xml:space="preserve">z toho: Úrad pre reguláciu železničnej dopravy  </t>
  </si>
  <si>
    <t>z toho: PJ - Letiskové spoločnosti - ERDF 1. PO</t>
  </si>
  <si>
    <t xml:space="preserve">z toho: PJ - Letiskové spoločnosti - spoluf. ERDF 1. PO </t>
  </si>
  <si>
    <t>z toho: PJ - Intermodálna doprava - ERDF 2. PO</t>
  </si>
  <si>
    <t>z toho: PJ - Intermodálna doprava - spolufin. ERDF 2. PO</t>
  </si>
  <si>
    <t xml:space="preserve">04.8.5  Výskum a vývoj v oblasti dopravy              </t>
  </si>
  <si>
    <t xml:space="preserve">            Výskum a vývoj v oblasti komunikácií - Podpora obrany              </t>
  </si>
  <si>
    <t>Modernizáca železničných koridorov - ŽSR - ISPA</t>
  </si>
  <si>
    <t xml:space="preserve">ISPA </t>
  </si>
  <si>
    <t>VPS</t>
  </si>
  <si>
    <t xml:space="preserve">Projekty SPOLU: </t>
  </si>
  <si>
    <t>2002 SK 16 P PA 006 Technická pomoc dopravné projekty</t>
  </si>
  <si>
    <t>2003 SK 16 P PA 011 Odb. pomoc pre dopravné projekty kofin.z EÚ</t>
  </si>
  <si>
    <t>Príloha č. 5 - Schválený rozpočet výdavkov kapitoly Ministerstva dopravy, pôšt a telekomunikácií SR na rok 2008 k 01.01.2008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</si>
</sst>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0"/>
      <name val="Arial"/>
      <family val="0"/>
    </font>
    <font>
      <b/>
      <sz val="16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0"/>
    </font>
    <font>
      <b/>
      <sz val="13"/>
      <name val="Arial Narrow"/>
      <family val="2"/>
    </font>
    <font>
      <sz val="13"/>
      <name val="Arial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0" borderId="34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vertical="center"/>
    </xf>
    <xf numFmtId="4" fontId="5" fillId="0" borderId="36" xfId="0" applyNumberFormat="1" applyFont="1" applyFill="1" applyBorder="1" applyAlignment="1">
      <alignment vertical="center"/>
    </xf>
    <xf numFmtId="16" fontId="4" fillId="3" borderId="37" xfId="0" applyNumberFormat="1" applyFont="1" applyFill="1" applyBorder="1" applyAlignment="1">
      <alignment vertical="center"/>
    </xf>
    <xf numFmtId="4" fontId="4" fillId="3" borderId="37" xfId="0" applyNumberFormat="1" applyFont="1" applyFill="1" applyBorder="1" applyAlignment="1">
      <alignment vertical="center"/>
    </xf>
    <xf numFmtId="4" fontId="5" fillId="3" borderId="38" xfId="0" applyNumberFormat="1" applyFont="1" applyFill="1" applyBorder="1" applyAlignment="1">
      <alignment vertical="center"/>
    </xf>
    <xf numFmtId="4" fontId="5" fillId="3" borderId="39" xfId="0" applyNumberFormat="1" applyFont="1" applyFill="1" applyBorder="1" applyAlignment="1">
      <alignment vertical="center"/>
    </xf>
    <xf numFmtId="4" fontId="4" fillId="3" borderId="39" xfId="0" applyNumberFormat="1" applyFont="1" applyFill="1" applyBorder="1" applyAlignment="1">
      <alignment vertical="center"/>
    </xf>
    <xf numFmtId="4" fontId="5" fillId="3" borderId="4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6" fontId="5" fillId="4" borderId="18" xfId="0" applyNumberFormat="1" applyFont="1" applyFill="1" applyBorder="1" applyAlignment="1">
      <alignment vertical="center"/>
    </xf>
    <xf numFmtId="4" fontId="4" fillId="4" borderId="18" xfId="0" applyNumberFormat="1" applyFont="1" applyFill="1" applyBorder="1" applyAlignment="1">
      <alignment vertical="center"/>
    </xf>
    <xf numFmtId="4" fontId="5" fillId="4" borderId="20" xfId="0" applyNumberFormat="1" applyFont="1" applyFill="1" applyBorder="1" applyAlignment="1">
      <alignment vertical="center"/>
    </xf>
    <xf numFmtId="4" fontId="5" fillId="4" borderId="21" xfId="0" applyNumberFormat="1" applyFont="1" applyFill="1" applyBorder="1" applyAlignment="1">
      <alignment vertical="center"/>
    </xf>
    <xf numFmtId="4" fontId="5" fillId="4" borderId="23" xfId="0" applyNumberFormat="1" applyFont="1" applyFill="1" applyBorder="1" applyAlignment="1">
      <alignment vertical="center"/>
    </xf>
    <xf numFmtId="4" fontId="4" fillId="4" borderId="21" xfId="0" applyNumberFormat="1" applyFont="1" applyFill="1" applyBorder="1" applyAlignment="1">
      <alignment vertical="center"/>
    </xf>
    <xf numFmtId="4" fontId="5" fillId="4" borderId="24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" fontId="5" fillId="0" borderId="18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16" fontId="5" fillId="0" borderId="25" xfId="0" applyNumberFormat="1" applyFont="1" applyFill="1" applyBorder="1" applyAlignment="1">
      <alignment vertical="center"/>
    </xf>
    <xf numFmtId="4" fontId="5" fillId="0" borderId="41" xfId="0" applyNumberFormat="1" applyFont="1" applyFill="1" applyBorder="1" applyAlignment="1">
      <alignment vertical="center"/>
    </xf>
    <xf numFmtId="16" fontId="5" fillId="0" borderId="7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" fontId="5" fillId="0" borderId="31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5" fillId="4" borderId="26" xfId="0" applyNumberFormat="1" applyFont="1" applyFill="1" applyBorder="1" applyAlignment="1">
      <alignment vertical="center"/>
    </xf>
    <xf numFmtId="4" fontId="5" fillId="4" borderId="27" xfId="0" applyNumberFormat="1" applyFont="1" applyFill="1" applyBorder="1" applyAlignment="1">
      <alignment vertical="center"/>
    </xf>
    <xf numFmtId="4" fontId="5" fillId="4" borderId="28" xfId="0" applyNumberFormat="1" applyFont="1" applyFill="1" applyBorder="1" applyAlignment="1">
      <alignment vertical="center"/>
    </xf>
    <xf numFmtId="4" fontId="4" fillId="4" borderId="27" xfId="0" applyNumberFormat="1" applyFont="1" applyFill="1" applyBorder="1" applyAlignment="1">
      <alignment vertical="center"/>
    </xf>
    <xf numFmtId="4" fontId="5" fillId="4" borderId="42" xfId="0" applyNumberFormat="1" applyFont="1" applyFill="1" applyBorder="1" applyAlignment="1">
      <alignment vertical="center"/>
    </xf>
    <xf numFmtId="4" fontId="5" fillId="4" borderId="41" xfId="0" applyNumberFormat="1" applyFont="1" applyFill="1" applyBorder="1" applyAlignment="1">
      <alignment vertical="center"/>
    </xf>
    <xf numFmtId="4" fontId="5" fillId="4" borderId="20" xfId="0" applyNumberFormat="1" applyFont="1" applyFill="1" applyBorder="1" applyAlignment="1">
      <alignment vertical="center"/>
    </xf>
    <xf numFmtId="4" fontId="5" fillId="4" borderId="22" xfId="0" applyNumberFormat="1" applyFont="1" applyFill="1" applyBorder="1" applyAlignment="1">
      <alignment vertical="center"/>
    </xf>
    <xf numFmtId="4" fontId="5" fillId="4" borderId="23" xfId="0" applyNumberFormat="1" applyFont="1" applyFill="1" applyBorder="1" applyAlignment="1">
      <alignment vertical="center"/>
    </xf>
    <xf numFmtId="4" fontId="5" fillId="4" borderId="24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5" fillId="0" borderId="42" xfId="0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42" xfId="0" applyNumberFormat="1" applyFont="1" applyFill="1" applyBorder="1" applyAlignment="1">
      <alignment vertical="center"/>
    </xf>
    <xf numFmtId="4" fontId="5" fillId="0" borderId="41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4" fillId="4" borderId="27" xfId="0" applyNumberFormat="1" applyFont="1" applyFill="1" applyBorder="1" applyAlignment="1">
      <alignment vertical="center"/>
    </xf>
    <xf numFmtId="4" fontId="5" fillId="4" borderId="21" xfId="0" applyNumberFormat="1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4" fontId="5" fillId="3" borderId="43" xfId="0" applyNumberFormat="1" applyFont="1" applyFill="1" applyBorder="1" applyAlignment="1">
      <alignment vertical="center"/>
    </xf>
    <xf numFmtId="4" fontId="5" fillId="3" borderId="44" xfId="0" applyNumberFormat="1" applyFont="1" applyFill="1" applyBorder="1" applyAlignment="1">
      <alignment vertical="center"/>
    </xf>
    <xf numFmtId="4" fontId="4" fillId="3" borderId="4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4" fontId="5" fillId="4" borderId="8" xfId="0" applyNumberFormat="1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vertical="center"/>
    </xf>
    <xf numFmtId="4" fontId="5" fillId="4" borderId="0" xfId="0" applyNumberFormat="1" applyFont="1" applyFill="1" applyBorder="1" applyAlignment="1">
      <alignment vertical="center"/>
    </xf>
    <xf numFmtId="4" fontId="5" fillId="4" borderId="11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3" borderId="44" xfId="0" applyNumberFormat="1" applyFont="1" applyFill="1" applyBorder="1" applyAlignment="1">
      <alignment vertical="center"/>
    </xf>
    <xf numFmtId="4" fontId="4" fillId="3" borderId="4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5" borderId="37" xfId="0" applyFont="1" applyFill="1" applyBorder="1" applyAlignment="1">
      <alignment vertical="center"/>
    </xf>
    <xf numFmtId="4" fontId="4" fillId="5" borderId="37" xfId="0" applyNumberFormat="1" applyFont="1" applyFill="1" applyBorder="1" applyAlignment="1">
      <alignment vertical="center"/>
    </xf>
    <xf numFmtId="4" fontId="5" fillId="5" borderId="38" xfId="0" applyNumberFormat="1" applyFont="1" applyFill="1" applyBorder="1" applyAlignment="1">
      <alignment vertical="center"/>
    </xf>
    <xf numFmtId="4" fontId="5" fillId="5" borderId="43" xfId="0" applyNumberFormat="1" applyFont="1" applyFill="1" applyBorder="1" applyAlignment="1">
      <alignment vertical="center"/>
    </xf>
    <xf numFmtId="4" fontId="5" fillId="5" borderId="44" xfId="0" applyNumberFormat="1" applyFont="1" applyFill="1" applyBorder="1" applyAlignment="1">
      <alignment vertical="center"/>
    </xf>
    <xf numFmtId="4" fontId="4" fillId="5" borderId="43" xfId="0" applyNumberFormat="1" applyFont="1" applyFill="1" applyBorder="1" applyAlignment="1">
      <alignment vertical="center"/>
    </xf>
    <xf numFmtId="4" fontId="5" fillId="5" borderId="40" xfId="0" applyNumberFormat="1" applyFont="1" applyFill="1" applyBorder="1" applyAlignment="1">
      <alignment vertical="center"/>
    </xf>
    <xf numFmtId="0" fontId="5" fillId="6" borderId="25" xfId="0" applyFont="1" applyFill="1" applyBorder="1" applyAlignment="1">
      <alignment vertical="center" wrapText="1"/>
    </xf>
    <xf numFmtId="4" fontId="4" fillId="6" borderId="25" xfId="0" applyNumberFormat="1" applyFont="1" applyFill="1" applyBorder="1" applyAlignment="1">
      <alignment vertical="center"/>
    </xf>
    <xf numFmtId="4" fontId="5" fillId="6" borderId="26" xfId="0" applyNumberFormat="1" applyFont="1" applyFill="1" applyBorder="1" applyAlignment="1">
      <alignment vertical="center"/>
    </xf>
    <xf numFmtId="4" fontId="5" fillId="6" borderId="21" xfId="0" applyNumberFormat="1" applyFont="1" applyFill="1" applyBorder="1" applyAlignment="1">
      <alignment vertical="center"/>
    </xf>
    <xf numFmtId="4" fontId="5" fillId="6" borderId="28" xfId="0" applyNumberFormat="1" applyFont="1" applyFill="1" applyBorder="1" applyAlignment="1">
      <alignment vertical="center"/>
    </xf>
    <xf numFmtId="4" fontId="4" fillId="6" borderId="21" xfId="0" applyNumberFormat="1" applyFont="1" applyFill="1" applyBorder="1" applyAlignment="1">
      <alignment vertical="center"/>
    </xf>
    <xf numFmtId="4" fontId="5" fillId="6" borderId="42" xfId="0" applyNumberFormat="1" applyFont="1" applyFill="1" applyBorder="1" applyAlignment="1">
      <alignment vertical="center"/>
    </xf>
    <xf numFmtId="4" fontId="5" fillId="6" borderId="41" xfId="0" applyNumberFormat="1" applyFont="1" applyFill="1" applyBorder="1" applyAlignment="1">
      <alignment vertical="center"/>
    </xf>
    <xf numFmtId="4" fontId="5" fillId="6" borderId="27" xfId="0" applyNumberFormat="1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14" fontId="5" fillId="6" borderId="31" xfId="0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4" fontId="4" fillId="2" borderId="37" xfId="0" applyNumberFormat="1" applyFont="1" applyFill="1" applyBorder="1" applyAlignment="1">
      <alignment vertical="center"/>
    </xf>
    <xf numFmtId="4" fontId="4" fillId="2" borderId="46" xfId="0" applyNumberFormat="1" applyFont="1" applyFill="1" applyBorder="1" applyAlignment="1">
      <alignment vertical="center"/>
    </xf>
    <xf numFmtId="4" fontId="4" fillId="2" borderId="38" xfId="0" applyNumberFormat="1" applyFont="1" applyFill="1" applyBorder="1" applyAlignment="1">
      <alignment vertical="center"/>
    </xf>
    <xf numFmtId="4" fontId="4" fillId="2" borderId="43" xfId="0" applyNumberFormat="1" applyFont="1" applyFill="1" applyBorder="1" applyAlignment="1">
      <alignment vertical="center"/>
    </xf>
    <xf numFmtId="4" fontId="4" fillId="2" borderId="47" xfId="0" applyNumberFormat="1" applyFont="1" applyFill="1" applyBorder="1" applyAlignment="1">
      <alignment vertical="center"/>
    </xf>
    <xf numFmtId="4" fontId="4" fillId="2" borderId="4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4" fontId="11" fillId="2" borderId="37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4" fontId="4" fillId="3" borderId="38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" fontId="4" fillId="4" borderId="19" xfId="0" applyNumberFormat="1" applyFon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/>
    </xf>
    <xf numFmtId="4" fontId="5" fillId="4" borderId="49" xfId="0" applyNumberFormat="1" applyFont="1" applyFill="1" applyBorder="1" applyAlignment="1">
      <alignment vertical="center"/>
    </xf>
    <xf numFmtId="4" fontId="5" fillId="4" borderId="5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5" fillId="4" borderId="18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14" fillId="0" borderId="25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4" fontId="14" fillId="0" borderId="18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4" fontId="5" fillId="4" borderId="51" xfId="0" applyNumberFormat="1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" fontId="6" fillId="4" borderId="4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4" fontId="5" fillId="0" borderId="53" xfId="0" applyNumberFormat="1" applyFont="1" applyFill="1" applyBorder="1" applyAlignment="1">
      <alignment vertical="center"/>
    </xf>
    <xf numFmtId="4" fontId="5" fillId="0" borderId="54" xfId="0" applyNumberFormat="1" applyFont="1" applyFill="1" applyBorder="1" applyAlignment="1">
      <alignment vertical="center"/>
    </xf>
    <xf numFmtId="4" fontId="5" fillId="3" borderId="38" xfId="0" applyNumberFormat="1" applyFont="1" applyFill="1" applyBorder="1" applyAlignment="1">
      <alignment vertical="center"/>
    </xf>
    <xf numFmtId="4" fontId="5" fillId="3" borderId="40" xfId="0" applyNumberFormat="1" applyFont="1" applyFill="1" applyBorder="1" applyAlignment="1">
      <alignment vertical="center"/>
    </xf>
    <xf numFmtId="0" fontId="16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4" fontId="5" fillId="0" borderId="51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4" fillId="6" borderId="18" xfId="0" applyNumberFormat="1" applyFont="1" applyFill="1" applyBorder="1" applyAlignment="1">
      <alignment vertical="center"/>
    </xf>
    <xf numFmtId="4" fontId="5" fillId="6" borderId="24" xfId="0" applyNumberFormat="1" applyFont="1" applyFill="1" applyBorder="1" applyAlignment="1">
      <alignment vertical="center"/>
    </xf>
    <xf numFmtId="4" fontId="4" fillId="6" borderId="7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4" fillId="7" borderId="37" xfId="0" applyFont="1" applyFill="1" applyBorder="1" applyAlignment="1">
      <alignment vertical="center"/>
    </xf>
    <xf numFmtId="4" fontId="4" fillId="7" borderId="37" xfId="0" applyNumberFormat="1" applyFont="1" applyFill="1" applyBorder="1" applyAlignment="1">
      <alignment vertical="center"/>
    </xf>
    <xf numFmtId="4" fontId="4" fillId="7" borderId="38" xfId="0" applyNumberFormat="1" applyFont="1" applyFill="1" applyBorder="1" applyAlignment="1">
      <alignment vertical="center"/>
    </xf>
    <xf numFmtId="4" fontId="4" fillId="7" borderId="40" xfId="0" applyNumberFormat="1" applyFont="1" applyFill="1" applyBorder="1" applyAlignment="1">
      <alignment vertical="center"/>
    </xf>
    <xf numFmtId="4" fontId="4" fillId="7" borderId="3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19" fillId="0" borderId="1" xfId="0" applyFont="1" applyBorder="1" applyAlignment="1">
      <alignment horizontal="left" vertical="center"/>
    </xf>
    <xf numFmtId="3" fontId="19" fillId="0" borderId="55" xfId="0" applyNumberFormat="1" applyFont="1" applyBorder="1" applyAlignment="1">
      <alignment horizontal="right" vertical="center"/>
    </xf>
    <xf numFmtId="4" fontId="19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4" fontId="19" fillId="0" borderId="47" xfId="0" applyNumberFormat="1" applyFont="1" applyBorder="1" applyAlignment="1">
      <alignment horizontal="right" vertical="center"/>
    </xf>
    <xf numFmtId="4" fontId="19" fillId="0" borderId="40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/>
    </xf>
    <xf numFmtId="0" fontId="20" fillId="0" borderId="18" xfId="0" applyFont="1" applyBorder="1" applyAlignment="1">
      <alignment/>
    </xf>
    <xf numFmtId="4" fontId="20" fillId="0" borderId="56" xfId="0" applyNumberFormat="1" applyFont="1" applyBorder="1" applyAlignment="1">
      <alignment/>
    </xf>
    <xf numFmtId="4" fontId="20" fillId="0" borderId="57" xfId="0" applyNumberFormat="1" applyFont="1" applyBorder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0" fontId="20" fillId="0" borderId="52" xfId="0" applyFont="1" applyBorder="1" applyAlignment="1">
      <alignment/>
    </xf>
    <xf numFmtId="4" fontId="20" fillId="0" borderId="58" xfId="0" applyNumberFormat="1" applyFont="1" applyBorder="1" applyAlignment="1">
      <alignment/>
    </xf>
    <xf numFmtId="4" fontId="20" fillId="0" borderId="59" xfId="0" applyNumberFormat="1" applyFont="1" applyBorder="1" applyAlignment="1">
      <alignment/>
    </xf>
    <xf numFmtId="3" fontId="10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53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9.7109375" style="0" customWidth="1"/>
    <col min="2" max="2" width="18.7109375" style="0" customWidth="1"/>
    <col min="3" max="3" width="17.8515625" style="0" customWidth="1"/>
    <col min="4" max="4" width="19.57421875" style="0" customWidth="1"/>
    <col min="5" max="5" width="17.28125" style="0" bestFit="1" customWidth="1"/>
    <col min="6" max="6" width="18.57421875" style="0" customWidth="1"/>
    <col min="7" max="7" width="17.421875" style="0" customWidth="1"/>
    <col min="8" max="8" width="18.00390625" style="0" customWidth="1"/>
    <col min="9" max="9" width="11.7109375" style="0" bestFit="1" customWidth="1"/>
  </cols>
  <sheetData>
    <row r="2" spans="1:8" ht="21.75" customHeight="1">
      <c r="A2" s="1" t="s">
        <v>128</v>
      </c>
      <c r="B2" s="2"/>
      <c r="C2" s="2"/>
      <c r="D2" s="2"/>
      <c r="E2" s="2"/>
      <c r="F2" s="2"/>
      <c r="G2" s="2"/>
      <c r="H2" s="2"/>
    </row>
    <row r="3" spans="1:8" ht="21" customHeight="1" thickBot="1">
      <c r="A3" s="3"/>
      <c r="B3" s="3"/>
      <c r="C3" s="3"/>
      <c r="D3" s="3"/>
      <c r="E3" s="3"/>
      <c r="F3" s="3"/>
      <c r="H3" s="4" t="s">
        <v>0</v>
      </c>
    </row>
    <row r="4" spans="1:8" ht="16.5" customHeight="1">
      <c r="A4" s="5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11" t="s">
        <v>8</v>
      </c>
    </row>
    <row r="5" spans="1:8" ht="12.75">
      <c r="A5" s="12"/>
      <c r="B5" s="13"/>
      <c r="C5" s="14"/>
      <c r="D5" s="15"/>
      <c r="E5" s="16"/>
      <c r="F5" s="17"/>
      <c r="G5" s="18"/>
      <c r="H5" s="19"/>
    </row>
    <row r="6" spans="1:8" ht="16.5" customHeight="1" thickBot="1">
      <c r="A6" s="20"/>
      <c r="B6" s="21"/>
      <c r="C6" s="22"/>
      <c r="D6" s="23"/>
      <c r="E6" s="24"/>
      <c r="F6" s="25"/>
      <c r="G6" s="26"/>
      <c r="H6" s="27"/>
    </row>
    <row r="7" spans="1:8" ht="13.5" customHeight="1">
      <c r="A7" s="28" t="s">
        <v>9</v>
      </c>
      <c r="B7" s="29">
        <f>SUM(C7+D7+E7+F7)</f>
        <v>22035000</v>
      </c>
      <c r="C7" s="30"/>
      <c r="D7" s="31"/>
      <c r="E7" s="32"/>
      <c r="F7" s="33">
        <f>SUM(G7+H7)</f>
        <v>22035000</v>
      </c>
      <c r="G7" s="34">
        <f>4500000+17535000</f>
        <v>22035000</v>
      </c>
      <c r="H7" s="35"/>
    </row>
    <row r="8" spans="1:8" ht="13.5" customHeight="1">
      <c r="A8" s="36" t="s">
        <v>10</v>
      </c>
      <c r="B8" s="37">
        <f>SUM(C8+D8+E8+F8)</f>
        <v>40000000</v>
      </c>
      <c r="C8" s="38"/>
      <c r="D8" s="39"/>
      <c r="E8" s="40">
        <f>40000000</f>
        <v>40000000</v>
      </c>
      <c r="F8" s="41">
        <f>SUM(G8+H8)</f>
        <v>0</v>
      </c>
      <c r="G8" s="42"/>
      <c r="H8" s="43"/>
    </row>
    <row r="9" spans="1:8" ht="13.5" customHeight="1" thickBot="1">
      <c r="A9" s="44" t="s">
        <v>11</v>
      </c>
      <c r="B9" s="45">
        <f>SUM(C9+D9+E9+F9)</f>
        <v>646860000</v>
      </c>
      <c r="C9" s="46">
        <f>384630000+15373000+3936000</f>
        <v>403939000</v>
      </c>
      <c r="D9" s="47">
        <f>123851000+5373000+1272000</f>
        <v>130496000</v>
      </c>
      <c r="E9" s="48">
        <v>103000000</v>
      </c>
      <c r="F9" s="49">
        <f>SUM(G9+H9)</f>
        <v>9425000</v>
      </c>
      <c r="G9" s="50">
        <f>9100000+325000</f>
        <v>9425000</v>
      </c>
      <c r="H9" s="51"/>
    </row>
    <row r="10" spans="1:9" ht="13.5" customHeight="1" thickBot="1">
      <c r="A10" s="52" t="s">
        <v>12</v>
      </c>
      <c r="B10" s="53">
        <f aca="true" t="shared" si="0" ref="B10:H10">SUM(B11+B20+B21+B22+B23+B24+B25+B26+B27+B28+B29+B30+B31+B32)</f>
        <v>5453885000</v>
      </c>
      <c r="C10" s="54">
        <f t="shared" si="0"/>
        <v>316805000</v>
      </c>
      <c r="D10" s="55">
        <f t="shared" si="0"/>
        <v>109756000</v>
      </c>
      <c r="E10" s="55">
        <f t="shared" si="0"/>
        <v>4107042000</v>
      </c>
      <c r="F10" s="56">
        <f t="shared" si="0"/>
        <v>920282000</v>
      </c>
      <c r="G10" s="55">
        <f t="shared" si="0"/>
        <v>20282000</v>
      </c>
      <c r="H10" s="57">
        <f t="shared" si="0"/>
        <v>900000000</v>
      </c>
      <c r="I10" s="58" t="s">
        <v>13</v>
      </c>
    </row>
    <row r="11" spans="1:9" ht="13.5" customHeight="1">
      <c r="A11" s="59" t="s">
        <v>14</v>
      </c>
      <c r="B11" s="60">
        <f aca="true" t="shared" si="1" ref="B11:B32">SUM(C11+D11+E11+F11)</f>
        <v>177813000</v>
      </c>
      <c r="C11" s="61">
        <f>SUM(C12:C19)</f>
        <v>95172000</v>
      </c>
      <c r="D11" s="62">
        <f>SUM(D12:D19)</f>
        <v>33261000</v>
      </c>
      <c r="E11" s="63">
        <f>SUM(E12:E19)</f>
        <v>47266000</v>
      </c>
      <c r="F11" s="64">
        <f aca="true" t="shared" si="2" ref="F11:F32">SUM(G11+H11)</f>
        <v>2114000</v>
      </c>
      <c r="G11" s="63">
        <f>SUM(G12:G19)</f>
        <v>2114000</v>
      </c>
      <c r="H11" s="65">
        <f>SUM(H12:H19)</f>
        <v>0</v>
      </c>
      <c r="I11" s="66">
        <f>SUM(I12:I19)</f>
        <v>0</v>
      </c>
    </row>
    <row r="12" spans="1:9" ht="13.5" customHeight="1">
      <c r="A12" s="67" t="s">
        <v>15</v>
      </c>
      <c r="B12" s="68">
        <f t="shared" si="1"/>
        <v>21999000</v>
      </c>
      <c r="C12" s="30">
        <f>11002000+185000</f>
        <v>11187000</v>
      </c>
      <c r="D12" s="31">
        <f>3845000+65000</f>
        <v>3910000</v>
      </c>
      <c r="E12" s="32">
        <f>5814000+800000</f>
        <v>6614000</v>
      </c>
      <c r="F12" s="69">
        <f t="shared" si="2"/>
        <v>288000</v>
      </c>
      <c r="G12" s="34">
        <f>95000+193000</f>
        <v>288000</v>
      </c>
      <c r="H12" s="35"/>
      <c r="I12" s="66"/>
    </row>
    <row r="13" spans="1:9" ht="13.5" customHeight="1">
      <c r="A13" s="70" t="s">
        <v>16</v>
      </c>
      <c r="B13" s="68">
        <f t="shared" si="1"/>
        <v>17914000</v>
      </c>
      <c r="C13" s="30">
        <f>9519000+96000</f>
        <v>9615000</v>
      </c>
      <c r="D13" s="31">
        <f>3327000+33000</f>
        <v>3360000</v>
      </c>
      <c r="E13" s="40">
        <v>4718000</v>
      </c>
      <c r="F13" s="41">
        <f t="shared" si="2"/>
        <v>221000</v>
      </c>
      <c r="G13" s="34">
        <f>80000+141000</f>
        <v>221000</v>
      </c>
      <c r="H13" s="71"/>
      <c r="I13" s="66"/>
    </row>
    <row r="14" spans="1:9" ht="13.5" customHeight="1">
      <c r="A14" s="72" t="s">
        <v>17</v>
      </c>
      <c r="B14" s="68">
        <f t="shared" si="1"/>
        <v>20698000</v>
      </c>
      <c r="C14" s="30">
        <f>10912000+213000</f>
        <v>11125000</v>
      </c>
      <c r="D14" s="31">
        <f>3814000+74000</f>
        <v>3888000</v>
      </c>
      <c r="E14" s="73">
        <v>5424000</v>
      </c>
      <c r="F14" s="41">
        <f t="shared" si="2"/>
        <v>261000</v>
      </c>
      <c r="G14" s="34">
        <f>82000+179000</f>
        <v>261000</v>
      </c>
      <c r="H14" s="74"/>
      <c r="I14" s="66"/>
    </row>
    <row r="15" spans="1:9" ht="13.5" customHeight="1">
      <c r="A15" s="70" t="s">
        <v>18</v>
      </c>
      <c r="B15" s="68">
        <f t="shared" si="1"/>
        <v>18831000</v>
      </c>
      <c r="C15" s="30">
        <f>10095000+91000</f>
        <v>10186000</v>
      </c>
      <c r="D15" s="31">
        <f>3528000+32000</f>
        <v>3560000</v>
      </c>
      <c r="E15" s="40">
        <v>4859000</v>
      </c>
      <c r="F15" s="41">
        <f t="shared" si="2"/>
        <v>226000</v>
      </c>
      <c r="G15" s="34">
        <f>86000+140000</f>
        <v>226000</v>
      </c>
      <c r="H15" s="71"/>
      <c r="I15" s="66"/>
    </row>
    <row r="16" spans="1:9" ht="13.5" customHeight="1">
      <c r="A16" s="72" t="s">
        <v>19</v>
      </c>
      <c r="B16" s="68">
        <f t="shared" si="1"/>
        <v>25147000</v>
      </c>
      <c r="C16" s="30">
        <f>13447000+127000</f>
        <v>13574000</v>
      </c>
      <c r="D16" s="31">
        <f>4700000+44000</f>
        <v>4744000</v>
      </c>
      <c r="E16" s="73">
        <v>6554000</v>
      </c>
      <c r="F16" s="41">
        <f t="shared" si="2"/>
        <v>275000</v>
      </c>
      <c r="G16" s="34">
        <f>92000+183000</f>
        <v>275000</v>
      </c>
      <c r="H16" s="74"/>
      <c r="I16" s="66"/>
    </row>
    <row r="17" spans="1:9" ht="13.5" customHeight="1">
      <c r="A17" s="70" t="s">
        <v>20</v>
      </c>
      <c r="B17" s="68">
        <f t="shared" si="1"/>
        <v>23886000</v>
      </c>
      <c r="C17" s="30">
        <f>12779000+112000</f>
        <v>12891000</v>
      </c>
      <c r="D17" s="31">
        <f>4466000+39000</f>
        <v>4505000</v>
      </c>
      <c r="E17" s="40">
        <v>6215000</v>
      </c>
      <c r="F17" s="41">
        <f t="shared" si="2"/>
        <v>275000</v>
      </c>
      <c r="G17" s="34">
        <f>90000+185000</f>
        <v>275000</v>
      </c>
      <c r="H17" s="71"/>
      <c r="I17" s="66"/>
    </row>
    <row r="18" spans="1:9" ht="13.5" customHeight="1">
      <c r="A18" s="72" t="s">
        <v>21</v>
      </c>
      <c r="B18" s="68">
        <f t="shared" si="1"/>
        <v>24160000</v>
      </c>
      <c r="C18" s="30">
        <f>12894000+111000</f>
        <v>13005000</v>
      </c>
      <c r="D18" s="31">
        <f>4506000+39000</f>
        <v>4545000</v>
      </c>
      <c r="E18" s="73">
        <v>6328000</v>
      </c>
      <c r="F18" s="41">
        <f t="shared" si="2"/>
        <v>282000</v>
      </c>
      <c r="G18" s="75">
        <f>98000+184000</f>
        <v>282000</v>
      </c>
      <c r="H18" s="74"/>
      <c r="I18" s="66"/>
    </row>
    <row r="19" spans="1:9" ht="13.5" customHeight="1">
      <c r="A19" s="76" t="s">
        <v>22</v>
      </c>
      <c r="B19" s="45">
        <f t="shared" si="1"/>
        <v>25178000</v>
      </c>
      <c r="C19" s="46">
        <f>13464000+125000</f>
        <v>13589000</v>
      </c>
      <c r="D19" s="47">
        <f>4706000+43000</f>
        <v>4749000</v>
      </c>
      <c r="E19" s="48">
        <v>6554000</v>
      </c>
      <c r="F19" s="77">
        <f t="shared" si="2"/>
        <v>286000</v>
      </c>
      <c r="G19" s="50">
        <f>102000+184000</f>
        <v>286000</v>
      </c>
      <c r="H19" s="51"/>
      <c r="I19" s="66"/>
    </row>
    <row r="20" spans="1:9" ht="13.5" customHeight="1">
      <c r="A20" s="78" t="s">
        <v>23</v>
      </c>
      <c r="B20" s="79">
        <f>SUM(C20+D20+E20+F20)</f>
        <v>430610000</v>
      </c>
      <c r="C20" s="80">
        <f>117696000+2453000</f>
        <v>120149000</v>
      </c>
      <c r="D20" s="81">
        <f>41136000-110000</f>
        <v>41026000</v>
      </c>
      <c r="E20" s="82">
        <f>145115000+100000000-1704000-21000+10575000+5000000-16767000+1114000+2301514000+140177000+265972000+10068000-2707663000</f>
        <v>253380000</v>
      </c>
      <c r="F20" s="83">
        <f t="shared" si="2"/>
        <v>16055000</v>
      </c>
      <c r="G20" s="84">
        <f>13000000+3055000</f>
        <v>16055000</v>
      </c>
      <c r="H20" s="85"/>
      <c r="I20" s="66">
        <v>7869000</v>
      </c>
    </row>
    <row r="21" spans="1:9" ht="13.5" customHeight="1">
      <c r="A21" s="78" t="s">
        <v>24</v>
      </c>
      <c r="B21" s="79">
        <f>SUM(C21+D21+E21+F21)</f>
        <v>2707663000</v>
      </c>
      <c r="C21" s="86"/>
      <c r="D21" s="87"/>
      <c r="E21" s="82">
        <v>2707663000</v>
      </c>
      <c r="F21" s="83">
        <f t="shared" si="2"/>
        <v>0</v>
      </c>
      <c r="G21" s="88"/>
      <c r="H21" s="89"/>
      <c r="I21" s="66"/>
    </row>
    <row r="22" spans="1:8" ht="13.5" customHeight="1">
      <c r="A22" s="28" t="s">
        <v>25</v>
      </c>
      <c r="B22" s="90">
        <f>SUM(C22:F22)</f>
        <v>0</v>
      </c>
      <c r="C22" s="30"/>
      <c r="D22" s="32"/>
      <c r="E22" s="40"/>
      <c r="F22" s="91">
        <f>SUM(G22:H22)</f>
        <v>0</v>
      </c>
      <c r="G22" s="34"/>
      <c r="H22" s="35"/>
    </row>
    <row r="23" spans="1:8" ht="13.5" customHeight="1">
      <c r="A23" s="36" t="s">
        <v>26</v>
      </c>
      <c r="B23" s="90">
        <f>SUM(C23:F23)</f>
        <v>0</v>
      </c>
      <c r="C23" s="30"/>
      <c r="D23" s="32"/>
      <c r="E23" s="40"/>
      <c r="F23" s="91">
        <f>SUM(G23:H23)</f>
        <v>0</v>
      </c>
      <c r="G23" s="34"/>
      <c r="H23" s="35"/>
    </row>
    <row r="24" spans="1:8" ht="13.5" customHeight="1">
      <c r="A24" s="28" t="s">
        <v>27</v>
      </c>
      <c r="B24" s="90">
        <f>SUM(C24:F24)</f>
        <v>0</v>
      </c>
      <c r="C24" s="30"/>
      <c r="D24" s="32"/>
      <c r="E24" s="40"/>
      <c r="F24" s="91">
        <f>SUM(G24:H24)</f>
        <v>0</v>
      </c>
      <c r="G24" s="34"/>
      <c r="H24" s="35"/>
    </row>
    <row r="25" spans="1:8" ht="13.5" customHeight="1">
      <c r="A25" s="36" t="s">
        <v>28</v>
      </c>
      <c r="B25" s="90">
        <f>SUM(C25:F25)</f>
        <v>0</v>
      </c>
      <c r="C25" s="30"/>
      <c r="D25" s="32"/>
      <c r="E25" s="40"/>
      <c r="F25" s="91">
        <f>SUM(G25:H25)</f>
        <v>0</v>
      </c>
      <c r="G25" s="34"/>
      <c r="H25" s="35"/>
    </row>
    <row r="26" spans="1:8" ht="13.5" customHeight="1">
      <c r="A26" s="36" t="s">
        <v>29</v>
      </c>
      <c r="B26" s="68">
        <f t="shared" si="1"/>
        <v>48808000</v>
      </c>
      <c r="C26" s="30"/>
      <c r="D26" s="32"/>
      <c r="E26" s="40">
        <v>48808000</v>
      </c>
      <c r="F26" s="91">
        <f t="shared" si="2"/>
        <v>0</v>
      </c>
      <c r="G26" s="34"/>
      <c r="H26" s="35"/>
    </row>
    <row r="27" spans="1:8" ht="13.5" customHeight="1">
      <c r="A27" s="36" t="s">
        <v>30</v>
      </c>
      <c r="B27" s="37">
        <f t="shared" si="1"/>
        <v>32923000</v>
      </c>
      <c r="C27" s="38"/>
      <c r="D27" s="39"/>
      <c r="E27" s="40">
        <v>32923000</v>
      </c>
      <c r="F27" s="92">
        <f t="shared" si="2"/>
        <v>0</v>
      </c>
      <c r="G27" s="93"/>
      <c r="H27" s="71"/>
    </row>
    <row r="28" spans="1:8" ht="13.5" customHeight="1">
      <c r="A28" s="28" t="s">
        <v>31</v>
      </c>
      <c r="B28" s="37">
        <f t="shared" si="1"/>
        <v>0</v>
      </c>
      <c r="C28" s="94"/>
      <c r="D28" s="95"/>
      <c r="E28" s="96"/>
      <c r="F28" s="92">
        <f t="shared" si="2"/>
        <v>0</v>
      </c>
      <c r="G28" s="97"/>
      <c r="H28" s="98"/>
    </row>
    <row r="29" spans="1:8" ht="13.5" customHeight="1">
      <c r="A29" s="99" t="s">
        <v>32</v>
      </c>
      <c r="B29" s="37">
        <f t="shared" si="1"/>
        <v>0</v>
      </c>
      <c r="C29" s="100"/>
      <c r="D29" s="101"/>
      <c r="E29" s="73"/>
      <c r="F29" s="92">
        <f t="shared" si="2"/>
        <v>0</v>
      </c>
      <c r="G29" s="75"/>
      <c r="H29" s="74"/>
    </row>
    <row r="30" spans="1:8" ht="13.5" customHeight="1">
      <c r="A30" s="78" t="s">
        <v>33</v>
      </c>
      <c r="B30" s="102">
        <f t="shared" si="1"/>
        <v>1000000000</v>
      </c>
      <c r="C30" s="80"/>
      <c r="D30" s="81"/>
      <c r="E30" s="82">
        <f>730000000+300000000-30000000</f>
        <v>1000000000</v>
      </c>
      <c r="F30" s="103">
        <f t="shared" si="2"/>
        <v>0</v>
      </c>
      <c r="G30" s="84"/>
      <c r="H30" s="85"/>
    </row>
    <row r="31" spans="1:8" ht="13.5" customHeight="1">
      <c r="A31" s="78" t="s">
        <v>34</v>
      </c>
      <c r="B31" s="102">
        <f t="shared" si="1"/>
        <v>900000000</v>
      </c>
      <c r="C31" s="86"/>
      <c r="D31" s="104"/>
      <c r="E31" s="87"/>
      <c r="F31" s="103">
        <f t="shared" si="2"/>
        <v>900000000</v>
      </c>
      <c r="G31" s="88"/>
      <c r="H31" s="89">
        <f>960000000-60000000</f>
        <v>900000000</v>
      </c>
    </row>
    <row r="32" spans="1:8" ht="13.5" customHeight="1" thickBot="1">
      <c r="A32" s="28" t="s">
        <v>35</v>
      </c>
      <c r="B32" s="68">
        <f t="shared" si="1"/>
        <v>156068000</v>
      </c>
      <c r="C32" s="30">
        <f>99204000+2280000</f>
        <v>101484000</v>
      </c>
      <c r="D32" s="31">
        <f>34672000+797000</f>
        <v>35469000</v>
      </c>
      <c r="E32" s="32">
        <v>17002000</v>
      </c>
      <c r="F32" s="69">
        <f t="shared" si="2"/>
        <v>2113000</v>
      </c>
      <c r="G32" s="34">
        <f>1000000+1113000</f>
        <v>2113000</v>
      </c>
      <c r="H32" s="35"/>
    </row>
    <row r="33" spans="1:8" ht="13.5" customHeight="1" thickBot="1">
      <c r="A33" s="105" t="s">
        <v>36</v>
      </c>
      <c r="B33" s="53">
        <f>SUM(B34)</f>
        <v>39663000</v>
      </c>
      <c r="C33" s="54">
        <f aca="true" t="shared" si="3" ref="C33:H33">SUM(C34)</f>
        <v>19284000</v>
      </c>
      <c r="D33" s="106">
        <f t="shared" si="3"/>
        <v>6740000</v>
      </c>
      <c r="E33" s="107">
        <f t="shared" si="3"/>
        <v>13057000</v>
      </c>
      <c r="F33" s="108">
        <f t="shared" si="3"/>
        <v>582000</v>
      </c>
      <c r="G33" s="107">
        <f t="shared" si="3"/>
        <v>582000</v>
      </c>
      <c r="H33" s="57">
        <f t="shared" si="3"/>
        <v>0</v>
      </c>
    </row>
    <row r="34" spans="1:8" ht="13.5" customHeight="1" thickBot="1">
      <c r="A34" s="109" t="s">
        <v>37</v>
      </c>
      <c r="B34" s="110">
        <f aca="true" t="shared" si="4" ref="B34:B55">SUM(C34+D34+E34+F34)</f>
        <v>39663000</v>
      </c>
      <c r="C34" s="30">
        <f>19146000+138000</f>
        <v>19284000</v>
      </c>
      <c r="D34" s="31">
        <f>6692000+48000</f>
        <v>6740000</v>
      </c>
      <c r="E34" s="32">
        <v>13057000</v>
      </c>
      <c r="F34" s="69">
        <f>SUM(G34+H34)</f>
        <v>582000</v>
      </c>
      <c r="G34" s="34">
        <f>200000+382000</f>
        <v>582000</v>
      </c>
      <c r="H34" s="35"/>
    </row>
    <row r="35" spans="1:8" ht="13.5" customHeight="1" thickBot="1">
      <c r="A35" s="105" t="s">
        <v>38</v>
      </c>
      <c r="B35" s="53">
        <f t="shared" si="4"/>
        <v>9171883000</v>
      </c>
      <c r="C35" s="54">
        <f>SUM(C36:C40)</f>
        <v>41079000</v>
      </c>
      <c r="D35" s="55">
        <f>SUM(D36:D40)</f>
        <v>14357000</v>
      </c>
      <c r="E35" s="106">
        <f>SUM(E36:E40)</f>
        <v>10588000</v>
      </c>
      <c r="F35" s="108">
        <f>SUM(G35:H35)</f>
        <v>9105859000</v>
      </c>
      <c r="G35" s="107">
        <f>SUM(G36:G40)</f>
        <v>859000</v>
      </c>
      <c r="H35" s="57">
        <f>SUM(H36:H40)</f>
        <v>9105000000</v>
      </c>
    </row>
    <row r="36" spans="1:8" ht="13.5" customHeight="1">
      <c r="A36" s="111" t="s">
        <v>39</v>
      </c>
      <c r="B36" s="112">
        <f t="shared" si="4"/>
        <v>5000000000</v>
      </c>
      <c r="C36" s="113"/>
      <c r="D36" s="114"/>
      <c r="E36" s="115"/>
      <c r="F36" s="116">
        <f aca="true" t="shared" si="5" ref="F36:F41">SUM(G36+H36)</f>
        <v>5000000000</v>
      </c>
      <c r="G36" s="117"/>
      <c r="H36" s="118">
        <f>4500000000+500000000</f>
        <v>5000000000</v>
      </c>
    </row>
    <row r="37" spans="1:8" ht="13.5" customHeight="1">
      <c r="A37" s="119" t="s">
        <v>40</v>
      </c>
      <c r="B37" s="37">
        <f t="shared" si="4"/>
        <v>0</v>
      </c>
      <c r="C37" s="38"/>
      <c r="D37" s="39"/>
      <c r="E37" s="40"/>
      <c r="F37" s="41">
        <f t="shared" si="5"/>
        <v>0</v>
      </c>
      <c r="G37" s="93"/>
      <c r="H37" s="71">
        <v>0</v>
      </c>
    </row>
    <row r="38" spans="1:8" ht="13.5" customHeight="1">
      <c r="A38" s="78" t="s">
        <v>41</v>
      </c>
      <c r="B38" s="102">
        <f t="shared" si="4"/>
        <v>4100000000</v>
      </c>
      <c r="C38" s="80"/>
      <c r="D38" s="81"/>
      <c r="E38" s="82"/>
      <c r="F38" s="103">
        <f t="shared" si="5"/>
        <v>4100000000</v>
      </c>
      <c r="G38" s="84"/>
      <c r="H38" s="85">
        <f>2400000000+1200000000+500000000</f>
        <v>4100000000</v>
      </c>
    </row>
    <row r="39" spans="1:8" ht="13.5" customHeight="1">
      <c r="A39" s="119" t="s">
        <v>42</v>
      </c>
      <c r="B39" s="37">
        <f t="shared" si="4"/>
        <v>5000000</v>
      </c>
      <c r="C39" s="38"/>
      <c r="D39" s="31"/>
      <c r="E39" s="40"/>
      <c r="F39" s="41">
        <f t="shared" si="5"/>
        <v>5000000</v>
      </c>
      <c r="G39" s="93"/>
      <c r="H39" s="71">
        <v>5000000</v>
      </c>
    </row>
    <row r="40" spans="1:8" ht="13.5" customHeight="1">
      <c r="A40" s="119" t="s">
        <v>43</v>
      </c>
      <c r="B40" s="37">
        <f t="shared" si="4"/>
        <v>66883000</v>
      </c>
      <c r="C40" s="38">
        <f>24680000+189000+16210000</f>
        <v>41079000</v>
      </c>
      <c r="D40" s="31">
        <f>8626000+66000+5665000</f>
        <v>14357000</v>
      </c>
      <c r="E40" s="40">
        <f>15588000-5000000</f>
        <v>10588000</v>
      </c>
      <c r="F40" s="41">
        <f t="shared" si="5"/>
        <v>859000</v>
      </c>
      <c r="G40" s="93">
        <f>400000+459000</f>
        <v>859000</v>
      </c>
      <c r="H40" s="71"/>
    </row>
    <row r="41" spans="1:8" ht="13.5" customHeight="1" thickBot="1">
      <c r="A41" s="119" t="s">
        <v>44</v>
      </c>
      <c r="B41" s="110">
        <f t="shared" si="4"/>
        <v>21875000</v>
      </c>
      <c r="C41" s="38">
        <f>17506000-1296000</f>
        <v>16210000</v>
      </c>
      <c r="D41" s="101">
        <f>6118000-453000</f>
        <v>5665000</v>
      </c>
      <c r="E41" s="40">
        <v>0</v>
      </c>
      <c r="F41" s="120">
        <f t="shared" si="5"/>
        <v>0</v>
      </c>
      <c r="G41" s="93">
        <v>0</v>
      </c>
      <c r="H41" s="71"/>
    </row>
    <row r="42" spans="1:8" ht="13.5" customHeight="1" thickBot="1">
      <c r="A42" s="105" t="s">
        <v>45</v>
      </c>
      <c r="B42" s="53">
        <f t="shared" si="4"/>
        <v>159209000</v>
      </c>
      <c r="C42" s="54">
        <f>SUM(C43+C44+C45)</f>
        <v>24927000</v>
      </c>
      <c r="D42" s="55">
        <f>SUM(D43+D44+D45)</f>
        <v>8712000</v>
      </c>
      <c r="E42" s="55">
        <f>SUM(E43+E44+E45)</f>
        <v>25270000</v>
      </c>
      <c r="F42" s="108">
        <f>SUM(G42:H42)</f>
        <v>100300000</v>
      </c>
      <c r="G42" s="121">
        <f>SUM(G43+G44+G45)</f>
        <v>300000</v>
      </c>
      <c r="H42" s="122">
        <f>SUM(H43+H44+H45)</f>
        <v>100000000</v>
      </c>
    </row>
    <row r="43" spans="1:8" ht="13.5" customHeight="1">
      <c r="A43" s="123" t="s">
        <v>46</v>
      </c>
      <c r="B43" s="110">
        <f t="shared" si="4"/>
        <v>100000000</v>
      </c>
      <c r="C43" s="100"/>
      <c r="D43" s="101"/>
      <c r="E43" s="73"/>
      <c r="F43" s="33">
        <f aca="true" t="shared" si="6" ref="F43:F55">SUM(G43+H43)</f>
        <v>100000000</v>
      </c>
      <c r="G43" s="75"/>
      <c r="H43" s="74">
        <f>85000000+15000000</f>
        <v>100000000</v>
      </c>
    </row>
    <row r="44" spans="1:8" ht="13.5" customHeight="1">
      <c r="A44" s="119" t="s">
        <v>47</v>
      </c>
      <c r="B44" s="37">
        <f t="shared" si="4"/>
        <v>0</v>
      </c>
      <c r="C44" s="38"/>
      <c r="D44" s="39"/>
      <c r="E44" s="40"/>
      <c r="F44" s="41">
        <f t="shared" si="6"/>
        <v>0</v>
      </c>
      <c r="G44" s="93"/>
      <c r="H44" s="71"/>
    </row>
    <row r="45" spans="1:8" ht="13.5" customHeight="1" thickBot="1">
      <c r="A45" s="123" t="s">
        <v>48</v>
      </c>
      <c r="B45" s="110">
        <f t="shared" si="4"/>
        <v>59209000</v>
      </c>
      <c r="C45" s="100">
        <f>24182000+745000</f>
        <v>24927000</v>
      </c>
      <c r="D45" s="31">
        <f>8452000+260000</f>
        <v>8712000</v>
      </c>
      <c r="E45" s="73">
        <v>25270000</v>
      </c>
      <c r="F45" s="49">
        <f t="shared" si="6"/>
        <v>300000</v>
      </c>
      <c r="G45" s="75">
        <v>300000</v>
      </c>
      <c r="H45" s="74"/>
    </row>
    <row r="46" spans="1:8" ht="13.5" customHeight="1" thickBot="1">
      <c r="A46" s="105" t="s">
        <v>49</v>
      </c>
      <c r="B46" s="53">
        <f t="shared" si="4"/>
        <v>20000000</v>
      </c>
      <c r="C46" s="54"/>
      <c r="D46" s="106"/>
      <c r="E46" s="55"/>
      <c r="F46" s="108">
        <f t="shared" si="6"/>
        <v>20000000</v>
      </c>
      <c r="G46" s="107"/>
      <c r="H46" s="57">
        <v>20000000</v>
      </c>
    </row>
    <row r="47" spans="1:8" ht="13.5" customHeight="1" thickBot="1">
      <c r="A47" s="124" t="s">
        <v>50</v>
      </c>
      <c r="B47" s="125">
        <f t="shared" si="4"/>
        <v>132791000</v>
      </c>
      <c r="C47" s="126">
        <f aca="true" t="shared" si="7" ref="C47:H47">SUM(C48+C49)</f>
        <v>64361000</v>
      </c>
      <c r="D47" s="127">
        <f t="shared" si="7"/>
        <v>22494000</v>
      </c>
      <c r="E47" s="128">
        <f t="shared" si="7"/>
        <v>42609000</v>
      </c>
      <c r="F47" s="129">
        <f t="shared" si="6"/>
        <v>3327000</v>
      </c>
      <c r="G47" s="128">
        <f t="shared" si="7"/>
        <v>3327000</v>
      </c>
      <c r="H47" s="130">
        <f t="shared" si="7"/>
        <v>0</v>
      </c>
    </row>
    <row r="48" spans="1:8" ht="13.5" customHeight="1">
      <c r="A48" s="109" t="s">
        <v>51</v>
      </c>
      <c r="B48" s="68">
        <f t="shared" si="4"/>
        <v>122287000</v>
      </c>
      <c r="C48" s="30">
        <f>53635000+5402000</f>
        <v>59037000</v>
      </c>
      <c r="D48" s="31">
        <f>18745000+1888000</f>
        <v>20633000</v>
      </c>
      <c r="E48" s="32">
        <f>33703000+5802000</f>
        <v>39505000</v>
      </c>
      <c r="F48" s="69">
        <f t="shared" si="6"/>
        <v>3112000</v>
      </c>
      <c r="G48" s="34">
        <f>500000+1112000+1500000</f>
        <v>3112000</v>
      </c>
      <c r="H48" s="35"/>
    </row>
    <row r="49" spans="1:8" ht="13.5" customHeight="1">
      <c r="A49" s="119" t="s">
        <v>52</v>
      </c>
      <c r="B49" s="37">
        <f t="shared" si="4"/>
        <v>10504000</v>
      </c>
      <c r="C49" s="38">
        <f>5303000+21000</f>
        <v>5324000</v>
      </c>
      <c r="D49" s="31">
        <f>1853000+8000</f>
        <v>1861000</v>
      </c>
      <c r="E49" s="40">
        <v>3104000</v>
      </c>
      <c r="F49" s="69">
        <f t="shared" si="6"/>
        <v>215000</v>
      </c>
      <c r="G49" s="93">
        <f>100000+115000</f>
        <v>215000</v>
      </c>
      <c r="H49" s="71"/>
    </row>
    <row r="50" spans="1:8" ht="13.5" customHeight="1">
      <c r="A50" s="131" t="s">
        <v>53</v>
      </c>
      <c r="B50" s="132">
        <f t="shared" si="4"/>
        <v>12000000</v>
      </c>
      <c r="C50" s="133"/>
      <c r="D50" s="134"/>
      <c r="E50" s="135">
        <v>12000000</v>
      </c>
      <c r="F50" s="136">
        <f t="shared" si="6"/>
        <v>0</v>
      </c>
      <c r="G50" s="137"/>
      <c r="H50" s="138"/>
    </row>
    <row r="51" spans="1:8" ht="13.5" customHeight="1">
      <c r="A51" s="131" t="s">
        <v>54</v>
      </c>
      <c r="B51" s="132">
        <f>SUM(C51+D51+E51+F51)</f>
        <v>5000000</v>
      </c>
      <c r="C51" s="133"/>
      <c r="D51" s="139"/>
      <c r="E51" s="135"/>
      <c r="F51" s="136">
        <f t="shared" si="6"/>
        <v>5000000</v>
      </c>
      <c r="G51" s="137"/>
      <c r="H51" s="138">
        <v>5000000</v>
      </c>
    </row>
    <row r="52" spans="1:8" ht="13.5" customHeight="1">
      <c r="A52" s="131" t="s">
        <v>55</v>
      </c>
      <c r="B52" s="132">
        <f t="shared" si="4"/>
        <v>0</v>
      </c>
      <c r="C52" s="133"/>
      <c r="D52" s="139"/>
      <c r="E52" s="135"/>
      <c r="F52" s="136">
        <f t="shared" si="6"/>
        <v>0</v>
      </c>
      <c r="G52" s="137"/>
      <c r="H52" s="138">
        <v>0</v>
      </c>
    </row>
    <row r="53" spans="1:8" ht="13.5" customHeight="1">
      <c r="A53" s="140" t="s">
        <v>56</v>
      </c>
      <c r="B53" s="132">
        <f t="shared" si="4"/>
        <v>23711000</v>
      </c>
      <c r="C53" s="133">
        <f>12211000-243000</f>
        <v>11968000</v>
      </c>
      <c r="D53" s="139">
        <f>4268000-85000</f>
        <v>4183000</v>
      </c>
      <c r="E53" s="135">
        <v>6786000</v>
      </c>
      <c r="F53" s="136">
        <f t="shared" si="6"/>
        <v>774000</v>
      </c>
      <c r="G53" s="137">
        <f>160000+614000</f>
        <v>774000</v>
      </c>
      <c r="H53" s="138"/>
    </row>
    <row r="54" spans="1:8" ht="13.5" customHeight="1" thickBot="1">
      <c r="A54" s="141" t="s">
        <v>57</v>
      </c>
      <c r="B54" s="132">
        <f t="shared" si="4"/>
        <v>2000000</v>
      </c>
      <c r="C54" s="133"/>
      <c r="D54" s="139"/>
      <c r="E54" s="135">
        <v>2000000</v>
      </c>
      <c r="F54" s="136">
        <f t="shared" si="6"/>
        <v>0</v>
      </c>
      <c r="G54" s="137"/>
      <c r="H54" s="138"/>
    </row>
    <row r="55" spans="1:8" ht="13.5" customHeight="1" thickBot="1">
      <c r="A55" s="142" t="s">
        <v>58</v>
      </c>
      <c r="B55" s="143">
        <f t="shared" si="4"/>
        <v>15729037000</v>
      </c>
      <c r="C55" s="144">
        <f>SUM(C54+C53+C52+C51+C50+C47+C46+C42+C35+C33+C10+C9+C8+C7)</f>
        <v>882363000</v>
      </c>
      <c r="D55" s="144">
        <f>SUM(D54+D53+D52+D51+D50+D47+D46+D42+D35+D33+D10+D9+D8+D7)</f>
        <v>296738000</v>
      </c>
      <c r="E55" s="145">
        <f>SUM(E54+E53+E52+E51+E50+E47+E46+E42+E35+E33+E10+E9+E8+E7)</f>
        <v>4362352000</v>
      </c>
      <c r="F55" s="146">
        <f t="shared" si="6"/>
        <v>10187584000</v>
      </c>
      <c r="G55" s="147">
        <f>SUM(G54+G53+G52+G51+G50+G47+G46+G42+G35+G33+G10+G9+G8+G7)</f>
        <v>57584000</v>
      </c>
      <c r="H55" s="148">
        <f>SUM(H54+H53+H52+H51+H50+H47+H46+H42+H35+H33+H10+H9+H8+H7)</f>
        <v>10130000000</v>
      </c>
    </row>
    <row r="56" spans="1:8" s="152" customFormat="1" ht="13.5" customHeight="1">
      <c r="A56" s="149"/>
      <c r="B56" s="150"/>
      <c r="C56" s="151"/>
      <c r="D56" s="151"/>
      <c r="E56" s="151"/>
      <c r="F56" s="151"/>
      <c r="G56" s="151"/>
      <c r="H56" s="151"/>
    </row>
    <row r="57" spans="1:8" s="152" customFormat="1" ht="18" customHeight="1">
      <c r="A57" s="153" t="s">
        <v>59</v>
      </c>
      <c r="B57" s="154"/>
      <c r="C57" s="154"/>
      <c r="D57" s="154"/>
      <c r="E57" s="154"/>
      <c r="F57" s="154"/>
      <c r="G57" s="154"/>
      <c r="H57" s="154"/>
    </row>
    <row r="58" spans="1:8" s="152" customFormat="1" ht="18" customHeight="1">
      <c r="A58" s="155"/>
      <c r="B58" s="156"/>
      <c r="C58" s="156"/>
      <c r="D58" s="156"/>
      <c r="E58" s="156"/>
      <c r="F58" s="156"/>
      <c r="G58" s="156"/>
      <c r="H58" s="156"/>
    </row>
    <row r="59" spans="1:8" s="152" customFormat="1" ht="18" customHeight="1">
      <c r="A59" s="155"/>
      <c r="B59" s="156"/>
      <c r="C59" s="156"/>
      <c r="D59" s="156"/>
      <c r="E59" s="156"/>
      <c r="F59" s="156"/>
      <c r="G59" s="156"/>
      <c r="H59" s="156"/>
    </row>
    <row r="60" spans="1:8" s="152" customFormat="1" ht="18" customHeight="1">
      <c r="A60" s="155"/>
      <c r="B60" s="156"/>
      <c r="C60" s="156"/>
      <c r="D60" s="156"/>
      <c r="E60" s="156"/>
      <c r="F60" s="156"/>
      <c r="G60" s="156"/>
      <c r="H60" s="156"/>
    </row>
    <row r="61" spans="1:8" s="152" customFormat="1" ht="18" customHeight="1" thickBot="1">
      <c r="A61" s="157"/>
      <c r="B61" s="158"/>
      <c r="C61" s="158"/>
      <c r="D61" s="158"/>
      <c r="E61" s="158"/>
      <c r="F61" s="158"/>
      <c r="G61" s="158"/>
      <c r="H61" s="158"/>
    </row>
    <row r="62" spans="1:8" ht="45.75" customHeight="1" thickBot="1">
      <c r="A62" s="159" t="s">
        <v>60</v>
      </c>
      <c r="B62" s="159" t="s">
        <v>61</v>
      </c>
      <c r="C62" s="160" t="s">
        <v>62</v>
      </c>
      <c r="D62" s="161" t="s">
        <v>63</v>
      </c>
      <c r="E62" s="162"/>
      <c r="F62" s="163" t="s">
        <v>64</v>
      </c>
      <c r="G62" s="164" t="s">
        <v>65</v>
      </c>
      <c r="H62" s="165" t="s">
        <v>66</v>
      </c>
    </row>
    <row r="63" spans="1:8" ht="12.75" customHeight="1">
      <c r="A63" s="28" t="s">
        <v>9</v>
      </c>
      <c r="B63" s="68">
        <f>SUM(C63:D63)</f>
        <v>0</v>
      </c>
      <c r="C63" s="30"/>
      <c r="D63" s="35"/>
      <c r="E63" s="166"/>
      <c r="F63" s="68">
        <f aca="true" t="shared" si="8" ref="F63:F85">B7+B63</f>
        <v>22035000</v>
      </c>
      <c r="G63" s="167"/>
      <c r="H63" s="168"/>
    </row>
    <row r="64" spans="1:8" ht="12.75" customHeight="1">
      <c r="A64" s="36" t="s">
        <v>10</v>
      </c>
      <c r="B64" s="68">
        <f>SUM(C64:D64)</f>
        <v>0</v>
      </c>
      <c r="C64" s="38"/>
      <c r="D64" s="35"/>
      <c r="E64" s="166"/>
      <c r="F64" s="68">
        <f t="shared" si="8"/>
        <v>40000000</v>
      </c>
      <c r="G64" s="167"/>
      <c r="H64" s="167"/>
    </row>
    <row r="65" spans="1:8" ht="12.75" customHeight="1" thickBot="1">
      <c r="A65" s="44" t="s">
        <v>11</v>
      </c>
      <c r="B65" s="68">
        <f>SUM(C65:D65)</f>
        <v>40000000</v>
      </c>
      <c r="C65" s="46">
        <f>25000000+15000000</f>
        <v>40000000</v>
      </c>
      <c r="D65" s="51"/>
      <c r="E65" s="166"/>
      <c r="F65" s="110">
        <f t="shared" si="8"/>
        <v>686860000</v>
      </c>
      <c r="G65" s="169"/>
      <c r="H65" s="169"/>
    </row>
    <row r="66" spans="1:8" ht="12.75" customHeight="1" thickBot="1">
      <c r="A66" s="52" t="s">
        <v>67</v>
      </c>
      <c r="B66" s="170">
        <f>SUM(B67+B76+B77+B78+B79+B80+B81+B82+B83+B84+B85+B86+B107)</f>
        <v>13141379000</v>
      </c>
      <c r="C66" s="54">
        <f>SUM(C67+C76+C77+C78+C79+C80+C81+C82+C83+C84+C85+C86+C107)</f>
        <v>3226250000</v>
      </c>
      <c r="D66" s="57">
        <f>SUM(D67+D76+D77+D78+D79+D80+D81+D82+D83+D84+D85+D86+D107)</f>
        <v>9915129000</v>
      </c>
      <c r="E66" s="171"/>
      <c r="F66" s="53">
        <f t="shared" si="8"/>
        <v>18595264000</v>
      </c>
      <c r="G66" s="172"/>
      <c r="H66" s="172"/>
    </row>
    <row r="67" spans="1:8" ht="12.75" customHeight="1">
      <c r="A67" s="173" t="s">
        <v>14</v>
      </c>
      <c r="B67" s="174">
        <f>SUM(B68:B75)</f>
        <v>1000000</v>
      </c>
      <c r="C67" s="175">
        <f>SUM(C68:C75)</f>
        <v>1000000</v>
      </c>
      <c r="D67" s="176">
        <f>SUM(D68:D75)</f>
        <v>0</v>
      </c>
      <c r="E67" s="166"/>
      <c r="F67" s="60">
        <f t="shared" si="8"/>
        <v>178813000</v>
      </c>
      <c r="G67" s="172"/>
      <c r="H67" s="172"/>
    </row>
    <row r="68" spans="1:8" ht="12.75" customHeight="1">
      <c r="A68" s="67" t="s">
        <v>15</v>
      </c>
      <c r="B68" s="68">
        <f>SUM(C68+D68)</f>
        <v>125000</v>
      </c>
      <c r="C68" s="34">
        <v>125000</v>
      </c>
      <c r="D68" s="35"/>
      <c r="E68" s="166"/>
      <c r="F68" s="68">
        <f t="shared" si="8"/>
        <v>22124000</v>
      </c>
      <c r="G68" s="177"/>
      <c r="H68" s="177"/>
    </row>
    <row r="69" spans="1:8" ht="12.75" customHeight="1">
      <c r="A69" s="70" t="s">
        <v>16</v>
      </c>
      <c r="B69" s="68">
        <f aca="true" t="shared" si="9" ref="B69:B75">SUM(C69+D69)</f>
        <v>125000</v>
      </c>
      <c r="C69" s="34">
        <v>125000</v>
      </c>
      <c r="D69" s="71"/>
      <c r="E69" s="166"/>
      <c r="F69" s="68">
        <f t="shared" si="8"/>
        <v>18039000</v>
      </c>
      <c r="G69" s="178"/>
      <c r="H69" s="178"/>
    </row>
    <row r="70" spans="1:8" ht="12.75" customHeight="1">
      <c r="A70" s="72" t="s">
        <v>17</v>
      </c>
      <c r="B70" s="68">
        <f t="shared" si="9"/>
        <v>125000</v>
      </c>
      <c r="C70" s="34">
        <v>125000</v>
      </c>
      <c r="D70" s="74"/>
      <c r="E70" s="166"/>
      <c r="F70" s="68">
        <f t="shared" si="8"/>
        <v>20823000</v>
      </c>
      <c r="G70" s="177"/>
      <c r="H70" s="177"/>
    </row>
    <row r="71" spans="1:8" ht="12.75" customHeight="1">
      <c r="A71" s="70" t="s">
        <v>18</v>
      </c>
      <c r="B71" s="68">
        <f t="shared" si="9"/>
        <v>125000</v>
      </c>
      <c r="C71" s="34">
        <v>125000</v>
      </c>
      <c r="D71" s="71"/>
      <c r="E71" s="166"/>
      <c r="F71" s="68">
        <f t="shared" si="8"/>
        <v>18956000</v>
      </c>
      <c r="G71" s="172"/>
      <c r="H71" s="172"/>
    </row>
    <row r="72" spans="1:8" ht="12.75" customHeight="1">
      <c r="A72" s="72" t="s">
        <v>19</v>
      </c>
      <c r="B72" s="68">
        <f t="shared" si="9"/>
        <v>125000</v>
      </c>
      <c r="C72" s="34">
        <v>125000</v>
      </c>
      <c r="D72" s="74"/>
      <c r="E72" s="166"/>
      <c r="F72" s="68">
        <f t="shared" si="8"/>
        <v>25272000</v>
      </c>
      <c r="G72" s="172"/>
      <c r="H72" s="172"/>
    </row>
    <row r="73" spans="1:8" ht="12.75" customHeight="1">
      <c r="A73" s="70" t="s">
        <v>20</v>
      </c>
      <c r="B73" s="68">
        <f t="shared" si="9"/>
        <v>125000</v>
      </c>
      <c r="C73" s="34">
        <v>125000</v>
      </c>
      <c r="D73" s="71"/>
      <c r="E73" s="166"/>
      <c r="F73" s="68">
        <f t="shared" si="8"/>
        <v>24011000</v>
      </c>
      <c r="G73" s="177"/>
      <c r="H73" s="177"/>
    </row>
    <row r="74" spans="1:8" ht="12.75" customHeight="1">
      <c r="A74" s="72" t="s">
        <v>21</v>
      </c>
      <c r="B74" s="68">
        <f t="shared" si="9"/>
        <v>125000</v>
      </c>
      <c r="C74" s="34">
        <v>125000</v>
      </c>
      <c r="D74" s="74"/>
      <c r="E74" s="166" t="s">
        <v>68</v>
      </c>
      <c r="F74" s="68">
        <f t="shared" si="8"/>
        <v>24285000</v>
      </c>
      <c r="G74" s="178"/>
      <c r="H74" s="178"/>
    </row>
    <row r="75" spans="1:8" ht="12.75" customHeight="1">
      <c r="A75" s="76" t="s">
        <v>22</v>
      </c>
      <c r="B75" s="68">
        <f t="shared" si="9"/>
        <v>125000</v>
      </c>
      <c r="C75" s="50">
        <v>125000</v>
      </c>
      <c r="D75" s="51"/>
      <c r="E75" s="166"/>
      <c r="F75" s="68">
        <f t="shared" si="8"/>
        <v>25303000</v>
      </c>
      <c r="G75" s="178"/>
      <c r="H75" s="178"/>
    </row>
    <row r="76" spans="1:8" ht="12.75" customHeight="1">
      <c r="A76" s="78" t="s">
        <v>23</v>
      </c>
      <c r="B76" s="102">
        <f aca="true" t="shared" si="10" ref="B76:B85">SUM(C76:D76)</f>
        <v>195000000</v>
      </c>
      <c r="C76" s="84">
        <f>27000000+77000000+100000000-10000000+1000000</f>
        <v>195000000</v>
      </c>
      <c r="D76" s="85"/>
      <c r="E76" s="166"/>
      <c r="F76" s="60">
        <f t="shared" si="8"/>
        <v>625610000</v>
      </c>
      <c r="G76" s="179"/>
      <c r="H76" s="179"/>
    </row>
    <row r="77" spans="1:9" ht="12.75" customHeight="1">
      <c r="A77" s="180" t="s">
        <v>69</v>
      </c>
      <c r="B77" s="102">
        <f t="shared" si="10"/>
        <v>0</v>
      </c>
      <c r="C77" s="88"/>
      <c r="D77" s="89"/>
      <c r="E77" s="166"/>
      <c r="F77" s="60">
        <f t="shared" si="8"/>
        <v>2707663000</v>
      </c>
      <c r="G77" s="181">
        <v>2301514000</v>
      </c>
      <c r="H77" s="181">
        <f>140177000+265972000</f>
        <v>406149000</v>
      </c>
      <c r="I77" s="182" t="s">
        <v>70</v>
      </c>
    </row>
    <row r="78" spans="1:9" ht="12.75" customHeight="1">
      <c r="A78" s="28" t="s">
        <v>71</v>
      </c>
      <c r="B78" s="68">
        <f t="shared" si="10"/>
        <v>0</v>
      </c>
      <c r="C78" s="34"/>
      <c r="D78" s="35"/>
      <c r="E78" s="166"/>
      <c r="F78" s="37">
        <f t="shared" si="8"/>
        <v>0</v>
      </c>
      <c r="G78" s="37">
        <f>B22+B78</f>
        <v>0</v>
      </c>
      <c r="H78" s="181"/>
      <c r="I78" s="182"/>
    </row>
    <row r="79" spans="1:9" ht="12.75" customHeight="1">
      <c r="A79" s="36" t="s">
        <v>72</v>
      </c>
      <c r="B79" s="68">
        <f t="shared" si="10"/>
        <v>0</v>
      </c>
      <c r="C79" s="34"/>
      <c r="D79" s="35"/>
      <c r="E79" s="166"/>
      <c r="F79" s="37">
        <f t="shared" si="8"/>
        <v>0</v>
      </c>
      <c r="G79" s="181"/>
      <c r="H79" s="183">
        <f>B23+B79</f>
        <v>0</v>
      </c>
      <c r="I79" s="182"/>
    </row>
    <row r="80" spans="1:9" ht="12.75" customHeight="1">
      <c r="A80" s="28" t="s">
        <v>73</v>
      </c>
      <c r="B80" s="68">
        <f t="shared" si="10"/>
        <v>0</v>
      </c>
      <c r="C80" s="34"/>
      <c r="D80" s="35"/>
      <c r="E80" s="166"/>
      <c r="F80" s="37">
        <f t="shared" si="8"/>
        <v>0</v>
      </c>
      <c r="G80" s="37">
        <f>B24+B80</f>
        <v>0</v>
      </c>
      <c r="H80" s="181"/>
      <c r="I80" s="182"/>
    </row>
    <row r="81" spans="1:9" ht="12.75" customHeight="1">
      <c r="A81" s="36" t="s">
        <v>74</v>
      </c>
      <c r="B81" s="68">
        <f t="shared" si="10"/>
        <v>0</v>
      </c>
      <c r="C81" s="34"/>
      <c r="D81" s="35"/>
      <c r="E81" s="166"/>
      <c r="F81" s="37">
        <f t="shared" si="8"/>
        <v>0</v>
      </c>
      <c r="G81" s="181"/>
      <c r="H81" s="183">
        <f>B25+B81</f>
        <v>0</v>
      </c>
      <c r="I81" s="182"/>
    </row>
    <row r="82" spans="1:8" ht="12.75" customHeight="1">
      <c r="A82" s="28" t="s">
        <v>75</v>
      </c>
      <c r="B82" s="68">
        <f t="shared" si="10"/>
        <v>0</v>
      </c>
      <c r="C82" s="34">
        <v>0</v>
      </c>
      <c r="D82" s="35"/>
      <c r="E82" s="166"/>
      <c r="F82" s="37">
        <f t="shared" si="8"/>
        <v>48808000</v>
      </c>
      <c r="G82" s="37">
        <f>B26+B82</f>
        <v>48808000</v>
      </c>
      <c r="H82" s="184"/>
    </row>
    <row r="83" spans="1:8" ht="12.75" customHeight="1">
      <c r="A83" s="36" t="s">
        <v>76</v>
      </c>
      <c r="B83" s="37">
        <f t="shared" si="10"/>
        <v>0</v>
      </c>
      <c r="C83" s="93">
        <v>0</v>
      </c>
      <c r="D83" s="71"/>
      <c r="E83" s="166"/>
      <c r="F83" s="37">
        <f t="shared" si="8"/>
        <v>32923000</v>
      </c>
      <c r="G83" s="185"/>
      <c r="H83" s="183">
        <f>B27+B83</f>
        <v>32923000</v>
      </c>
    </row>
    <row r="84" spans="1:8" ht="12.75" customHeight="1">
      <c r="A84" s="28" t="s">
        <v>77</v>
      </c>
      <c r="B84" s="37">
        <f t="shared" si="10"/>
        <v>0</v>
      </c>
      <c r="C84" s="93"/>
      <c r="D84" s="71"/>
      <c r="E84" s="166"/>
      <c r="F84" s="68">
        <f t="shared" si="8"/>
        <v>0</v>
      </c>
      <c r="G84" s="186">
        <f>B28+B84</f>
        <v>0</v>
      </c>
      <c r="H84" s="186"/>
    </row>
    <row r="85" spans="1:8" ht="12.75" customHeight="1">
      <c r="A85" s="36" t="s">
        <v>78</v>
      </c>
      <c r="B85" s="37">
        <f t="shared" si="10"/>
        <v>0</v>
      </c>
      <c r="C85" s="75"/>
      <c r="D85" s="74"/>
      <c r="E85" s="166"/>
      <c r="F85" s="37">
        <f t="shared" si="8"/>
        <v>0</v>
      </c>
      <c r="G85" s="185"/>
      <c r="H85" s="183">
        <f>B29+B85</f>
        <v>0</v>
      </c>
    </row>
    <row r="86" spans="1:8" ht="12.75" customHeight="1">
      <c r="A86" s="78" t="s">
        <v>79</v>
      </c>
      <c r="B86" s="102">
        <f>SUM(B87:B106)</f>
        <v>12943379000</v>
      </c>
      <c r="C86" s="84">
        <f>SUM(C87:C106)</f>
        <v>3028250000</v>
      </c>
      <c r="D86" s="85">
        <f>SUM(D87:D106)</f>
        <v>9915129000</v>
      </c>
      <c r="E86" s="166"/>
      <c r="F86" s="60">
        <f>B30+B31+B86</f>
        <v>14843379000</v>
      </c>
      <c r="G86" s="187"/>
      <c r="H86" s="187"/>
    </row>
    <row r="87" spans="1:8" ht="12.75" customHeight="1">
      <c r="A87" s="99" t="s">
        <v>80</v>
      </c>
      <c r="B87" s="110">
        <f>SUM(C87:D87)</f>
        <v>2600000000</v>
      </c>
      <c r="C87" s="75">
        <f>2640000000-15000000-8000000-17000000</f>
        <v>2600000000</v>
      </c>
      <c r="D87" s="74">
        <v>0</v>
      </c>
      <c r="E87" s="166"/>
      <c r="F87" s="110">
        <f>B30+B87</f>
        <v>3600000000</v>
      </c>
      <c r="G87" s="187"/>
      <c r="H87" s="187"/>
    </row>
    <row r="88" spans="1:8" ht="12.75" customHeight="1">
      <c r="A88" s="36" t="s">
        <v>81</v>
      </c>
      <c r="B88" s="37">
        <f>SUM(C88:D88)</f>
        <v>0</v>
      </c>
      <c r="C88" s="93"/>
      <c r="D88" s="71"/>
      <c r="E88" s="166"/>
      <c r="F88" s="37">
        <f>B88</f>
        <v>0</v>
      </c>
      <c r="G88" s="183">
        <f>B88</f>
        <v>0</v>
      </c>
      <c r="H88" s="185"/>
    </row>
    <row r="89" spans="1:8" ht="12.75" customHeight="1">
      <c r="A89" s="44" t="s">
        <v>82</v>
      </c>
      <c r="B89" s="37">
        <f>SUM(C89:D89)</f>
        <v>0</v>
      </c>
      <c r="C89" s="75"/>
      <c r="D89" s="74"/>
      <c r="E89" s="166"/>
      <c r="F89" s="37"/>
      <c r="G89" s="185"/>
      <c r="H89" s="183">
        <f>B89</f>
        <v>0</v>
      </c>
    </row>
    <row r="90" spans="1:8" ht="12.75" customHeight="1">
      <c r="A90" s="36" t="s">
        <v>83</v>
      </c>
      <c r="B90" s="37">
        <f>SUM(C90:D90)</f>
        <v>0</v>
      </c>
      <c r="C90" s="93"/>
      <c r="D90" s="71"/>
      <c r="E90" s="166"/>
      <c r="F90" s="37">
        <f>B90</f>
        <v>0</v>
      </c>
      <c r="G90" s="183">
        <f>B90</f>
        <v>0</v>
      </c>
      <c r="H90" s="185"/>
    </row>
    <row r="91" spans="1:8" ht="12.75" customHeight="1">
      <c r="A91" s="28" t="s">
        <v>84</v>
      </c>
      <c r="B91" s="37">
        <f>SUM(C91:D91)</f>
        <v>0</v>
      </c>
      <c r="C91" s="34"/>
      <c r="D91" s="35"/>
      <c r="E91" s="166"/>
      <c r="F91" s="37"/>
      <c r="G91" s="185"/>
      <c r="H91" s="183">
        <f>B91</f>
        <v>0</v>
      </c>
    </row>
    <row r="92" spans="1:8" ht="12.75" customHeight="1">
      <c r="A92" s="180" t="s">
        <v>85</v>
      </c>
      <c r="B92" s="102">
        <f aca="true" t="shared" si="11" ref="B92:B107">SUM(C92:D92)</f>
        <v>8000000000</v>
      </c>
      <c r="C92" s="84">
        <v>0</v>
      </c>
      <c r="D92" s="85">
        <f>8000000000</f>
        <v>8000000000</v>
      </c>
      <c r="E92" s="166"/>
      <c r="F92" s="60">
        <f>B31+B92</f>
        <v>8900000000</v>
      </c>
      <c r="G92" s="188"/>
      <c r="H92" s="188"/>
    </row>
    <row r="93" spans="1:8" ht="12.75" customHeight="1">
      <c r="A93" s="180" t="s">
        <v>86</v>
      </c>
      <c r="B93" s="102">
        <f t="shared" si="11"/>
        <v>1000000000</v>
      </c>
      <c r="C93" s="88"/>
      <c r="D93" s="89">
        <v>1000000000</v>
      </c>
      <c r="E93" s="166"/>
      <c r="F93" s="60">
        <f>B93</f>
        <v>1000000000</v>
      </c>
      <c r="G93" s="188"/>
      <c r="H93" s="188"/>
    </row>
    <row r="94" spans="1:8" ht="12.75" customHeight="1">
      <c r="A94" s="99" t="s">
        <v>87</v>
      </c>
      <c r="B94" s="110">
        <f t="shared" si="11"/>
        <v>5000000</v>
      </c>
      <c r="C94" s="75">
        <v>5000000</v>
      </c>
      <c r="D94" s="74"/>
      <c r="E94" s="166"/>
      <c r="F94" s="68">
        <f aca="true" t="shared" si="12" ref="F94:F104">B94</f>
        <v>5000000</v>
      </c>
      <c r="G94" s="188"/>
      <c r="H94" s="188"/>
    </row>
    <row r="95" spans="1:8" ht="12.75" customHeight="1">
      <c r="A95" s="36" t="s">
        <v>88</v>
      </c>
      <c r="B95" s="37">
        <f t="shared" si="11"/>
        <v>87209000</v>
      </c>
      <c r="C95" s="42">
        <v>87209000</v>
      </c>
      <c r="D95" s="71"/>
      <c r="E95" s="166"/>
      <c r="F95" s="68">
        <f t="shared" si="12"/>
        <v>87209000</v>
      </c>
      <c r="G95" s="189">
        <f>B95</f>
        <v>87209000</v>
      </c>
      <c r="H95" s="189"/>
    </row>
    <row r="96" spans="1:8" ht="12.75" customHeight="1">
      <c r="A96" s="36" t="s">
        <v>89</v>
      </c>
      <c r="B96" s="37">
        <f t="shared" si="11"/>
        <v>336041000</v>
      </c>
      <c r="C96" s="42">
        <v>336041000</v>
      </c>
      <c r="D96" s="71"/>
      <c r="E96" s="166"/>
      <c r="F96" s="68">
        <f t="shared" si="12"/>
        <v>336041000</v>
      </c>
      <c r="G96" s="189"/>
      <c r="H96" s="189">
        <f>B96</f>
        <v>336041000</v>
      </c>
    </row>
    <row r="97" spans="1:8" ht="12.75" customHeight="1">
      <c r="A97" s="36" t="s">
        <v>90</v>
      </c>
      <c r="B97" s="37">
        <f t="shared" si="11"/>
        <v>0</v>
      </c>
      <c r="C97" s="42"/>
      <c r="D97" s="71"/>
      <c r="E97" s="166"/>
      <c r="F97" s="68"/>
      <c r="G97" s="189">
        <f>B97</f>
        <v>0</v>
      </c>
      <c r="H97" s="189"/>
    </row>
    <row r="98" spans="1:8" ht="12.75" customHeight="1">
      <c r="A98" s="36" t="s">
        <v>91</v>
      </c>
      <c r="B98" s="37">
        <f t="shared" si="11"/>
        <v>0</v>
      </c>
      <c r="C98" s="42"/>
      <c r="D98" s="71"/>
      <c r="E98" s="166"/>
      <c r="F98" s="68"/>
      <c r="G98" s="189"/>
      <c r="H98" s="189">
        <f>B98</f>
        <v>0</v>
      </c>
    </row>
    <row r="99" spans="1:8" ht="12.75" customHeight="1">
      <c r="A99" s="36" t="s">
        <v>92</v>
      </c>
      <c r="B99" s="37">
        <f t="shared" si="11"/>
        <v>0</v>
      </c>
      <c r="C99" s="42"/>
      <c r="D99" s="71">
        <v>0</v>
      </c>
      <c r="E99" s="166"/>
      <c r="F99" s="68">
        <f t="shared" si="12"/>
        <v>0</v>
      </c>
      <c r="G99" s="189">
        <f>B99</f>
        <v>0</v>
      </c>
      <c r="H99" s="189"/>
    </row>
    <row r="100" spans="1:8" ht="12.75" customHeight="1">
      <c r="A100" s="36" t="s">
        <v>93</v>
      </c>
      <c r="B100" s="37">
        <f t="shared" si="11"/>
        <v>23030000</v>
      </c>
      <c r="C100" s="42"/>
      <c r="D100" s="71">
        <v>23030000</v>
      </c>
      <c r="E100" s="166"/>
      <c r="F100" s="68">
        <f t="shared" si="12"/>
        <v>23030000</v>
      </c>
      <c r="G100" s="189"/>
      <c r="H100" s="189">
        <f>B100</f>
        <v>23030000</v>
      </c>
    </row>
    <row r="101" spans="1:8" ht="12.75" customHeight="1">
      <c r="A101" s="36" t="s">
        <v>94</v>
      </c>
      <c r="B101" s="37">
        <f t="shared" si="11"/>
        <v>0</v>
      </c>
      <c r="C101" s="42"/>
      <c r="D101" s="71"/>
      <c r="E101" s="166"/>
      <c r="F101" s="68"/>
      <c r="G101" s="189">
        <f>B101</f>
        <v>0</v>
      </c>
      <c r="H101" s="189"/>
    </row>
    <row r="102" spans="1:8" ht="12.75" customHeight="1">
      <c r="A102" s="36" t="s">
        <v>95</v>
      </c>
      <c r="B102" s="37">
        <f t="shared" si="11"/>
        <v>0</v>
      </c>
      <c r="C102" s="42"/>
      <c r="D102" s="71"/>
      <c r="E102" s="166"/>
      <c r="F102" s="68"/>
      <c r="G102" s="189"/>
      <c r="H102" s="189">
        <f>B102</f>
        <v>0</v>
      </c>
    </row>
    <row r="103" spans="1:8" ht="12.75" customHeight="1">
      <c r="A103" s="36" t="s">
        <v>96</v>
      </c>
      <c r="B103" s="37">
        <f t="shared" si="11"/>
        <v>458036000</v>
      </c>
      <c r="C103" s="42"/>
      <c r="D103" s="71">
        <v>458036000</v>
      </c>
      <c r="E103" s="166"/>
      <c r="F103" s="68">
        <f t="shared" si="12"/>
        <v>458036000</v>
      </c>
      <c r="G103" s="189">
        <f>B103</f>
        <v>458036000</v>
      </c>
      <c r="H103" s="189"/>
    </row>
    <row r="104" spans="1:8" ht="12.75" customHeight="1">
      <c r="A104" s="36" t="s">
        <v>97</v>
      </c>
      <c r="B104" s="37">
        <f t="shared" si="11"/>
        <v>434063000</v>
      </c>
      <c r="C104" s="42"/>
      <c r="D104" s="71">
        <v>434063000</v>
      </c>
      <c r="E104" s="166"/>
      <c r="F104" s="68">
        <f t="shared" si="12"/>
        <v>434063000</v>
      </c>
      <c r="G104" s="189"/>
      <c r="H104" s="189">
        <f>B104</f>
        <v>434063000</v>
      </c>
    </row>
    <row r="105" spans="1:8" ht="12.75" customHeight="1">
      <c r="A105" s="36" t="s">
        <v>98</v>
      </c>
      <c r="B105" s="37">
        <f t="shared" si="11"/>
        <v>0</v>
      </c>
      <c r="C105" s="42"/>
      <c r="D105" s="71"/>
      <c r="E105" s="166"/>
      <c r="F105" s="68"/>
      <c r="G105" s="189">
        <f>B105</f>
        <v>0</v>
      </c>
      <c r="H105" s="189"/>
    </row>
    <row r="106" spans="1:8" ht="12.75" customHeight="1">
      <c r="A106" s="36" t="s">
        <v>99</v>
      </c>
      <c r="B106" s="37">
        <f t="shared" si="11"/>
        <v>0</v>
      </c>
      <c r="C106" s="42"/>
      <c r="D106" s="71"/>
      <c r="E106" s="166"/>
      <c r="F106" s="68"/>
      <c r="G106" s="189"/>
      <c r="H106" s="189">
        <f>B106</f>
        <v>0</v>
      </c>
    </row>
    <row r="107" spans="1:8" ht="12.75" customHeight="1" thickBot="1">
      <c r="A107" s="190" t="s">
        <v>35</v>
      </c>
      <c r="B107" s="191">
        <f t="shared" si="11"/>
        <v>2000000</v>
      </c>
      <c r="C107" s="192">
        <v>2000000</v>
      </c>
      <c r="D107" s="193"/>
      <c r="E107" s="166"/>
      <c r="F107" s="37">
        <f aca="true" t="shared" si="13" ref="F107:F112">B32+B107</f>
        <v>158068000</v>
      </c>
      <c r="G107" s="194"/>
      <c r="H107" s="194"/>
    </row>
    <row r="108" spans="1:8" ht="12.75" customHeight="1" thickBot="1">
      <c r="A108" s="105" t="s">
        <v>36</v>
      </c>
      <c r="B108" s="53">
        <f>SUM(B109)</f>
        <v>1000000</v>
      </c>
      <c r="C108" s="54">
        <f>SUM(C109)</f>
        <v>1000000</v>
      </c>
      <c r="D108" s="57">
        <f>SUM(D109)</f>
        <v>0</v>
      </c>
      <c r="E108" s="166"/>
      <c r="F108" s="53">
        <f t="shared" si="13"/>
        <v>40663000</v>
      </c>
      <c r="G108" s="195"/>
      <c r="H108" s="195"/>
    </row>
    <row r="109" spans="1:8" ht="12.75" customHeight="1" thickBot="1">
      <c r="A109" s="109" t="s">
        <v>37</v>
      </c>
      <c r="B109" s="68">
        <f>SUM(C109+D109+E109)</f>
        <v>1000000</v>
      </c>
      <c r="C109" s="30">
        <v>1000000</v>
      </c>
      <c r="D109" s="35"/>
      <c r="E109" s="166"/>
      <c r="F109" s="110">
        <f t="shared" si="13"/>
        <v>40663000</v>
      </c>
      <c r="G109" s="195"/>
      <c r="H109" s="195"/>
    </row>
    <row r="110" spans="1:8" ht="12.75" customHeight="1" thickBot="1">
      <c r="A110" s="105" t="s">
        <v>38</v>
      </c>
      <c r="B110" s="53">
        <f>SUM(B111:B126)</f>
        <v>1995678000</v>
      </c>
      <c r="C110" s="54">
        <f>SUM(C111:C126)</f>
        <v>500000</v>
      </c>
      <c r="D110" s="57">
        <f>SUM(D111:D126)</f>
        <v>1995178000</v>
      </c>
      <c r="E110" s="166"/>
      <c r="F110" s="53">
        <f t="shared" si="13"/>
        <v>11167561000</v>
      </c>
      <c r="G110" s="195"/>
      <c r="H110" s="195"/>
    </row>
    <row r="111" spans="1:8" ht="12.75" customHeight="1">
      <c r="A111" s="196" t="s">
        <v>100</v>
      </c>
      <c r="B111" s="174">
        <f>SUM(C111:D111)</f>
        <v>0</v>
      </c>
      <c r="C111" s="197"/>
      <c r="D111" s="176"/>
      <c r="E111" s="166"/>
      <c r="F111" s="174">
        <f t="shared" si="13"/>
        <v>5000000000</v>
      </c>
      <c r="G111" s="198"/>
      <c r="H111" s="199"/>
    </row>
    <row r="112" spans="1:8" ht="12.75" customHeight="1">
      <c r="A112" s="28" t="s">
        <v>101</v>
      </c>
      <c r="B112" s="110">
        <f>SUM(C112:D112)</f>
        <v>0</v>
      </c>
      <c r="C112" s="100"/>
      <c r="D112" s="74">
        <v>0</v>
      </c>
      <c r="E112" s="166"/>
      <c r="F112" s="110">
        <f t="shared" si="13"/>
        <v>0</v>
      </c>
      <c r="G112" s="198"/>
      <c r="H112" s="199"/>
    </row>
    <row r="113" spans="1:8" ht="12.75" customHeight="1">
      <c r="A113" s="28" t="s">
        <v>102</v>
      </c>
      <c r="B113" s="37">
        <f>SUM(C113:D113)</f>
        <v>0</v>
      </c>
      <c r="C113" s="38"/>
      <c r="D113" s="71"/>
      <c r="E113" s="166"/>
      <c r="F113" s="37">
        <f>B113</f>
        <v>0</v>
      </c>
      <c r="G113" s="189">
        <f>B113</f>
        <v>0</v>
      </c>
      <c r="H113" s="200"/>
    </row>
    <row r="114" spans="1:8" ht="12.75" customHeight="1">
      <c r="A114" s="36" t="s">
        <v>103</v>
      </c>
      <c r="B114" s="68">
        <f>SUM(C114:D114)</f>
        <v>0</v>
      </c>
      <c r="C114" s="30"/>
      <c r="D114" s="35"/>
      <c r="E114" s="166"/>
      <c r="F114" s="37">
        <f>B114</f>
        <v>0</v>
      </c>
      <c r="G114" s="28"/>
      <c r="H114" s="90">
        <f>B114</f>
        <v>0</v>
      </c>
    </row>
    <row r="115" spans="1:8" ht="12.75" customHeight="1">
      <c r="A115" s="78" t="s">
        <v>104</v>
      </c>
      <c r="B115" s="102">
        <f aca="true" t="shared" si="14" ref="B115:B126">SUM(C115:D115)</f>
        <v>0</v>
      </c>
      <c r="C115" s="80"/>
      <c r="D115" s="201"/>
      <c r="E115" s="202"/>
      <c r="F115" s="102">
        <f>B38+B115</f>
        <v>4100000000</v>
      </c>
      <c r="G115" s="198"/>
      <c r="H115" s="199"/>
    </row>
    <row r="116" spans="1:8" ht="12.75" customHeight="1">
      <c r="A116" s="36" t="s">
        <v>105</v>
      </c>
      <c r="B116" s="37">
        <f>SUM(C116:D116)</f>
        <v>20000000</v>
      </c>
      <c r="C116" s="38"/>
      <c r="D116" s="71">
        <v>20000000</v>
      </c>
      <c r="E116" s="202"/>
      <c r="F116" s="68">
        <f>B39+B116</f>
        <v>25000000</v>
      </c>
      <c r="G116" s="198"/>
      <c r="H116" s="199"/>
    </row>
    <row r="117" spans="1:8" ht="12.75" customHeight="1">
      <c r="A117" s="36" t="s">
        <v>106</v>
      </c>
      <c r="B117" s="37">
        <f t="shared" si="14"/>
        <v>90165000</v>
      </c>
      <c r="C117" s="38"/>
      <c r="D117" s="71">
        <v>90165000</v>
      </c>
      <c r="E117" s="203"/>
      <c r="F117" s="37">
        <f>B117</f>
        <v>90165000</v>
      </c>
      <c r="G117" s="189">
        <f>B117</f>
        <v>90165000</v>
      </c>
      <c r="H117" s="189"/>
    </row>
    <row r="118" spans="1:8" ht="12.75" customHeight="1">
      <c r="A118" s="36" t="s">
        <v>107</v>
      </c>
      <c r="B118" s="110">
        <f t="shared" si="14"/>
        <v>285013000</v>
      </c>
      <c r="C118" s="30"/>
      <c r="D118" s="35">
        <v>285013000</v>
      </c>
      <c r="E118" s="203"/>
      <c r="F118" s="68">
        <f>B118</f>
        <v>285013000</v>
      </c>
      <c r="G118" s="189"/>
      <c r="H118" s="189">
        <f>B118</f>
        <v>285013000</v>
      </c>
    </row>
    <row r="119" spans="1:8" ht="12.75" customHeight="1">
      <c r="A119" s="28" t="s">
        <v>108</v>
      </c>
      <c r="B119" s="37">
        <f t="shared" si="14"/>
        <v>0</v>
      </c>
      <c r="C119" s="30"/>
      <c r="D119" s="35"/>
      <c r="E119" s="203"/>
      <c r="F119" s="68"/>
      <c r="G119" s="189">
        <f>B119</f>
        <v>0</v>
      </c>
      <c r="H119" s="189"/>
    </row>
    <row r="120" spans="1:8" ht="12.75" customHeight="1">
      <c r="A120" s="36" t="s">
        <v>109</v>
      </c>
      <c r="B120" s="110">
        <f t="shared" si="14"/>
        <v>0</v>
      </c>
      <c r="C120" s="30"/>
      <c r="D120" s="35"/>
      <c r="E120" s="203"/>
      <c r="F120" s="68"/>
      <c r="G120" s="189"/>
      <c r="H120" s="189">
        <f>B120</f>
        <v>0</v>
      </c>
    </row>
    <row r="121" spans="1:8" ht="12.75" customHeight="1">
      <c r="A121" s="36" t="s">
        <v>110</v>
      </c>
      <c r="B121" s="37">
        <f t="shared" si="14"/>
        <v>0</v>
      </c>
      <c r="C121" s="38"/>
      <c r="D121" s="71">
        <v>0</v>
      </c>
      <c r="E121" s="166"/>
      <c r="F121" s="68">
        <f>B121</f>
        <v>0</v>
      </c>
      <c r="G121" s="204">
        <f>B121</f>
        <v>0</v>
      </c>
      <c r="H121" s="205"/>
    </row>
    <row r="122" spans="1:8" ht="12.75" customHeight="1">
      <c r="A122" s="36" t="s">
        <v>111</v>
      </c>
      <c r="B122" s="37">
        <f t="shared" si="14"/>
        <v>0</v>
      </c>
      <c r="C122" s="38"/>
      <c r="D122" s="71">
        <v>0</v>
      </c>
      <c r="E122" s="166"/>
      <c r="F122" s="68">
        <f>B122</f>
        <v>0</v>
      </c>
      <c r="G122" s="189"/>
      <c r="H122" s="189">
        <f>B122</f>
        <v>0</v>
      </c>
    </row>
    <row r="123" spans="1:8" ht="12.75" customHeight="1">
      <c r="A123" s="36" t="s">
        <v>112</v>
      </c>
      <c r="B123" s="37">
        <f t="shared" si="14"/>
        <v>0</v>
      </c>
      <c r="C123" s="38"/>
      <c r="D123" s="71"/>
      <c r="E123" s="166"/>
      <c r="F123" s="68"/>
      <c r="G123" s="189">
        <f>B123</f>
        <v>0</v>
      </c>
      <c r="H123" s="189"/>
    </row>
    <row r="124" spans="1:8" ht="12.75" customHeight="1">
      <c r="A124" s="36" t="s">
        <v>113</v>
      </c>
      <c r="B124" s="110">
        <f t="shared" si="14"/>
        <v>0</v>
      </c>
      <c r="C124" s="38"/>
      <c r="D124" s="71"/>
      <c r="E124" s="166"/>
      <c r="F124" s="68"/>
      <c r="G124" s="189"/>
      <c r="H124" s="189">
        <f>B124</f>
        <v>0</v>
      </c>
    </row>
    <row r="125" spans="1:8" ht="12.75" customHeight="1">
      <c r="A125" s="78" t="s">
        <v>114</v>
      </c>
      <c r="B125" s="102">
        <f t="shared" si="14"/>
        <v>1600000000</v>
      </c>
      <c r="C125" s="80"/>
      <c r="D125" s="85">
        <v>1600000000</v>
      </c>
      <c r="E125" s="166"/>
      <c r="F125" s="102">
        <f>B125</f>
        <v>1600000000</v>
      </c>
      <c r="G125" s="206"/>
      <c r="H125" s="207"/>
    </row>
    <row r="126" spans="1:8" ht="12.75" customHeight="1" thickBot="1">
      <c r="A126" s="119" t="s">
        <v>115</v>
      </c>
      <c r="B126" s="37">
        <f t="shared" si="14"/>
        <v>500000</v>
      </c>
      <c r="C126" s="38">
        <v>500000</v>
      </c>
      <c r="D126" s="71"/>
      <c r="E126" s="166"/>
      <c r="F126" s="191">
        <f>B40+B126</f>
        <v>67383000</v>
      </c>
      <c r="G126" s="206"/>
      <c r="H126" s="207"/>
    </row>
    <row r="127" spans="1:8" ht="12.75" customHeight="1" thickBot="1">
      <c r="A127" s="105" t="s">
        <v>45</v>
      </c>
      <c r="B127" s="53">
        <f>SUM(B128:B132)</f>
        <v>7779000</v>
      </c>
      <c r="C127" s="54">
        <f>SUM(C128:C132)</f>
        <v>1000000</v>
      </c>
      <c r="D127" s="57">
        <f>SUM(D128:D132)</f>
        <v>6779000</v>
      </c>
      <c r="E127" s="203"/>
      <c r="F127" s="53">
        <f>B42+B127</f>
        <v>166988000</v>
      </c>
      <c r="G127" s="206"/>
      <c r="H127" s="207"/>
    </row>
    <row r="128" spans="1:8" ht="12.75" customHeight="1">
      <c r="A128" s="123" t="s">
        <v>46</v>
      </c>
      <c r="B128" s="110">
        <f aca="true" t="shared" si="15" ref="B128:B135">SUM(C128:D128)</f>
        <v>0</v>
      </c>
      <c r="C128" s="100"/>
      <c r="D128" s="74">
        <v>0</v>
      </c>
      <c r="E128" s="166"/>
      <c r="F128" s="110">
        <f>B43+B128</f>
        <v>100000000</v>
      </c>
      <c r="G128" s="194"/>
      <c r="H128" s="194"/>
    </row>
    <row r="129" spans="1:8" ht="12.75" customHeight="1">
      <c r="A129" s="119" t="s">
        <v>47</v>
      </c>
      <c r="B129" s="37">
        <f t="shared" si="15"/>
        <v>6000000</v>
      </c>
      <c r="C129" s="38"/>
      <c r="D129" s="71">
        <v>6000000</v>
      </c>
      <c r="E129" s="166"/>
      <c r="F129" s="37">
        <f>B44+B129</f>
        <v>6000000</v>
      </c>
      <c r="G129" s="194"/>
      <c r="H129" s="194"/>
    </row>
    <row r="130" spans="1:8" ht="12.75" customHeight="1">
      <c r="A130" s="119" t="s">
        <v>116</v>
      </c>
      <c r="B130" s="37">
        <f t="shared" si="15"/>
        <v>779000</v>
      </c>
      <c r="C130" s="38"/>
      <c r="D130" s="71">
        <v>779000</v>
      </c>
      <c r="E130" s="203"/>
      <c r="F130" s="37">
        <v>0</v>
      </c>
      <c r="G130" s="189">
        <f>B130</f>
        <v>779000</v>
      </c>
      <c r="H130" s="208"/>
    </row>
    <row r="131" spans="1:8" ht="12.75" customHeight="1">
      <c r="A131" s="119" t="s">
        <v>117</v>
      </c>
      <c r="B131" s="37">
        <f t="shared" si="15"/>
        <v>0</v>
      </c>
      <c r="C131" s="46"/>
      <c r="D131" s="51">
        <v>0</v>
      </c>
      <c r="E131" s="166"/>
      <c r="F131" s="68">
        <f>B131</f>
        <v>0</v>
      </c>
      <c r="G131" s="208"/>
      <c r="H131" s="189">
        <f>B131</f>
        <v>0</v>
      </c>
    </row>
    <row r="132" spans="1:8" ht="12.75" customHeight="1" thickBot="1">
      <c r="A132" s="209" t="s">
        <v>48</v>
      </c>
      <c r="B132" s="191">
        <f t="shared" si="15"/>
        <v>1000000</v>
      </c>
      <c r="C132" s="210">
        <v>1000000</v>
      </c>
      <c r="D132" s="211"/>
      <c r="E132" s="166"/>
      <c r="F132" s="110">
        <f>B45+B132</f>
        <v>60209000</v>
      </c>
      <c r="G132" s="195"/>
      <c r="H132" s="195"/>
    </row>
    <row r="133" spans="1:8" ht="12.75" customHeight="1" thickBot="1">
      <c r="A133" s="105" t="s">
        <v>49</v>
      </c>
      <c r="B133" s="53">
        <f t="shared" si="15"/>
        <v>0</v>
      </c>
      <c r="C133" s="212">
        <f>SUM(C134:C135)</f>
        <v>0</v>
      </c>
      <c r="D133" s="213">
        <f>SUM(D134:D135)</f>
        <v>0</v>
      </c>
      <c r="E133" s="171"/>
      <c r="F133" s="53">
        <f>B46+B133</f>
        <v>20000000</v>
      </c>
      <c r="G133" s="214"/>
      <c r="H133" s="215"/>
    </row>
    <row r="134" spans="1:8" ht="12.75" customHeight="1">
      <c r="A134" s="28" t="s">
        <v>118</v>
      </c>
      <c r="B134" s="29">
        <f t="shared" si="15"/>
        <v>0</v>
      </c>
      <c r="C134" s="216"/>
      <c r="D134" s="217"/>
      <c r="E134" s="171"/>
      <c r="F134" s="29">
        <f>B134</f>
        <v>0</v>
      </c>
      <c r="G134" s="204">
        <f>B134</f>
        <v>0</v>
      </c>
      <c r="H134" s="218"/>
    </row>
    <row r="135" spans="1:8" ht="12.75" customHeight="1" thickBot="1">
      <c r="A135" s="36" t="s">
        <v>119</v>
      </c>
      <c r="B135" s="191">
        <f t="shared" si="15"/>
        <v>0</v>
      </c>
      <c r="C135" s="219"/>
      <c r="D135" s="220"/>
      <c r="E135" s="171"/>
      <c r="F135" s="191">
        <f>B135</f>
        <v>0</v>
      </c>
      <c r="G135" s="221"/>
      <c r="H135" s="222">
        <f>B135</f>
        <v>0</v>
      </c>
    </row>
    <row r="136" spans="1:8" ht="12.75" customHeight="1" thickBot="1">
      <c r="A136" s="124" t="s">
        <v>50</v>
      </c>
      <c r="B136" s="125">
        <f>SUM(B137:B138)</f>
        <v>22153000</v>
      </c>
      <c r="C136" s="126">
        <f>SUM(C137:C138)</f>
        <v>22153000</v>
      </c>
      <c r="D136" s="130">
        <f>SUM(D137:D138)</f>
        <v>0</v>
      </c>
      <c r="E136" s="166"/>
      <c r="F136" s="125">
        <f aca="true" t="shared" si="16" ref="F136:F144">B47+B136</f>
        <v>154944000</v>
      </c>
      <c r="G136" s="214"/>
      <c r="H136" s="215"/>
    </row>
    <row r="137" spans="1:8" ht="12.75" customHeight="1">
      <c r="A137" s="109" t="s">
        <v>51</v>
      </c>
      <c r="B137" s="68">
        <f aca="true" t="shared" si="17" ref="B137:B143">SUM(C137:D137)</f>
        <v>21153000</v>
      </c>
      <c r="C137" s="30">
        <f>2000000+4200000+3000000+500000+11453000</f>
        <v>21153000</v>
      </c>
      <c r="D137" s="35"/>
      <c r="E137" s="166"/>
      <c r="F137" s="68">
        <f t="shared" si="16"/>
        <v>143440000</v>
      </c>
      <c r="G137" s="206"/>
      <c r="H137" s="207"/>
    </row>
    <row r="138" spans="1:8" ht="12.75" customHeight="1">
      <c r="A138" s="119" t="s">
        <v>52</v>
      </c>
      <c r="B138" s="68">
        <f t="shared" si="17"/>
        <v>1000000</v>
      </c>
      <c r="C138" s="38">
        <v>1000000</v>
      </c>
      <c r="D138" s="35"/>
      <c r="E138" s="166"/>
      <c r="F138" s="68">
        <f t="shared" si="16"/>
        <v>11504000</v>
      </c>
      <c r="G138" s="206"/>
      <c r="H138" s="207"/>
    </row>
    <row r="139" spans="1:8" ht="12.75" customHeight="1">
      <c r="A139" s="131" t="s">
        <v>120</v>
      </c>
      <c r="B139" s="223">
        <f t="shared" si="17"/>
        <v>0</v>
      </c>
      <c r="C139" s="133"/>
      <c r="D139" s="224"/>
      <c r="E139" s="166"/>
      <c r="F139" s="223">
        <f t="shared" si="16"/>
        <v>12000000</v>
      </c>
      <c r="G139" s="206"/>
      <c r="H139" s="207"/>
    </row>
    <row r="140" spans="1:8" ht="12.75" customHeight="1">
      <c r="A140" s="131" t="s">
        <v>54</v>
      </c>
      <c r="B140" s="223">
        <f t="shared" si="17"/>
        <v>0</v>
      </c>
      <c r="C140" s="133"/>
      <c r="D140" s="224"/>
      <c r="E140" s="166"/>
      <c r="F140" s="223">
        <f t="shared" si="16"/>
        <v>5000000</v>
      </c>
      <c r="G140" s="194"/>
      <c r="H140" s="194"/>
    </row>
    <row r="141" spans="1:8" ht="12.75" customHeight="1">
      <c r="A141" s="131" t="s">
        <v>121</v>
      </c>
      <c r="B141" s="223">
        <f t="shared" si="17"/>
        <v>10000000</v>
      </c>
      <c r="C141" s="133"/>
      <c r="D141" s="224">
        <v>10000000</v>
      </c>
      <c r="E141" s="166"/>
      <c r="F141" s="223">
        <f t="shared" si="16"/>
        <v>10000000</v>
      </c>
      <c r="G141" s="194"/>
      <c r="H141" s="194"/>
    </row>
    <row r="142" spans="1:8" ht="12.75" customHeight="1">
      <c r="A142" s="140" t="s">
        <v>56</v>
      </c>
      <c r="B142" s="223">
        <f t="shared" si="17"/>
        <v>1000000</v>
      </c>
      <c r="C142" s="133">
        <v>1000000</v>
      </c>
      <c r="D142" s="224"/>
      <c r="E142" s="166"/>
      <c r="F142" s="223">
        <f t="shared" si="16"/>
        <v>24711000</v>
      </c>
      <c r="G142" s="195"/>
      <c r="H142" s="195"/>
    </row>
    <row r="143" spans="1:8" ht="12.75" customHeight="1" thickBot="1">
      <c r="A143" s="141" t="s">
        <v>57</v>
      </c>
      <c r="B143" s="223">
        <f t="shared" si="17"/>
        <v>0</v>
      </c>
      <c r="C143" s="133"/>
      <c r="D143" s="138"/>
      <c r="E143" s="166"/>
      <c r="F143" s="225">
        <f t="shared" si="16"/>
        <v>2000000</v>
      </c>
      <c r="G143" s="195"/>
      <c r="H143" s="226"/>
    </row>
    <row r="144" spans="1:8" ht="13.5" customHeight="1" thickBot="1">
      <c r="A144" s="227" t="s">
        <v>58</v>
      </c>
      <c r="B144" s="228">
        <f>SUM(B63+B64+B65+B66+B108+B110+B127+B133+B136+B139+B140+B141+B142+B143)</f>
        <v>15218989000</v>
      </c>
      <c r="C144" s="229">
        <f>SUM(C63+C64+C65+C66+C108+C110+C127+C133+C136+C139+C140+C141+C142+C143)</f>
        <v>3291903000</v>
      </c>
      <c r="D144" s="230">
        <f>SUM(D63+D64+D65+D66+D108+D110+D127+D133+D136+D139+D140+D141+D142+D143)</f>
        <v>11927086000</v>
      </c>
      <c r="E144" s="166"/>
      <c r="F144" s="228">
        <f t="shared" si="16"/>
        <v>30948026000</v>
      </c>
      <c r="G144" s="231">
        <f>SUM(G77+G78+G80+G82+G84+G88+G90+G95+G97+G99+G101+G103+G105+G113+G117+G119+G121+G123+G130+G134)</f>
        <v>2986511000</v>
      </c>
      <c r="H144" s="231">
        <f>SUM(H77+H79+H81+H83+H85+H89+H91+H96+H98+H100+H102+H104+H106+H114+H118+H120+H122+H124+H131+H135)</f>
        <v>1517219000</v>
      </c>
    </row>
    <row r="145" spans="1:20" ht="13.5" customHeight="1">
      <c r="A145" s="149"/>
      <c r="B145" s="150"/>
      <c r="C145" s="150"/>
      <c r="D145" s="150"/>
      <c r="E145" s="166"/>
      <c r="F145" s="150"/>
      <c r="G145" s="151"/>
      <c r="H145" s="151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</row>
    <row r="146" spans="1:14" ht="15" customHeight="1" thickBot="1">
      <c r="A146" s="233"/>
      <c r="B146" s="234"/>
      <c r="C146" s="235"/>
      <c r="D146" s="236"/>
      <c r="E146" s="237"/>
      <c r="F146" s="237"/>
      <c r="G146" s="237"/>
      <c r="H146" s="237"/>
      <c r="I146" s="238"/>
      <c r="J146" s="238"/>
      <c r="K146" s="238"/>
      <c r="L146" s="238"/>
      <c r="M146" s="238"/>
      <c r="N146" s="238"/>
    </row>
    <row r="147" spans="1:14" ht="15" customHeight="1" thickBot="1">
      <c r="A147" s="239" t="s">
        <v>122</v>
      </c>
      <c r="B147" s="240" t="s">
        <v>123</v>
      </c>
      <c r="C147" s="241" t="s">
        <v>124</v>
      </c>
      <c r="D147" s="233"/>
      <c r="E147" s="242"/>
      <c r="F147" s="242"/>
      <c r="G147" s="242"/>
      <c r="H147" s="242"/>
      <c r="I147" s="238"/>
      <c r="J147" s="238"/>
      <c r="K147" s="238"/>
      <c r="L147" s="238"/>
      <c r="M147" s="238"/>
      <c r="N147" s="238"/>
    </row>
    <row r="148" spans="1:14" ht="15" customHeight="1" thickBot="1">
      <c r="A148" s="243" t="s">
        <v>125</v>
      </c>
      <c r="B148" s="244">
        <f>SUM(B149:B150)</f>
        <v>6243000</v>
      </c>
      <c r="C148" s="245">
        <f>SUM(C149:C150)</f>
        <v>0</v>
      </c>
      <c r="D148" s="246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</row>
    <row r="149" spans="1:14" ht="15" customHeight="1">
      <c r="A149" s="247" t="s">
        <v>126</v>
      </c>
      <c r="B149" s="248">
        <v>2806000</v>
      </c>
      <c r="C149" s="249">
        <v>0</v>
      </c>
      <c r="D149" s="250"/>
      <c r="E149" s="251"/>
      <c r="F149" s="238"/>
      <c r="G149" s="238"/>
      <c r="H149" s="238"/>
      <c r="I149" s="238"/>
      <c r="J149" s="238"/>
      <c r="K149" s="238"/>
      <c r="L149" s="238"/>
      <c r="M149" s="238"/>
      <c r="N149" s="238"/>
    </row>
    <row r="150" spans="1:14" ht="15" customHeight="1" thickBot="1">
      <c r="A150" s="252" t="s">
        <v>127</v>
      </c>
      <c r="B150" s="253">
        <v>3437000</v>
      </c>
      <c r="C150" s="254">
        <v>0</v>
      </c>
      <c r="D150" s="250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</row>
    <row r="151" spans="1:14" ht="15" customHeight="1">
      <c r="A151" s="237"/>
      <c r="B151" s="255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</row>
    <row r="152" spans="1:28" ht="15.75">
      <c r="A152" s="256"/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</row>
    <row r="153" spans="1:28" ht="15.75">
      <c r="A153" s="256"/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</row>
    <row r="154" spans="1:28" ht="15.75">
      <c r="A154" s="256"/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</row>
    <row r="155" spans="1:28" ht="15.75">
      <c r="A155" s="256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</row>
    <row r="156" spans="1:28" ht="15.75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</row>
    <row r="157" spans="1:28" ht="15.75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</row>
    <row r="158" spans="1:28" ht="15.75">
      <c r="A158" s="256"/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</row>
    <row r="159" spans="1:28" ht="15.75">
      <c r="A159" s="256"/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</row>
    <row r="160" spans="1:28" ht="15.75">
      <c r="A160" s="256"/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</row>
    <row r="161" spans="1:28" ht="15.75">
      <c r="A161" s="256"/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</row>
    <row r="162" spans="1:28" ht="15.75">
      <c r="A162" s="256"/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</row>
    <row r="163" spans="1:28" ht="15.75">
      <c r="A163" s="256"/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</row>
    <row r="164" spans="1:28" ht="15.75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</row>
    <row r="165" spans="1:28" ht="15.75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</row>
    <row r="166" spans="1:28" ht="15.75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</row>
    <row r="167" spans="1:28" ht="15.75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</row>
    <row r="168" spans="1:28" ht="15.75">
      <c r="A168" s="256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</row>
    <row r="169" spans="1:28" ht="15.75">
      <c r="A169" s="256"/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</row>
    <row r="170" spans="1:28" ht="15.75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</row>
    <row r="171" spans="1:28" ht="15.75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</row>
    <row r="172" spans="1:28" ht="15.75">
      <c r="A172" s="256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</row>
    <row r="173" spans="1:28" ht="15.75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</row>
    <row r="174" spans="1:28" ht="15.75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</row>
    <row r="175" spans="1:28" ht="15.75">
      <c r="A175" s="256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</row>
    <row r="176" spans="1:28" ht="15.75">
      <c r="A176" s="256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</row>
    <row r="177" spans="1:28" ht="15.75">
      <c r="A177" s="256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</row>
    <row r="178" spans="1:28" ht="15.75">
      <c r="A178" s="256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256"/>
    </row>
    <row r="179" spans="1:28" ht="15.75">
      <c r="A179" s="256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6"/>
    </row>
    <row r="180" spans="1:28" ht="15.75">
      <c r="A180" s="256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</row>
    <row r="181" spans="1:28" ht="15.75">
      <c r="A181" s="256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6"/>
      <c r="AB181" s="256"/>
    </row>
    <row r="182" spans="1:28" ht="15.75">
      <c r="A182" s="256"/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</row>
    <row r="183" spans="1:28" ht="15.75">
      <c r="A183" s="256"/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</row>
    <row r="184" spans="1:28" ht="15.75">
      <c r="A184" s="256"/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</row>
    <row r="185" spans="1:28" ht="15.75">
      <c r="A185" s="256"/>
      <c r="B185" s="256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  <c r="AB185" s="256"/>
    </row>
    <row r="186" spans="1:28" ht="15.75">
      <c r="A186" s="256"/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</row>
    <row r="187" spans="1:28" ht="15.75">
      <c r="A187" s="256"/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</row>
    <row r="188" spans="1:28" ht="15.75">
      <c r="A188" s="256"/>
      <c r="B188" s="256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</row>
    <row r="189" spans="1:28" ht="15.75">
      <c r="A189" s="256"/>
      <c r="B189" s="256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6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6"/>
    </row>
    <row r="190" spans="1:28" ht="15.75">
      <c r="A190" s="256"/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</row>
    <row r="191" spans="1:28" ht="15.75">
      <c r="A191" s="256"/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6"/>
      <c r="X191" s="256"/>
      <c r="Y191" s="256"/>
      <c r="Z191" s="256"/>
      <c r="AA191" s="256"/>
      <c r="AB191" s="256"/>
    </row>
    <row r="192" spans="1:28" ht="15.75">
      <c r="A192" s="256"/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</row>
    <row r="193" spans="1:28" ht="15.75">
      <c r="A193" s="256"/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6"/>
    </row>
    <row r="194" spans="1:28" ht="15.75">
      <c r="A194" s="256"/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56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6"/>
    </row>
    <row r="195" spans="1:28" ht="15.75">
      <c r="A195" s="256"/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Q195" s="256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</row>
    <row r="196" spans="1:28" ht="15.75">
      <c r="A196" s="256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</row>
    <row r="197" spans="1:28" ht="15.75">
      <c r="A197" s="256"/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6"/>
    </row>
    <row r="198" spans="1:28" ht="15.75">
      <c r="A198" s="256"/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6"/>
    </row>
    <row r="199" spans="1:28" ht="15.75">
      <c r="A199" s="256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</row>
    <row r="200" spans="1:28" ht="15.75">
      <c r="A200" s="256"/>
      <c r="B200" s="256"/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56"/>
      <c r="S200" s="256"/>
      <c r="T200" s="256"/>
      <c r="U200" s="256"/>
      <c r="V200" s="256"/>
      <c r="W200" s="256"/>
      <c r="X200" s="256"/>
      <c r="Y200" s="256"/>
      <c r="Z200" s="256"/>
      <c r="AA200" s="256"/>
      <c r="AB200" s="256"/>
    </row>
    <row r="201" spans="1:28" ht="15.75">
      <c r="A201" s="256"/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6"/>
      <c r="W201" s="256"/>
      <c r="X201" s="256"/>
      <c r="Y201" s="256"/>
      <c r="Z201" s="256"/>
      <c r="AA201" s="256"/>
      <c r="AB201" s="256"/>
    </row>
    <row r="202" spans="1:28" ht="15.75">
      <c r="A202" s="256"/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56"/>
      <c r="X202" s="256"/>
      <c r="Y202" s="256"/>
      <c r="Z202" s="256"/>
      <c r="AA202" s="256"/>
      <c r="AB202" s="256"/>
    </row>
    <row r="203" spans="1:28" ht="15.75">
      <c r="A203" s="256"/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6"/>
      <c r="Y203" s="256"/>
      <c r="Z203" s="256"/>
      <c r="AA203" s="256"/>
      <c r="AB203" s="256"/>
    </row>
    <row r="204" spans="1:28" ht="15.75">
      <c r="A204" s="256"/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6"/>
      <c r="W204" s="256"/>
      <c r="X204" s="256"/>
      <c r="Y204" s="256"/>
      <c r="Z204" s="256"/>
      <c r="AA204" s="256"/>
      <c r="AB204" s="256"/>
    </row>
    <row r="205" spans="1:28" ht="15.75">
      <c r="A205" s="256"/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Q205" s="256"/>
      <c r="R205" s="256"/>
      <c r="S205" s="256"/>
      <c r="T205" s="256"/>
      <c r="U205" s="256"/>
      <c r="V205" s="256"/>
      <c r="W205" s="256"/>
      <c r="X205" s="256"/>
      <c r="Y205" s="256"/>
      <c r="Z205" s="256"/>
      <c r="AA205" s="256"/>
      <c r="AB205" s="256"/>
    </row>
    <row r="206" spans="1:28" ht="15.75">
      <c r="A206" s="256"/>
      <c r="B206" s="256"/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Q206" s="256"/>
      <c r="R206" s="256"/>
      <c r="S206" s="256"/>
      <c r="T206" s="256"/>
      <c r="U206" s="256"/>
      <c r="V206" s="256"/>
      <c r="W206" s="256"/>
      <c r="X206" s="256"/>
      <c r="Y206" s="256"/>
      <c r="Z206" s="256"/>
      <c r="AA206" s="256"/>
      <c r="AB206" s="256"/>
    </row>
    <row r="207" spans="1:28" ht="15.75">
      <c r="A207" s="256"/>
      <c r="B207" s="256"/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6"/>
      <c r="W207" s="256"/>
      <c r="X207" s="256"/>
      <c r="Y207" s="256"/>
      <c r="Z207" s="256"/>
      <c r="AA207" s="256"/>
      <c r="AB207" s="256"/>
    </row>
    <row r="208" spans="1:28" ht="15.75">
      <c r="A208" s="256"/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6"/>
    </row>
    <row r="209" spans="1:28" ht="15.75">
      <c r="A209" s="256"/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</row>
    <row r="210" spans="1:28" ht="15.75">
      <c r="A210" s="256"/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</row>
    <row r="211" spans="1:28" ht="15.75">
      <c r="A211" s="256"/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6"/>
    </row>
    <row r="212" spans="1:28" ht="15.75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</row>
    <row r="213" spans="1:28" ht="15.75">
      <c r="A213" s="256"/>
      <c r="B213" s="256"/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</row>
    <row r="214" spans="1:28" ht="15.75">
      <c r="A214" s="256"/>
      <c r="B214" s="256"/>
      <c r="C214" s="256"/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</row>
    <row r="215" spans="1:28" ht="15.75">
      <c r="A215" s="256"/>
      <c r="B215" s="256"/>
      <c r="C215" s="256"/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Q215" s="256"/>
      <c r="R215" s="256"/>
      <c r="S215" s="256"/>
      <c r="T215" s="256"/>
      <c r="U215" s="256"/>
      <c r="V215" s="256"/>
      <c r="W215" s="256"/>
      <c r="X215" s="256"/>
      <c r="Y215" s="256"/>
      <c r="Z215" s="256"/>
      <c r="AA215" s="256"/>
      <c r="AB215" s="256"/>
    </row>
    <row r="216" spans="1:28" ht="15.75">
      <c r="A216" s="256"/>
      <c r="B216" s="256"/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</row>
    <row r="217" spans="1:28" ht="15.75">
      <c r="A217" s="256"/>
      <c r="B217" s="256"/>
      <c r="C217" s="256"/>
      <c r="D217" s="256"/>
      <c r="E217" s="256"/>
      <c r="F217" s="256"/>
      <c r="G217" s="256"/>
      <c r="H217" s="256"/>
      <c r="I217" s="256"/>
      <c r="J217" s="256"/>
      <c r="K217" s="256"/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</row>
    <row r="218" spans="1:28" ht="15.75">
      <c r="A218" s="256"/>
      <c r="B218" s="256"/>
      <c r="C218" s="256"/>
      <c r="D218" s="256"/>
      <c r="E218" s="256"/>
      <c r="F218" s="256"/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</row>
    <row r="219" spans="1:28" ht="15.75">
      <c r="A219" s="256"/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</row>
    <row r="220" spans="1:28" ht="15.75">
      <c r="A220" s="256"/>
      <c r="B220" s="256"/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</row>
    <row r="221" spans="1:28" ht="15.75">
      <c r="A221" s="256"/>
      <c r="B221" s="256"/>
      <c r="C221" s="256"/>
      <c r="D221" s="256"/>
      <c r="E221" s="256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</row>
    <row r="222" spans="1:28" ht="15.75">
      <c r="A222" s="256"/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</row>
    <row r="223" spans="1:28" ht="15.75">
      <c r="A223" s="256"/>
      <c r="B223" s="256"/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256"/>
      <c r="AA223" s="256"/>
      <c r="AB223" s="256"/>
    </row>
    <row r="224" spans="1:28" ht="15.75">
      <c r="A224" s="256"/>
      <c r="B224" s="256"/>
      <c r="C224" s="256"/>
      <c r="D224" s="256"/>
      <c r="E224" s="256"/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</row>
    <row r="225" spans="1:28" ht="15.75">
      <c r="A225" s="256"/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Q225" s="256"/>
      <c r="R225" s="256"/>
      <c r="S225" s="256"/>
      <c r="T225" s="256"/>
      <c r="U225" s="256"/>
      <c r="V225" s="256"/>
      <c r="W225" s="256"/>
      <c r="X225" s="256"/>
      <c r="Y225" s="256"/>
      <c r="Z225" s="256"/>
      <c r="AA225" s="256"/>
      <c r="AB225" s="256"/>
    </row>
    <row r="226" spans="1:28" ht="15.75">
      <c r="A226" s="256"/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6"/>
      <c r="W226" s="256"/>
      <c r="X226" s="256"/>
      <c r="Y226" s="256"/>
      <c r="Z226" s="256"/>
      <c r="AA226" s="256"/>
      <c r="AB226" s="256"/>
    </row>
    <row r="227" spans="1:28" ht="15.75">
      <c r="A227" s="256"/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</row>
    <row r="228" spans="1:28" ht="15.75">
      <c r="A228" s="256"/>
      <c r="B228" s="256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6"/>
      <c r="U228" s="256"/>
      <c r="V228" s="256"/>
      <c r="W228" s="256"/>
      <c r="X228" s="256"/>
      <c r="Y228" s="256"/>
      <c r="Z228" s="256"/>
      <c r="AA228" s="256"/>
      <c r="AB228" s="256"/>
    </row>
    <row r="229" spans="1:28" ht="15.75">
      <c r="A229" s="256"/>
      <c r="B229" s="256"/>
      <c r="C229" s="256"/>
      <c r="D229" s="256"/>
      <c r="E229" s="256"/>
      <c r="F229" s="256"/>
      <c r="G229" s="256"/>
      <c r="H229" s="256"/>
      <c r="I229" s="256"/>
      <c r="J229" s="256"/>
      <c r="K229" s="256"/>
      <c r="L229" s="256"/>
      <c r="M229" s="256"/>
      <c r="N229" s="256"/>
      <c r="O229" s="256"/>
      <c r="P229" s="256"/>
      <c r="Q229" s="256"/>
      <c r="R229" s="256"/>
      <c r="S229" s="256"/>
      <c r="T229" s="256"/>
      <c r="U229" s="256"/>
      <c r="V229" s="256"/>
      <c r="W229" s="256"/>
      <c r="X229" s="256"/>
      <c r="Y229" s="256"/>
      <c r="Z229" s="256"/>
      <c r="AA229" s="256"/>
      <c r="AB229" s="256"/>
    </row>
    <row r="230" spans="1:28" ht="15.75">
      <c r="A230" s="256"/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6"/>
      <c r="W230" s="256"/>
      <c r="X230" s="256"/>
      <c r="Y230" s="256"/>
      <c r="Z230" s="256"/>
      <c r="AA230" s="256"/>
      <c r="AB230" s="256"/>
    </row>
    <row r="231" spans="1:28" ht="15.75">
      <c r="A231" s="256"/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56"/>
      <c r="X231" s="256"/>
      <c r="Y231" s="256"/>
      <c r="Z231" s="256"/>
      <c r="AA231" s="256"/>
      <c r="AB231" s="256"/>
    </row>
    <row r="232" spans="1:28" ht="15.75">
      <c r="A232" s="256"/>
      <c r="B232" s="256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6"/>
      <c r="W232" s="256"/>
      <c r="X232" s="256"/>
      <c r="Y232" s="256"/>
      <c r="Z232" s="256"/>
      <c r="AA232" s="256"/>
      <c r="AB232" s="256"/>
    </row>
    <row r="233" spans="1:28" ht="15.75">
      <c r="A233" s="256"/>
      <c r="B233" s="256"/>
      <c r="C233" s="256"/>
      <c r="D233" s="256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56"/>
      <c r="P233" s="256"/>
      <c r="Q233" s="256"/>
      <c r="R233" s="256"/>
      <c r="S233" s="256"/>
      <c r="T233" s="256"/>
      <c r="U233" s="256"/>
      <c r="V233" s="256"/>
      <c r="W233" s="256"/>
      <c r="X233" s="256"/>
      <c r="Y233" s="256"/>
      <c r="Z233" s="256"/>
      <c r="AA233" s="256"/>
      <c r="AB233" s="256"/>
    </row>
    <row r="234" spans="1:28" ht="15.75">
      <c r="A234" s="256"/>
      <c r="B234" s="256"/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256"/>
      <c r="Q234" s="256"/>
      <c r="R234" s="256"/>
      <c r="S234" s="256"/>
      <c r="T234" s="256"/>
      <c r="U234" s="256"/>
      <c r="V234" s="256"/>
      <c r="W234" s="256"/>
      <c r="X234" s="256"/>
      <c r="Y234" s="256"/>
      <c r="Z234" s="256"/>
      <c r="AA234" s="256"/>
      <c r="AB234" s="256"/>
    </row>
    <row r="235" spans="1:28" ht="15.75">
      <c r="A235" s="256"/>
      <c r="B235" s="256"/>
      <c r="C235" s="256"/>
      <c r="D235" s="256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  <c r="X235" s="256"/>
      <c r="Y235" s="256"/>
      <c r="Z235" s="256"/>
      <c r="AA235" s="256"/>
      <c r="AB235" s="256"/>
    </row>
    <row r="236" spans="1:28" ht="15.75">
      <c r="A236" s="256"/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</row>
    <row r="237" spans="1:28" ht="15.75">
      <c r="A237" s="256"/>
      <c r="B237" s="256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6"/>
      <c r="W237" s="256"/>
      <c r="X237" s="256"/>
      <c r="Y237" s="256"/>
      <c r="Z237" s="256"/>
      <c r="AA237" s="256"/>
      <c r="AB237" s="256"/>
    </row>
    <row r="238" spans="1:28" ht="15.75">
      <c r="A238" s="256"/>
      <c r="B238" s="256"/>
      <c r="C238" s="256"/>
      <c r="D238" s="256"/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Q238" s="256"/>
      <c r="R238" s="256"/>
      <c r="S238" s="256"/>
      <c r="T238" s="256"/>
      <c r="U238" s="256"/>
      <c r="V238" s="256"/>
      <c r="W238" s="256"/>
      <c r="X238" s="256"/>
      <c r="Y238" s="256"/>
      <c r="Z238" s="256"/>
      <c r="AA238" s="256"/>
      <c r="AB238" s="256"/>
    </row>
    <row r="239" spans="1:28" ht="15.75">
      <c r="A239" s="256"/>
      <c r="B239" s="256"/>
      <c r="C239" s="256"/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  <c r="R239" s="256"/>
      <c r="S239" s="256"/>
      <c r="T239" s="256"/>
      <c r="U239" s="256"/>
      <c r="V239" s="256"/>
      <c r="W239" s="256"/>
      <c r="X239" s="256"/>
      <c r="Y239" s="256"/>
      <c r="Z239" s="256"/>
      <c r="AA239" s="256"/>
      <c r="AB239" s="256"/>
    </row>
    <row r="240" spans="1:28" ht="15.75">
      <c r="A240" s="256"/>
      <c r="B240" s="256"/>
      <c r="C240" s="256"/>
      <c r="D240" s="256"/>
      <c r="E240" s="256"/>
      <c r="F240" s="256"/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Q240" s="256"/>
      <c r="R240" s="256"/>
      <c r="S240" s="256"/>
      <c r="T240" s="256"/>
      <c r="U240" s="256"/>
      <c r="V240" s="256"/>
      <c r="W240" s="256"/>
      <c r="X240" s="256"/>
      <c r="Y240" s="256"/>
      <c r="Z240" s="256"/>
      <c r="AA240" s="256"/>
      <c r="AB240" s="256"/>
    </row>
    <row r="241" spans="1:28" ht="15.75">
      <c r="A241" s="256"/>
      <c r="B241" s="256"/>
      <c r="C241" s="256"/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</row>
    <row r="242" spans="1:28" ht="15.75">
      <c r="A242" s="256"/>
      <c r="B242" s="256"/>
      <c r="C242" s="256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</row>
    <row r="243" spans="1:28" ht="15.75">
      <c r="A243" s="256"/>
      <c r="B243" s="256"/>
      <c r="C243" s="256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</row>
    <row r="244" spans="1:28" ht="15.75">
      <c r="A244" s="256"/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</row>
    <row r="245" spans="1:28" ht="15.75">
      <c r="A245" s="256"/>
      <c r="B245" s="256"/>
      <c r="C245" s="256"/>
      <c r="D245" s="256"/>
      <c r="E245" s="256"/>
      <c r="F245" s="256"/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Q245" s="256"/>
      <c r="R245" s="256"/>
      <c r="S245" s="256"/>
      <c r="T245" s="256"/>
      <c r="U245" s="256"/>
      <c r="V245" s="256"/>
      <c r="W245" s="256"/>
      <c r="X245" s="256"/>
      <c r="Y245" s="256"/>
      <c r="Z245" s="256"/>
      <c r="AA245" s="256"/>
      <c r="AB245" s="256"/>
    </row>
    <row r="246" spans="1:28" ht="15.75">
      <c r="A246" s="256"/>
      <c r="B246" s="256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</row>
    <row r="247" spans="1:28" ht="15.75">
      <c r="A247" s="256"/>
      <c r="B247" s="256"/>
      <c r="C247" s="256"/>
      <c r="D247" s="256"/>
      <c r="E247" s="256"/>
      <c r="F247" s="256"/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56"/>
      <c r="W247" s="256"/>
      <c r="X247" s="256"/>
      <c r="Y247" s="256"/>
      <c r="Z247" s="256"/>
      <c r="AA247" s="256"/>
      <c r="AB247" s="256"/>
    </row>
    <row r="248" spans="1:28" ht="15.75">
      <c r="A248" s="256"/>
      <c r="B248" s="256"/>
      <c r="C248" s="256"/>
      <c r="D248" s="256"/>
      <c r="E248" s="256"/>
      <c r="F248" s="256"/>
      <c r="G248" s="256"/>
      <c r="H248" s="256"/>
      <c r="I248" s="256"/>
      <c r="J248" s="256"/>
      <c r="K248" s="256"/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56"/>
      <c r="W248" s="256"/>
      <c r="X248" s="256"/>
      <c r="Y248" s="256"/>
      <c r="Z248" s="256"/>
      <c r="AA248" s="256"/>
      <c r="AB248" s="256"/>
    </row>
    <row r="249" spans="1:28" ht="15.75">
      <c r="A249" s="256"/>
      <c r="B249" s="256"/>
      <c r="C249" s="256"/>
      <c r="D249" s="256"/>
      <c r="E249" s="256"/>
      <c r="F249" s="256"/>
      <c r="G249" s="256"/>
      <c r="H249" s="256"/>
      <c r="I249" s="256"/>
      <c r="J249" s="256"/>
      <c r="K249" s="256"/>
      <c r="L249" s="256"/>
      <c r="M249" s="256"/>
      <c r="N249" s="256"/>
      <c r="O249" s="256"/>
      <c r="P249" s="256"/>
      <c r="Q249" s="256"/>
      <c r="R249" s="256"/>
      <c r="S249" s="256"/>
      <c r="T249" s="256"/>
      <c r="U249" s="256"/>
      <c r="V249" s="256"/>
      <c r="W249" s="256"/>
      <c r="X249" s="256"/>
      <c r="Y249" s="256"/>
      <c r="Z249" s="256"/>
      <c r="AA249" s="256"/>
      <c r="AB249" s="256"/>
    </row>
    <row r="250" spans="1:28" ht="15.75">
      <c r="A250" s="256"/>
      <c r="B250" s="256"/>
      <c r="C250" s="256"/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56"/>
      <c r="W250" s="256"/>
      <c r="X250" s="256"/>
      <c r="Y250" s="256"/>
      <c r="Z250" s="256"/>
      <c r="AA250" s="256"/>
      <c r="AB250" s="256"/>
    </row>
    <row r="251" spans="1:28" ht="15.75">
      <c r="A251" s="256"/>
      <c r="B251" s="256"/>
      <c r="C251" s="256"/>
      <c r="D251" s="256"/>
      <c r="E251" s="256"/>
      <c r="F251" s="256"/>
      <c r="G251" s="256"/>
      <c r="H251" s="256"/>
      <c r="I251" s="256"/>
      <c r="J251" s="256"/>
      <c r="K251" s="256"/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56"/>
      <c r="W251" s="256"/>
      <c r="X251" s="256"/>
      <c r="Y251" s="256"/>
      <c r="Z251" s="256"/>
      <c r="AA251" s="256"/>
      <c r="AB251" s="256"/>
    </row>
    <row r="252" spans="1:28" ht="15.75">
      <c r="A252" s="256"/>
      <c r="B252" s="256"/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</row>
    <row r="253" spans="1:28" ht="15.75">
      <c r="A253" s="256"/>
      <c r="B253" s="256"/>
      <c r="C253" s="256"/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</row>
  </sheetData>
  <mergeCells count="10">
    <mergeCell ref="A57:H57"/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55" right="0.17" top="0.17" bottom="0.16" header="0.18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Matejka</cp:lastModifiedBy>
  <cp:lastPrinted>2009-03-03T08:53:37Z</cp:lastPrinted>
  <dcterms:created xsi:type="dcterms:W3CDTF">2009-03-03T08:49:58Z</dcterms:created>
  <dcterms:modified xsi:type="dcterms:W3CDTF">2009-03-03T08:54:37Z</dcterms:modified>
  <cp:category/>
  <cp:version/>
  <cp:contentType/>
  <cp:contentStatus/>
</cp:coreProperties>
</file>