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Čerpanie ŠF a KF (2007 - 2013)" sheetId="1" r:id="rId1"/>
    <sheet name="OP SR-ČR, OP Interact" sheetId="2" r:id="rId2"/>
    <sheet name="OP RH" sheetId="3" r:id="rId3"/>
  </sheets>
  <definedNames>
    <definedName name="_xlnm.Print_Area" localSheetId="0">'Čerpanie ŠF a KF (2007 - 2013)'!$A$1:$R$57</definedName>
  </definedNames>
  <calcPr fullCalcOnLoad="1"/>
</workbook>
</file>

<file path=xl/sharedStrings.xml><?xml version="1.0" encoding="utf-8"?>
<sst xmlns="http://schemas.openxmlformats.org/spreadsheetml/2006/main" count="236" uniqueCount="79">
  <si>
    <t>Operačný program</t>
  </si>
  <si>
    <t>Čerpanie ŠF (schválené SŽP znížené o nezrovnalosti ) v EUR</t>
  </si>
  <si>
    <t>Záväzok
2007-2013 v bežných cenách v EUR</t>
  </si>
  <si>
    <t>Podiel čerpania na záväzku                2007-2013 v %</t>
  </si>
  <si>
    <t>Záväzok 2007 v bežných cenách v EUR</t>
  </si>
  <si>
    <t xml:space="preserve">Zálohové platby EK </t>
  </si>
  <si>
    <t xml:space="preserve">Záväzok 2007 - ZP </t>
  </si>
  <si>
    <t>EÚ zdroje</t>
  </si>
  <si>
    <t>3=1/2</t>
  </si>
  <si>
    <t>OP Vzdelávanie</t>
  </si>
  <si>
    <t>OP Zamestn. a sociálna inklúzia</t>
  </si>
  <si>
    <t>OP Informatizácia spoločnosti</t>
  </si>
  <si>
    <t>OP Životné prostredie (ERDF + KF)</t>
  </si>
  <si>
    <t>z toho alokácia ERDF</t>
  </si>
  <si>
    <t>z toho alokácia KF</t>
  </si>
  <si>
    <t>Regionálny OP</t>
  </si>
  <si>
    <t>OP Doprava (ERDF + KF)</t>
  </si>
  <si>
    <t>OP Zdravotníctvo</t>
  </si>
  <si>
    <t>OP Konkurenc. a hosp. rast</t>
  </si>
  <si>
    <t>OP Technická pomoc</t>
  </si>
  <si>
    <t>OP Bratislavský kraj</t>
  </si>
  <si>
    <t>OP Výskum a vývoj</t>
  </si>
  <si>
    <t>x</t>
  </si>
  <si>
    <t>SPOLU</t>
  </si>
  <si>
    <t>Zdroj: MF SR</t>
  </si>
  <si>
    <t>SPOLU (bez KF)</t>
  </si>
  <si>
    <t>OP Interact II*</t>
  </si>
  <si>
    <t xml:space="preserve">Spolu </t>
  </si>
  <si>
    <t>Čerpanie ŠF (schválené SŽP znížené o nezrovnalosti ) 
v EUR</t>
  </si>
  <si>
    <t>OP Rybné hospodárstvo</t>
  </si>
  <si>
    <t>Podiel čerpania na záväzku 2007 
v %</t>
  </si>
  <si>
    <t>Čerpanie ŠF (schválené ŽP znížené o nezrovnalosti ) v EUR</t>
  </si>
  <si>
    <t xml:space="preserve">Zálohové platby* EK </t>
  </si>
  <si>
    <t>Záväzok 2008</t>
  </si>
  <si>
    <t xml:space="preserve">Záväzok 2007 - ZP* </t>
  </si>
  <si>
    <t>Podiel čerpania na záväzku 2008, 
v %</t>
  </si>
  <si>
    <t>9=1/6</t>
  </si>
  <si>
    <t>8=6-1</t>
  </si>
  <si>
    <t>Čerpanie zo záväzku 2008</t>
  </si>
  <si>
    <t>-</t>
  </si>
  <si>
    <t>OP Cezhraničná spolupráca SR-ČR</t>
  </si>
  <si>
    <t>Potrebné vyčerpať do 31.12.2010 v zmysle pravidla n+3</t>
  </si>
  <si>
    <t>* vzhľadom na výšku zálohových platieb pre Kohézny fond nie je údaj pre sledovanie pravidla n+3 pre záväzok 2007 relevantný. V nadväznosti na uvedené prvým rozhodujúcim rokom pre sledovanie pravidla n+3 je r. 2011, a to pre záväzok r. 2008.</t>
  </si>
  <si>
    <t xml:space="preserve">Záväzok
2007-2013 v bežných cenách v EUR </t>
  </si>
  <si>
    <t>Potrebné vyčerpať za ŠF do 31.12.2010 
v zmysle pravidla n+3</t>
  </si>
  <si>
    <t>Potrebné vyčerpať za KF do 31.12.2011 
v zmysle pravidla n+3</t>
  </si>
  <si>
    <t>z toho Cieľ 1</t>
  </si>
  <si>
    <t>z toho Cieľ 2</t>
  </si>
  <si>
    <t>23120110001 - D1 Sverepec - Vrtižer</t>
  </si>
  <si>
    <t>0**</t>
  </si>
  <si>
    <t>23110110001 - Modernizácia trate Žilina – Krásno</t>
  </si>
  <si>
    <t>Podiel čerpania na záväzku 2007 - zálohové platby v %</t>
  </si>
  <si>
    <t>10=(1-6)/7</t>
  </si>
  <si>
    <t>Zálohové platby EK</t>
  </si>
  <si>
    <t>Podiel čerpania na záväzku 2008 
v %</t>
  </si>
  <si>
    <t>Záväzok 2009</t>
  </si>
  <si>
    <t>Podiel čerpania na záväzku 2007  - zálohové platby v %</t>
  </si>
  <si>
    <t>Podiel čerpania na záväzku 2009 
v %</t>
  </si>
  <si>
    <t>** záväzok 2008 sa pre veľké projekty presúva do záväzku 2009 na základe rozhodnutia EK k uvádzaným projektom</t>
  </si>
  <si>
    <t>5=3/4</t>
  </si>
  <si>
    <t>8=6-7</t>
  </si>
  <si>
    <t>11=8-3</t>
  </si>
  <si>
    <t>12=9+8-3</t>
  </si>
  <si>
    <t>13=3/8</t>
  </si>
  <si>
    <t>14=(3-8)/9</t>
  </si>
  <si>
    <t>15=(3-8-9)/10</t>
  </si>
  <si>
    <t>Nezrovnalosti 
a vratky uplatnené 
v ŽoP na EK 
v EUR</t>
  </si>
  <si>
    <t>Čerpanie ŠF (schválené SŽP) v EUR</t>
  </si>
  <si>
    <t>pomocný</t>
  </si>
  <si>
    <t>Čerpanie zo záväzku 2009</t>
  </si>
  <si>
    <t>Potrebné vyčerpať do 31.12.2010 v zmysle pravidla n+2</t>
  </si>
  <si>
    <t>23150120001 - R1 Žarnovica – Šášovské Podhradie</t>
  </si>
  <si>
    <t>0***</t>
  </si>
  <si>
    <t>*** záväzok 2008 a 2009 sa pre veľké projekty presúva do záväzku 2010 na základe rozhodnutia EK k uvádzaným projektom</t>
  </si>
  <si>
    <t>Čerpanie štrukturálnych fondov programového obdobia 2007 - 2013 (Cieľ 3) k 30.06.2010 v EUR</t>
  </si>
  <si>
    <t>Čerpanie Európskeho fondu pre rybné hospodárstvo zo záväzku 2007-2013 k 30.06.2010 v EUR</t>
  </si>
  <si>
    <t>* Zo strany certifikačného orgánu boli vyplatené tzv. rolling advance payments, resp. zálohové platby prijímateľom pomoci v rámci Operačného programu Interact II v celkovej výške  3 794 515,00 EUR, 3 225 337,75 EUR zo zdroja ERDF a 569 177,25 EUR zo zdroja contributions. Tieto prostriedky nie sú zahrnuté do čerpania.</t>
  </si>
  <si>
    <t>* Zo strany certifikačného orgánu boli vyplatené tzv. rolling advance payments, resp. zálohové platby prijímateľom pomoci v rámci Operačného programu Interact II v celkovej výške 3 794 515,00 EUR, 3 225 337,75 EUR zo zdroja ERDF a 569 177,25 EUR zo zdroja contributions. Tieto prostriedky nie sú zahrnuté do čerpania.</t>
  </si>
  <si>
    <t>Príloha č. 7: Čerpanie štrukturálnych fondov a Kohézneho fondu programového obdobia 2007 - 2013 (Cieľ 1 a 2) k 30.06.2010 v Eur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</si>
</sst>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000000%"/>
    <numFmt numFmtId="181" formatCode="0.000%"/>
    <numFmt numFmtId="182" formatCode="#,##0.0"/>
    <numFmt numFmtId="183" formatCode="0.0%"/>
    <numFmt numFmtId="184" formatCode="0.0000%"/>
    <numFmt numFmtId="185" formatCode="0.00000%"/>
    <numFmt numFmtId="186" formatCode="0.000000%"/>
    <numFmt numFmtId="187" formatCode="0.00000000%"/>
    <numFmt numFmtId="188" formatCode="0.000000000%"/>
    <numFmt numFmtId="189" formatCode="0.0000000000%"/>
    <numFmt numFmtId="190" formatCode="0.00000000000%"/>
    <numFmt numFmtId="191" formatCode="0.000000000000%"/>
    <numFmt numFmtId="192" formatCode="0.0000000000000%"/>
    <numFmt numFmtId="193" formatCode="0.00000000000000%"/>
    <numFmt numFmtId="194" formatCode="0.000000000000000%"/>
    <numFmt numFmtId="195" formatCode="0.0000000000000000%"/>
    <numFmt numFmtId="196" formatCode="0.00000000000000000%"/>
    <numFmt numFmtId="197" formatCode="0.000000000000000000%"/>
    <numFmt numFmtId="198" formatCode="0.0000000000000000000%"/>
    <numFmt numFmtId="199" formatCode="0.00000000000000000000%"/>
    <numFmt numFmtId="200" formatCode="0.000000000000000000000%"/>
    <numFmt numFmtId="201" formatCode="0.0000000000000000000000%"/>
    <numFmt numFmtId="202" formatCode="0.00000000000000000000000%"/>
    <numFmt numFmtId="203" formatCode="0.000000000000000000000000%"/>
    <numFmt numFmtId="204" formatCode="0.0000000000000000000000000%"/>
    <numFmt numFmtId="205" formatCode="0.00000000000000000000000000%"/>
    <numFmt numFmtId="206" formatCode="0.000000000000000000000000000%"/>
    <numFmt numFmtId="207" formatCode="0.0000000000000000000000000000%"/>
    <numFmt numFmtId="208" formatCode="&quot;Áno&quot;;&quot;Áno&quot;;&quot;Nie&quot;"/>
    <numFmt numFmtId="209" formatCode="&quot;Pravda&quot;;&quot;Pravda&quot;;&quot;Nepravda&quot;"/>
    <numFmt numFmtId="210" formatCode="&quot;Zapnuté&quot;;&quot;Zapnuté&quot;;&quot;Vypnuté&quot;"/>
    <numFmt numFmtId="211" formatCode="[$€-2]\ #\ ##,000_);[Red]\([$€-2]\ #\ ##,000\)"/>
  </numFmts>
  <fonts count="46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4" fontId="3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wrapText="1"/>
    </xf>
    <xf numFmtId="4" fontId="5" fillId="33" borderId="17" xfId="0" applyNumberFormat="1" applyFont="1" applyFill="1" applyBorder="1" applyAlignment="1">
      <alignment horizontal="center" wrapText="1"/>
    </xf>
    <xf numFmtId="0" fontId="4" fillId="33" borderId="18" xfId="0" applyFont="1" applyFill="1" applyBorder="1" applyAlignment="1">
      <alignment wrapText="1"/>
    </xf>
    <xf numFmtId="0" fontId="4" fillId="33" borderId="19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wrapText="1"/>
    </xf>
    <xf numFmtId="4" fontId="4" fillId="33" borderId="22" xfId="0" applyNumberFormat="1" applyFont="1" applyFill="1" applyBorder="1" applyAlignment="1">
      <alignment horizontal="center" wrapText="1"/>
    </xf>
    <xf numFmtId="0" fontId="5" fillId="0" borderId="23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10" fontId="4" fillId="0" borderId="11" xfId="45" applyNumberFormat="1" applyFont="1" applyFill="1" applyBorder="1" applyAlignment="1">
      <alignment horizontal="right" wrapText="1"/>
    </xf>
    <xf numFmtId="3" fontId="4" fillId="0" borderId="24" xfId="0" applyNumberFormat="1" applyFont="1" applyFill="1" applyBorder="1" applyAlignment="1">
      <alignment wrapText="1"/>
    </xf>
    <xf numFmtId="3" fontId="4" fillId="0" borderId="25" xfId="0" applyNumberFormat="1" applyFont="1" applyFill="1" applyBorder="1" applyAlignment="1">
      <alignment wrapText="1"/>
    </xf>
    <xf numFmtId="3" fontId="4" fillId="0" borderId="14" xfId="0" applyNumberFormat="1" applyFont="1" applyFill="1" applyBorder="1" applyAlignment="1">
      <alignment wrapText="1"/>
    </xf>
    <xf numFmtId="3" fontId="4" fillId="0" borderId="17" xfId="0" applyNumberFormat="1" applyFont="1" applyFill="1" applyBorder="1" applyAlignment="1">
      <alignment horizontal="center" wrapText="1"/>
    </xf>
    <xf numFmtId="3" fontId="4" fillId="0" borderId="17" xfId="0" applyNumberFormat="1" applyFont="1" applyFill="1" applyBorder="1" applyAlignment="1">
      <alignment wrapText="1"/>
    </xf>
    <xf numFmtId="10" fontId="4" fillId="33" borderId="17" xfId="45" applyNumberFormat="1" applyFont="1" applyFill="1" applyBorder="1" applyAlignment="1">
      <alignment/>
    </xf>
    <xf numFmtId="4" fontId="4" fillId="33" borderId="17" xfId="45" applyNumberFormat="1" applyFont="1" applyFill="1" applyBorder="1" applyAlignment="1">
      <alignment/>
    </xf>
    <xf numFmtId="10" fontId="4" fillId="33" borderId="15" xfId="45" applyNumberFormat="1" applyFont="1" applyFill="1" applyBorder="1" applyAlignment="1">
      <alignment/>
    </xf>
    <xf numFmtId="0" fontId="5" fillId="0" borderId="26" xfId="0" applyFont="1" applyFill="1" applyBorder="1" applyAlignment="1">
      <alignment wrapText="1"/>
    </xf>
    <xf numFmtId="10" fontId="4" fillId="0" borderId="15" xfId="45" applyNumberFormat="1" applyFont="1" applyFill="1" applyBorder="1" applyAlignment="1">
      <alignment horizontal="right" wrapText="1"/>
    </xf>
    <xf numFmtId="3" fontId="4" fillId="0" borderId="16" xfId="0" applyNumberFormat="1" applyFont="1" applyFill="1" applyBorder="1" applyAlignment="1">
      <alignment wrapText="1"/>
    </xf>
    <xf numFmtId="3" fontId="6" fillId="0" borderId="14" xfId="0" applyNumberFormat="1" applyFont="1" applyFill="1" applyBorder="1" applyAlignment="1">
      <alignment wrapText="1"/>
    </xf>
    <xf numFmtId="10" fontId="4" fillId="33" borderId="15" xfId="45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0" fontId="6" fillId="0" borderId="15" xfId="45" applyNumberFormat="1" applyFont="1" applyFill="1" applyBorder="1" applyAlignment="1">
      <alignment horizontal="right" wrapText="1"/>
    </xf>
    <xf numFmtId="3" fontId="6" fillId="0" borderId="16" xfId="0" applyNumberFormat="1" applyFont="1" applyFill="1" applyBorder="1" applyAlignment="1">
      <alignment wrapText="1"/>
    </xf>
    <xf numFmtId="3" fontId="6" fillId="0" borderId="25" xfId="0" applyNumberFormat="1" applyFont="1" applyFill="1" applyBorder="1" applyAlignment="1">
      <alignment wrapText="1"/>
    </xf>
    <xf numFmtId="3" fontId="6" fillId="0" borderId="17" xfId="0" applyNumberFormat="1" applyFont="1" applyFill="1" applyBorder="1" applyAlignment="1">
      <alignment wrapText="1"/>
    </xf>
    <xf numFmtId="10" fontId="6" fillId="33" borderId="15" xfId="45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6" fillId="34" borderId="14" xfId="0" applyNumberFormat="1" applyFont="1" applyFill="1" applyBorder="1" applyAlignment="1">
      <alignment wrapText="1"/>
    </xf>
    <xf numFmtId="10" fontId="6" fillId="34" borderId="15" xfId="45" applyNumberFormat="1" applyFont="1" applyFill="1" applyBorder="1" applyAlignment="1">
      <alignment horizontal="right" wrapText="1"/>
    </xf>
    <xf numFmtId="3" fontId="6" fillId="34" borderId="16" xfId="0" applyNumberFormat="1" applyFont="1" applyFill="1" applyBorder="1" applyAlignment="1">
      <alignment wrapText="1"/>
    </xf>
    <xf numFmtId="3" fontId="6" fillId="34" borderId="14" xfId="0" applyNumberFormat="1" applyFont="1" applyFill="1" applyBorder="1" applyAlignment="1">
      <alignment horizontal="center" wrapText="1"/>
    </xf>
    <xf numFmtId="3" fontId="6" fillId="34" borderId="14" xfId="0" applyNumberFormat="1" applyFont="1" applyFill="1" applyBorder="1" applyAlignment="1">
      <alignment horizontal="right" wrapText="1"/>
    </xf>
    <xf numFmtId="10" fontId="6" fillId="34" borderId="17" xfId="45" applyNumberFormat="1" applyFont="1" applyFill="1" applyBorder="1" applyAlignment="1">
      <alignment horizontal="right"/>
    </xf>
    <xf numFmtId="4" fontId="4" fillId="34" borderId="17" xfId="45" applyNumberFormat="1" applyFont="1" applyFill="1" applyBorder="1" applyAlignment="1">
      <alignment/>
    </xf>
    <xf numFmtId="10" fontId="6" fillId="34" borderId="15" xfId="45" applyNumberFormat="1" applyFont="1" applyFill="1" applyBorder="1" applyAlignment="1">
      <alignment horizontal="right"/>
    </xf>
    <xf numFmtId="0" fontId="5" fillId="0" borderId="26" xfId="0" applyFont="1" applyFill="1" applyBorder="1" applyAlignment="1">
      <alignment horizontal="left" wrapText="1"/>
    </xf>
    <xf numFmtId="3" fontId="6" fillId="0" borderId="14" xfId="0" applyNumberFormat="1" applyFont="1" applyFill="1" applyBorder="1" applyAlignment="1">
      <alignment horizontal="right" wrapText="1"/>
    </xf>
    <xf numFmtId="3" fontId="6" fillId="34" borderId="16" xfId="0" applyNumberFormat="1" applyFont="1" applyFill="1" applyBorder="1" applyAlignment="1">
      <alignment horizontal="right" wrapText="1"/>
    </xf>
    <xf numFmtId="3" fontId="6" fillId="34" borderId="25" xfId="0" applyNumberFormat="1" applyFont="1" applyFill="1" applyBorder="1" applyAlignment="1">
      <alignment horizontal="right" wrapText="1"/>
    </xf>
    <xf numFmtId="4" fontId="4" fillId="34" borderId="17" xfId="45" applyNumberFormat="1" applyFont="1" applyFill="1" applyBorder="1" applyAlignment="1">
      <alignment horizontal="right"/>
    </xf>
    <xf numFmtId="0" fontId="6" fillId="35" borderId="0" xfId="0" applyFont="1" applyFill="1" applyAlignment="1">
      <alignment/>
    </xf>
    <xf numFmtId="0" fontId="5" fillId="34" borderId="27" xfId="0" applyFont="1" applyFill="1" applyBorder="1" applyAlignment="1">
      <alignment wrapText="1"/>
    </xf>
    <xf numFmtId="3" fontId="4" fillId="34" borderId="28" xfId="0" applyNumberFormat="1" applyFont="1" applyFill="1" applyBorder="1" applyAlignment="1">
      <alignment wrapText="1"/>
    </xf>
    <xf numFmtId="3" fontId="4" fillId="34" borderId="28" xfId="0" applyNumberFormat="1" applyFont="1" applyFill="1" applyBorder="1" applyAlignment="1">
      <alignment horizontal="center" wrapText="1"/>
    </xf>
    <xf numFmtId="10" fontId="4" fillId="34" borderId="29" xfId="45" applyNumberFormat="1" applyFont="1" applyFill="1" applyBorder="1" applyAlignment="1">
      <alignment horizontal="center" wrapText="1"/>
    </xf>
    <xf numFmtId="3" fontId="4" fillId="34" borderId="30" xfId="0" applyNumberFormat="1" applyFont="1" applyFill="1" applyBorder="1" applyAlignment="1">
      <alignment wrapText="1"/>
    </xf>
    <xf numFmtId="10" fontId="5" fillId="34" borderId="31" xfId="45" applyNumberFormat="1" applyFont="1" applyFill="1" applyBorder="1" applyAlignment="1">
      <alignment horizontal="right"/>
    </xf>
    <xf numFmtId="4" fontId="5" fillId="34" borderId="31" xfId="45" applyNumberFormat="1" applyFont="1" applyFill="1" applyBorder="1" applyAlignment="1">
      <alignment horizontal="right"/>
    </xf>
    <xf numFmtId="10" fontId="5" fillId="34" borderId="29" xfId="45" applyNumberFormat="1" applyFont="1" applyFill="1" applyBorder="1" applyAlignment="1">
      <alignment horizontal="right"/>
    </xf>
    <xf numFmtId="0" fontId="5" fillId="36" borderId="32" xfId="0" applyFont="1" applyFill="1" applyBorder="1" applyAlignment="1">
      <alignment wrapText="1"/>
    </xf>
    <xf numFmtId="3" fontId="5" fillId="36" borderId="33" xfId="0" applyNumberFormat="1" applyFont="1" applyFill="1" applyBorder="1" applyAlignment="1">
      <alignment wrapText="1"/>
    </xf>
    <xf numFmtId="10" fontId="5" fillId="36" borderId="34" xfId="45" applyNumberFormat="1" applyFont="1" applyFill="1" applyBorder="1" applyAlignment="1">
      <alignment horizontal="right" wrapText="1"/>
    </xf>
    <xf numFmtId="3" fontId="5" fillId="36" borderId="35" xfId="0" applyNumberFormat="1" applyFont="1" applyFill="1" applyBorder="1" applyAlignment="1">
      <alignment wrapText="1"/>
    </xf>
    <xf numFmtId="3" fontId="5" fillId="36" borderId="33" xfId="0" applyNumberFormat="1" applyFont="1" applyFill="1" applyBorder="1" applyAlignment="1">
      <alignment horizontal="center" wrapText="1"/>
    </xf>
    <xf numFmtId="4" fontId="5" fillId="36" borderId="36" xfId="45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/>
    </xf>
    <xf numFmtId="4" fontId="4" fillId="0" borderId="0" xfId="0" applyNumberFormat="1" applyFont="1" applyAlignment="1">
      <alignment wrapText="1"/>
    </xf>
    <xf numFmtId="184" fontId="4" fillId="0" borderId="0" xfId="45" applyNumberFormat="1" applyFont="1" applyAlignment="1">
      <alignment wrapText="1"/>
    </xf>
    <xf numFmtId="10" fontId="4" fillId="0" borderId="0" xfId="45" applyNumberFormat="1" applyFont="1" applyAlignment="1">
      <alignment wrapText="1"/>
    </xf>
    <xf numFmtId="10" fontId="4" fillId="0" borderId="0" xfId="0" applyNumberFormat="1" applyFont="1" applyAlignment="1">
      <alignment wrapText="1"/>
    </xf>
    <xf numFmtId="4" fontId="5" fillId="33" borderId="14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wrapText="1"/>
    </xf>
    <xf numFmtId="0" fontId="4" fillId="33" borderId="37" xfId="0" applyFont="1" applyFill="1" applyBorder="1" applyAlignment="1">
      <alignment wrapText="1"/>
    </xf>
    <xf numFmtId="0" fontId="4" fillId="33" borderId="38" xfId="0" applyFont="1" applyFill="1" applyBorder="1" applyAlignment="1">
      <alignment horizontal="center" wrapText="1"/>
    </xf>
    <xf numFmtId="0" fontId="4" fillId="33" borderId="39" xfId="0" applyFont="1" applyFill="1" applyBorder="1" applyAlignment="1">
      <alignment horizontal="center" wrapText="1"/>
    </xf>
    <xf numFmtId="4" fontId="4" fillId="33" borderId="38" xfId="0" applyNumberFormat="1" applyFont="1" applyFill="1" applyBorder="1" applyAlignment="1">
      <alignment horizontal="center" wrapText="1"/>
    </xf>
    <xf numFmtId="0" fontId="4" fillId="33" borderId="40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wrapText="1"/>
    </xf>
    <xf numFmtId="3" fontId="4" fillId="0" borderId="42" xfId="0" applyNumberFormat="1" applyFont="1" applyFill="1" applyBorder="1" applyAlignment="1">
      <alignment wrapText="1"/>
    </xf>
    <xf numFmtId="10" fontId="4" fillId="0" borderId="43" xfId="45" applyNumberFormat="1" applyFont="1" applyFill="1" applyBorder="1" applyAlignment="1">
      <alignment horizontal="right" wrapText="1"/>
    </xf>
    <xf numFmtId="3" fontId="4" fillId="0" borderId="43" xfId="0" applyNumberFormat="1" applyFont="1" applyFill="1" applyBorder="1" applyAlignment="1">
      <alignment wrapText="1"/>
    </xf>
    <xf numFmtId="10" fontId="4" fillId="33" borderId="42" xfId="45" applyNumberFormat="1" applyFont="1" applyFill="1" applyBorder="1" applyAlignment="1">
      <alignment/>
    </xf>
    <xf numFmtId="4" fontId="4" fillId="33" borderId="42" xfId="45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3" fontId="4" fillId="0" borderId="19" xfId="0" applyNumberFormat="1" applyFont="1" applyFill="1" applyBorder="1" applyAlignment="1">
      <alignment wrapText="1"/>
    </xf>
    <xf numFmtId="10" fontId="4" fillId="0" borderId="22" xfId="45" applyNumberFormat="1" applyFont="1" applyFill="1" applyBorder="1" applyAlignment="1">
      <alignment horizontal="right" wrapText="1"/>
    </xf>
    <xf numFmtId="10" fontId="4" fillId="33" borderId="19" xfId="45" applyNumberFormat="1" applyFont="1" applyFill="1" applyBorder="1" applyAlignment="1">
      <alignment/>
    </xf>
    <xf numFmtId="4" fontId="4" fillId="33" borderId="19" xfId="45" applyNumberFormat="1" applyFont="1" applyFill="1" applyBorder="1" applyAlignment="1">
      <alignment/>
    </xf>
    <xf numFmtId="0" fontId="5" fillId="36" borderId="44" xfId="0" applyFont="1" applyFill="1" applyBorder="1" applyAlignment="1">
      <alignment wrapText="1"/>
    </xf>
    <xf numFmtId="3" fontId="5" fillId="36" borderId="44" xfId="0" applyNumberFormat="1" applyFont="1" applyFill="1" applyBorder="1" applyAlignment="1">
      <alignment wrapText="1"/>
    </xf>
    <xf numFmtId="10" fontId="5" fillId="36" borderId="22" xfId="45" applyNumberFormat="1" applyFont="1" applyFill="1" applyBorder="1" applyAlignment="1">
      <alignment horizontal="right" wrapText="1"/>
    </xf>
    <xf numFmtId="3" fontId="5" fillId="36" borderId="45" xfId="0" applyNumberFormat="1" applyFont="1" applyFill="1" applyBorder="1" applyAlignment="1">
      <alignment wrapText="1"/>
    </xf>
    <xf numFmtId="10" fontId="5" fillId="36" borderId="46" xfId="45" applyNumberFormat="1" applyFont="1" applyFill="1" applyBorder="1" applyAlignment="1">
      <alignment/>
    </xf>
    <xf numFmtId="4" fontId="5" fillId="36" borderId="46" xfId="45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5" fillId="33" borderId="25" xfId="0" applyFont="1" applyFill="1" applyBorder="1" applyAlignment="1">
      <alignment horizontal="center" wrapText="1"/>
    </xf>
    <xf numFmtId="0" fontId="5" fillId="33" borderId="19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horizontal="center" wrapText="1"/>
    </xf>
    <xf numFmtId="10" fontId="5" fillId="36" borderId="33" xfId="45" applyNumberFormat="1" applyFont="1" applyFill="1" applyBorder="1" applyAlignment="1">
      <alignment horizontal="right" wrapText="1"/>
    </xf>
    <xf numFmtId="3" fontId="5" fillId="36" borderId="46" xfId="0" applyNumberFormat="1" applyFont="1" applyFill="1" applyBorder="1" applyAlignment="1">
      <alignment horizontal="right" wrapText="1"/>
    </xf>
    <xf numFmtId="3" fontId="5" fillId="36" borderId="47" xfId="0" applyNumberFormat="1" applyFont="1" applyFill="1" applyBorder="1" applyAlignment="1">
      <alignment horizontal="right" wrapText="1"/>
    </xf>
    <xf numFmtId="4" fontId="4" fillId="0" borderId="46" xfId="0" applyNumberFormat="1" applyFont="1" applyFill="1" applyBorder="1" applyAlignment="1">
      <alignment/>
    </xf>
    <xf numFmtId="10" fontId="5" fillId="36" borderId="48" xfId="45" applyNumberFormat="1" applyFont="1" applyFill="1" applyBorder="1" applyAlignment="1">
      <alignment/>
    </xf>
    <xf numFmtId="10" fontId="5" fillId="0" borderId="0" xfId="45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10" fontId="5" fillId="0" borderId="0" xfId="45" applyNumberFormat="1" applyFont="1" applyFill="1" applyBorder="1" applyAlignment="1">
      <alignment wrapText="1"/>
    </xf>
    <xf numFmtId="3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wrapText="1"/>
    </xf>
    <xf numFmtId="3" fontId="8" fillId="0" borderId="0" xfId="0" applyNumberFormat="1" applyFont="1" applyFill="1" applyBorder="1" applyAlignment="1">
      <alignment wrapText="1"/>
    </xf>
    <xf numFmtId="10" fontId="8" fillId="0" borderId="0" xfId="45" applyNumberFormat="1" applyFont="1" applyFill="1" applyBorder="1" applyAlignment="1">
      <alignment horizontal="right" wrapText="1"/>
    </xf>
    <xf numFmtId="10" fontId="8" fillId="0" borderId="0" xfId="45" applyNumberFormat="1" applyFont="1" applyFill="1" applyBorder="1" applyAlignment="1">
      <alignment/>
    </xf>
    <xf numFmtId="4" fontId="8" fillId="0" borderId="0" xfId="45" applyNumberFormat="1" applyFont="1" applyFill="1" applyBorder="1" applyAlignment="1">
      <alignment/>
    </xf>
    <xf numFmtId="10" fontId="9" fillId="0" borderId="0" xfId="45" applyNumberFormat="1" applyFont="1" applyFill="1" applyBorder="1" applyAlignment="1">
      <alignment/>
    </xf>
    <xf numFmtId="0" fontId="0" fillId="0" borderId="0" xfId="0" applyFont="1" applyAlignment="1">
      <alignment/>
    </xf>
    <xf numFmtId="10" fontId="10" fillId="0" borderId="0" xfId="45" applyNumberFormat="1" applyFont="1" applyFill="1" applyBorder="1" applyAlignment="1">
      <alignment/>
    </xf>
    <xf numFmtId="10" fontId="5" fillId="36" borderId="36" xfId="45" applyNumberFormat="1" applyFont="1" applyFill="1" applyBorder="1" applyAlignment="1">
      <alignment horizontal="right" wrapText="1"/>
    </xf>
    <xf numFmtId="3" fontId="4" fillId="0" borderId="0" xfId="0" applyNumberFormat="1" applyFont="1" applyFill="1" applyAlignment="1">
      <alignment/>
    </xf>
    <xf numFmtId="3" fontId="6" fillId="34" borderId="17" xfId="0" applyNumberFormat="1" applyFont="1" applyFill="1" applyBorder="1" applyAlignment="1">
      <alignment horizontal="right" wrapText="1"/>
    </xf>
    <xf numFmtId="3" fontId="5" fillId="36" borderId="36" xfId="0" applyNumberFormat="1" applyFont="1" applyFill="1" applyBorder="1" applyAlignment="1">
      <alignment wrapText="1"/>
    </xf>
    <xf numFmtId="3" fontId="4" fillId="0" borderId="17" xfId="0" applyNumberFormat="1" applyFont="1" applyFill="1" applyBorder="1" applyAlignment="1">
      <alignment horizontal="right" wrapText="1"/>
    </xf>
    <xf numFmtId="3" fontId="6" fillId="0" borderId="17" xfId="0" applyNumberFormat="1" applyFont="1" applyFill="1" applyBorder="1" applyAlignment="1">
      <alignment horizontal="right" wrapText="1"/>
    </xf>
    <xf numFmtId="3" fontId="6" fillId="0" borderId="42" xfId="0" applyNumberFormat="1" applyFont="1" applyFill="1" applyBorder="1" applyAlignment="1">
      <alignment wrapText="1"/>
    </xf>
    <xf numFmtId="10" fontId="6" fillId="0" borderId="50" xfId="45" applyNumberFormat="1" applyFont="1" applyFill="1" applyBorder="1" applyAlignment="1">
      <alignment horizontal="right" wrapText="1"/>
    </xf>
    <xf numFmtId="3" fontId="6" fillId="0" borderId="24" xfId="0" applyNumberFormat="1" applyFont="1" applyFill="1" applyBorder="1" applyAlignment="1">
      <alignment wrapText="1"/>
    </xf>
    <xf numFmtId="3" fontId="6" fillId="0" borderId="17" xfId="0" applyNumberFormat="1" applyFont="1" applyFill="1" applyBorder="1" applyAlignment="1">
      <alignment horizontal="center" wrapText="1"/>
    </xf>
    <xf numFmtId="10" fontId="6" fillId="33" borderId="17" xfId="45" applyNumberFormat="1" applyFont="1" applyFill="1" applyBorder="1" applyAlignment="1">
      <alignment/>
    </xf>
    <xf numFmtId="4" fontId="6" fillId="33" borderId="17" xfId="45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 horizontal="center" wrapText="1"/>
    </xf>
    <xf numFmtId="10" fontId="6" fillId="33" borderId="14" xfId="45" applyNumberFormat="1" applyFont="1" applyFill="1" applyBorder="1" applyAlignment="1">
      <alignment/>
    </xf>
    <xf numFmtId="3" fontId="4" fillId="34" borderId="31" xfId="0" applyNumberFormat="1" applyFont="1" applyFill="1" applyBorder="1" applyAlignment="1">
      <alignment horizontal="right" wrapText="1"/>
    </xf>
    <xf numFmtId="0" fontId="6" fillId="0" borderId="26" xfId="0" applyFont="1" applyFill="1" applyBorder="1" applyAlignment="1">
      <alignment horizontal="left" wrapText="1" indent="4"/>
    </xf>
    <xf numFmtId="0" fontId="6" fillId="34" borderId="26" xfId="0" applyFont="1" applyFill="1" applyBorder="1" applyAlignment="1">
      <alignment horizontal="left" wrapText="1" indent="4"/>
    </xf>
    <xf numFmtId="0" fontId="6" fillId="0" borderId="41" xfId="0" applyFont="1" applyFill="1" applyBorder="1" applyAlignment="1">
      <alignment horizontal="right" wrapText="1" indent="4"/>
    </xf>
    <xf numFmtId="0" fontId="4" fillId="0" borderId="0" xfId="0" applyFont="1" applyAlignment="1">
      <alignment/>
    </xf>
    <xf numFmtId="10" fontId="5" fillId="36" borderId="47" xfId="45" applyNumberFormat="1" applyFont="1" applyFill="1" applyBorder="1" applyAlignment="1">
      <alignment/>
    </xf>
    <xf numFmtId="10" fontId="4" fillId="33" borderId="50" xfId="45" applyNumberFormat="1" applyFont="1" applyFill="1" applyBorder="1" applyAlignment="1">
      <alignment/>
    </xf>
    <xf numFmtId="10" fontId="4" fillId="33" borderId="20" xfId="45" applyNumberFormat="1" applyFont="1" applyFill="1" applyBorder="1" applyAlignment="1">
      <alignment/>
    </xf>
    <xf numFmtId="3" fontId="6" fillId="34" borderId="17" xfId="0" applyNumberFormat="1" applyFont="1" applyFill="1" applyBorder="1" applyAlignment="1">
      <alignment horizontal="center" wrapText="1"/>
    </xf>
    <xf numFmtId="0" fontId="6" fillId="34" borderId="26" xfId="0" applyFont="1" applyFill="1" applyBorder="1" applyAlignment="1">
      <alignment horizontal="left" wrapText="1" indent="6"/>
    </xf>
    <xf numFmtId="3" fontId="6" fillId="34" borderId="25" xfId="0" applyNumberFormat="1" applyFont="1" applyFill="1" applyBorder="1" applyAlignment="1">
      <alignment wrapText="1"/>
    </xf>
    <xf numFmtId="10" fontId="4" fillId="0" borderId="0" xfId="45" applyNumberFormat="1" applyFont="1" applyFill="1" applyAlignment="1">
      <alignment/>
    </xf>
    <xf numFmtId="10" fontId="5" fillId="36" borderId="34" xfId="45" applyNumberFormat="1" applyFont="1" applyFill="1" applyBorder="1" applyAlignment="1">
      <alignment/>
    </xf>
    <xf numFmtId="10" fontId="7" fillId="0" borderId="0" xfId="0" applyNumberFormat="1" applyFont="1" applyFill="1" applyAlignment="1">
      <alignment/>
    </xf>
    <xf numFmtId="10" fontId="7" fillId="0" borderId="0" xfId="0" applyNumberFormat="1" applyFont="1" applyBorder="1" applyAlignment="1">
      <alignment wrapText="1"/>
    </xf>
    <xf numFmtId="10" fontId="5" fillId="33" borderId="11" xfId="0" applyNumberFormat="1" applyFont="1" applyFill="1" applyBorder="1" applyAlignment="1">
      <alignment horizontal="center" vertical="center" wrapText="1"/>
    </xf>
    <xf numFmtId="10" fontId="5" fillId="33" borderId="15" xfId="0" applyNumberFormat="1" applyFont="1" applyFill="1" applyBorder="1" applyAlignment="1">
      <alignment horizontal="center" wrapText="1"/>
    </xf>
    <xf numFmtId="10" fontId="4" fillId="33" borderId="20" xfId="0" applyNumberFormat="1" applyFont="1" applyFill="1" applyBorder="1" applyAlignment="1">
      <alignment horizontal="center" wrapText="1"/>
    </xf>
    <xf numFmtId="10" fontId="4" fillId="0" borderId="0" xfId="0" applyNumberFormat="1" applyFont="1" applyFill="1" applyAlignment="1">
      <alignment/>
    </xf>
    <xf numFmtId="10" fontId="7" fillId="0" borderId="0" xfId="0" applyNumberFormat="1" applyFon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10" fontId="4" fillId="33" borderId="11" xfId="45" applyNumberFormat="1" applyFont="1" applyFill="1" applyBorder="1" applyAlignment="1">
      <alignment/>
    </xf>
    <xf numFmtId="0" fontId="5" fillId="33" borderId="51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wrapText="1"/>
    </xf>
    <xf numFmtId="0" fontId="4" fillId="0" borderId="0" xfId="0" applyFont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0" fontId="5" fillId="0" borderId="0" xfId="45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0" fontId="4" fillId="0" borderId="0" xfId="45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0" fontId="5" fillId="0" borderId="0" xfId="0" applyNumberFormat="1" applyFont="1" applyFill="1" applyBorder="1" applyAlignment="1">
      <alignment horizontal="right" wrapText="1"/>
    </xf>
    <xf numFmtId="10" fontId="10" fillId="0" borderId="0" xfId="45" applyNumberFormat="1" applyFont="1" applyFill="1" applyAlignment="1">
      <alignment/>
    </xf>
    <xf numFmtId="10" fontId="11" fillId="0" borderId="0" xfId="0" applyNumberFormat="1" applyFont="1" applyFill="1" applyAlignment="1">
      <alignment/>
    </xf>
    <xf numFmtId="4" fontId="4" fillId="33" borderId="43" xfId="45" applyNumberFormat="1" applyFont="1" applyFill="1" applyBorder="1" applyAlignment="1">
      <alignment/>
    </xf>
    <xf numFmtId="4" fontId="6" fillId="34" borderId="17" xfId="45" applyNumberFormat="1" applyFont="1" applyFill="1" applyBorder="1" applyAlignment="1">
      <alignment horizontal="right"/>
    </xf>
    <xf numFmtId="3" fontId="8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6" fillId="0" borderId="26" xfId="0" applyFont="1" applyFill="1" applyBorder="1" applyAlignment="1">
      <alignment horizontal="right" wrapText="1" indent="4"/>
    </xf>
    <xf numFmtId="10" fontId="4" fillId="0" borderId="14" xfId="45" applyNumberFormat="1" applyFont="1" applyFill="1" applyBorder="1" applyAlignment="1">
      <alignment horizontal="right" wrapText="1"/>
    </xf>
    <xf numFmtId="3" fontId="4" fillId="0" borderId="14" xfId="0" applyNumberFormat="1" applyFont="1" applyFill="1" applyBorder="1" applyAlignment="1">
      <alignment horizontal="right" wrapText="1"/>
    </xf>
    <xf numFmtId="10" fontId="4" fillId="33" borderId="14" xfId="0" applyNumberFormat="1" applyFont="1" applyFill="1" applyBorder="1" applyAlignment="1">
      <alignment horizontal="right" wrapText="1"/>
    </xf>
    <xf numFmtId="10" fontId="4" fillId="33" borderId="15" xfId="0" applyNumberFormat="1" applyFont="1" applyFill="1" applyBorder="1" applyAlignment="1">
      <alignment horizontal="right" wrapText="1"/>
    </xf>
    <xf numFmtId="0" fontId="6" fillId="0" borderId="18" xfId="0" applyFont="1" applyFill="1" applyBorder="1" applyAlignment="1">
      <alignment horizontal="right" wrapText="1" indent="4"/>
    </xf>
    <xf numFmtId="10" fontId="4" fillId="0" borderId="19" xfId="45" applyNumberFormat="1" applyFont="1" applyFill="1" applyBorder="1" applyAlignment="1">
      <alignment horizontal="right" wrapText="1"/>
    </xf>
    <xf numFmtId="3" fontId="4" fillId="0" borderId="19" xfId="0" applyNumberFormat="1" applyFont="1" applyFill="1" applyBorder="1" applyAlignment="1">
      <alignment horizontal="right" wrapText="1"/>
    </xf>
    <xf numFmtId="10" fontId="4" fillId="33" borderId="19" xfId="0" applyNumberFormat="1" applyFont="1" applyFill="1" applyBorder="1" applyAlignment="1">
      <alignment horizontal="right" wrapText="1"/>
    </xf>
    <xf numFmtId="10" fontId="4" fillId="33" borderId="20" xfId="0" applyNumberFormat="1" applyFont="1" applyFill="1" applyBorder="1" applyAlignment="1">
      <alignment horizontal="right" wrapText="1"/>
    </xf>
    <xf numFmtId="0" fontId="5" fillId="33" borderId="52" xfId="0" applyFont="1" applyFill="1" applyBorder="1" applyAlignment="1">
      <alignment horizontal="center" wrapText="1"/>
    </xf>
    <xf numFmtId="0" fontId="5" fillId="33" borderId="53" xfId="0" applyFont="1" applyFill="1" applyBorder="1" applyAlignment="1">
      <alignment horizontal="center" wrapText="1"/>
    </xf>
    <xf numFmtId="0" fontId="5" fillId="0" borderId="54" xfId="0" applyFont="1" applyFill="1" applyBorder="1" applyAlignment="1">
      <alignment wrapText="1"/>
    </xf>
    <xf numFmtId="3" fontId="4" fillId="0" borderId="55" xfId="0" applyNumberFormat="1" applyFont="1" applyFill="1" applyBorder="1" applyAlignment="1">
      <alignment wrapText="1"/>
    </xf>
    <xf numFmtId="10" fontId="4" fillId="0" borderId="55" xfId="45" applyNumberFormat="1" applyFont="1" applyFill="1" applyBorder="1" applyAlignment="1">
      <alignment horizontal="right" wrapText="1"/>
    </xf>
    <xf numFmtId="3" fontId="4" fillId="0" borderId="55" xfId="0" applyNumberFormat="1" applyFont="1" applyFill="1" applyBorder="1" applyAlignment="1">
      <alignment horizontal="right" wrapText="1"/>
    </xf>
    <xf numFmtId="10" fontId="4" fillId="33" borderId="55" xfId="0" applyNumberFormat="1" applyFont="1" applyFill="1" applyBorder="1" applyAlignment="1">
      <alignment horizontal="right" wrapText="1"/>
    </xf>
    <xf numFmtId="10" fontId="4" fillId="33" borderId="56" xfId="0" applyNumberFormat="1" applyFont="1" applyFill="1" applyBorder="1" applyAlignment="1">
      <alignment horizontal="right" wrapText="1"/>
    </xf>
    <xf numFmtId="3" fontId="4" fillId="0" borderId="0" xfId="0" applyNumberFormat="1" applyFont="1" applyAlignment="1">
      <alignment/>
    </xf>
    <xf numFmtId="10" fontId="4" fillId="0" borderId="10" xfId="45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wrapText="1"/>
    </xf>
    <xf numFmtId="10" fontId="4" fillId="33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center" wrapText="1"/>
    </xf>
    <xf numFmtId="10" fontId="4" fillId="33" borderId="11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wrapText="1"/>
    </xf>
    <xf numFmtId="10" fontId="4" fillId="0" borderId="0" xfId="45" applyNumberFormat="1" applyFont="1" applyAlignment="1">
      <alignment/>
    </xf>
    <xf numFmtId="10" fontId="8" fillId="0" borderId="0" xfId="45" applyNumberFormat="1" applyFont="1" applyFill="1" applyBorder="1" applyAlignment="1">
      <alignment wrapText="1"/>
    </xf>
    <xf numFmtId="3" fontId="6" fillId="0" borderId="25" xfId="0" applyNumberFormat="1" applyFont="1" applyFill="1" applyBorder="1" applyAlignment="1">
      <alignment horizontal="right" wrapText="1"/>
    </xf>
    <xf numFmtId="10" fontId="4" fillId="33" borderId="17" xfId="45" applyNumberFormat="1" applyFont="1" applyFill="1" applyBorder="1" applyAlignment="1">
      <alignment horizontal="right"/>
    </xf>
    <xf numFmtId="4" fontId="4" fillId="33" borderId="17" xfId="45" applyNumberFormat="1" applyFont="1" applyFill="1" applyBorder="1" applyAlignment="1">
      <alignment horizontal="right"/>
    </xf>
    <xf numFmtId="10" fontId="6" fillId="33" borderId="17" xfId="45" applyNumberFormat="1" applyFont="1" applyFill="1" applyBorder="1" applyAlignment="1">
      <alignment horizontal="right"/>
    </xf>
    <xf numFmtId="10" fontId="6" fillId="33" borderId="15" xfId="45" applyNumberFormat="1" applyFont="1" applyFill="1" applyBorder="1" applyAlignment="1">
      <alignment horizontal="right"/>
    </xf>
    <xf numFmtId="4" fontId="6" fillId="33" borderId="17" xfId="45" applyNumberFormat="1" applyFont="1" applyFill="1" applyBorder="1" applyAlignment="1">
      <alignment horizontal="right"/>
    </xf>
    <xf numFmtId="3" fontId="7" fillId="0" borderId="0" xfId="0" applyNumberFormat="1" applyFont="1" applyAlignment="1">
      <alignment/>
    </xf>
    <xf numFmtId="0" fontId="5" fillId="33" borderId="57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3" fillId="0" borderId="49" xfId="0" applyFont="1" applyFill="1" applyBorder="1" applyAlignment="1" applyProtection="1">
      <alignment horizontal="left" wrapText="1"/>
      <protection locked="0"/>
    </xf>
    <xf numFmtId="0" fontId="5" fillId="33" borderId="4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5" fillId="33" borderId="58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tabSelected="1" view="pageLayout" zoomScale="50" zoomScaleNormal="40" zoomScaleSheetLayoutView="70" zoomScalePageLayoutView="50" workbookViewId="0" topLeftCell="B37">
      <selection activeCell="M39" sqref="M39"/>
    </sheetView>
  </sheetViews>
  <sheetFormatPr defaultColWidth="9.00390625" defaultRowHeight="12.75"/>
  <cols>
    <col min="1" max="1" width="72.625" style="6" customWidth="1"/>
    <col min="2" max="2" width="26.625" style="6" customWidth="1"/>
    <col min="3" max="3" width="23.125" style="6" customWidth="1"/>
    <col min="4" max="6" width="24.75390625" style="3" customWidth="1"/>
    <col min="7" max="13" width="24.75390625" style="4" customWidth="1"/>
    <col min="14" max="14" width="24.375" style="4" customWidth="1"/>
    <col min="15" max="15" width="23.875" style="5" hidden="1" customWidth="1"/>
    <col min="16" max="16" width="27.00390625" style="4" customWidth="1"/>
    <col min="17" max="17" width="24.25390625" style="4" customWidth="1"/>
    <col min="18" max="18" width="23.875" style="168" customWidth="1"/>
    <col min="19" max="19" width="12.375" style="3" bestFit="1" customWidth="1"/>
    <col min="20" max="20" width="15.875" style="3" bestFit="1" customWidth="1"/>
    <col min="21" max="16384" width="9.125" style="3" customWidth="1"/>
  </cols>
  <sheetData>
    <row r="1" spans="1:18" s="120" customFormat="1" ht="23.25">
      <c r="A1" s="119"/>
      <c r="B1" s="119"/>
      <c r="C1" s="119"/>
      <c r="G1" s="121"/>
      <c r="H1" s="121"/>
      <c r="I1" s="121"/>
      <c r="J1" s="121"/>
      <c r="K1" s="121"/>
      <c r="L1" s="121"/>
      <c r="M1" s="121"/>
      <c r="N1" s="121"/>
      <c r="O1" s="122"/>
      <c r="P1" s="121"/>
      <c r="Q1" s="121"/>
      <c r="R1" s="163"/>
    </row>
    <row r="2" spans="1:18" s="124" customFormat="1" ht="29.25" customHeight="1" thickBot="1">
      <c r="A2" s="230" t="s">
        <v>78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1"/>
      <c r="P2" s="123"/>
      <c r="Q2" s="123"/>
      <c r="R2" s="164"/>
    </row>
    <row r="3" spans="1:18" ht="108.75" customHeight="1">
      <c r="A3" s="227" t="s">
        <v>0</v>
      </c>
      <c r="B3" s="7" t="s">
        <v>67</v>
      </c>
      <c r="C3" s="173" t="s">
        <v>66</v>
      </c>
      <c r="D3" s="7" t="s">
        <v>1</v>
      </c>
      <c r="E3" s="7" t="s">
        <v>2</v>
      </c>
      <c r="F3" s="8" t="s">
        <v>3</v>
      </c>
      <c r="G3" s="9" t="s">
        <v>4</v>
      </c>
      <c r="H3" s="7" t="s">
        <v>53</v>
      </c>
      <c r="I3" s="7" t="s">
        <v>34</v>
      </c>
      <c r="J3" s="7" t="s">
        <v>33</v>
      </c>
      <c r="K3" s="7" t="s">
        <v>55</v>
      </c>
      <c r="L3" s="7" t="s">
        <v>44</v>
      </c>
      <c r="M3" s="7" t="s">
        <v>45</v>
      </c>
      <c r="N3" s="10" t="s">
        <v>56</v>
      </c>
      <c r="O3" s="11" t="s">
        <v>38</v>
      </c>
      <c r="P3" s="10" t="s">
        <v>54</v>
      </c>
      <c r="Q3" s="11" t="s">
        <v>69</v>
      </c>
      <c r="R3" s="165" t="s">
        <v>57</v>
      </c>
    </row>
    <row r="4" spans="1:18" ht="20.25">
      <c r="A4" s="231"/>
      <c r="B4" s="12" t="s">
        <v>7</v>
      </c>
      <c r="C4" s="12" t="s">
        <v>7</v>
      </c>
      <c r="D4" s="12" t="s">
        <v>7</v>
      </c>
      <c r="E4" s="12" t="s">
        <v>7</v>
      </c>
      <c r="F4" s="13" t="s">
        <v>7</v>
      </c>
      <c r="G4" s="14" t="s">
        <v>7</v>
      </c>
      <c r="H4" s="12" t="s">
        <v>7</v>
      </c>
      <c r="I4" s="12" t="s">
        <v>7</v>
      </c>
      <c r="J4" s="12" t="s">
        <v>7</v>
      </c>
      <c r="K4" s="12" t="s">
        <v>7</v>
      </c>
      <c r="L4" s="15" t="s">
        <v>7</v>
      </c>
      <c r="M4" s="15" t="s">
        <v>7</v>
      </c>
      <c r="N4" s="15" t="s">
        <v>7</v>
      </c>
      <c r="O4" s="16" t="s">
        <v>68</v>
      </c>
      <c r="P4" s="15" t="s">
        <v>7</v>
      </c>
      <c r="Q4" s="15" t="s">
        <v>68</v>
      </c>
      <c r="R4" s="166" t="s">
        <v>7</v>
      </c>
    </row>
    <row r="5" spans="1:18" ht="21" thickBot="1">
      <c r="A5" s="17"/>
      <c r="B5" s="18">
        <v>1</v>
      </c>
      <c r="C5" s="20">
        <v>2</v>
      </c>
      <c r="D5" s="18">
        <v>3</v>
      </c>
      <c r="E5" s="18">
        <v>4</v>
      </c>
      <c r="F5" s="19" t="s">
        <v>59</v>
      </c>
      <c r="G5" s="20">
        <v>6</v>
      </c>
      <c r="H5" s="18">
        <v>7</v>
      </c>
      <c r="I5" s="18" t="s">
        <v>60</v>
      </c>
      <c r="J5" s="21">
        <v>9</v>
      </c>
      <c r="K5" s="21">
        <v>10</v>
      </c>
      <c r="L5" s="21" t="s">
        <v>61</v>
      </c>
      <c r="M5" s="21" t="s">
        <v>62</v>
      </c>
      <c r="N5" s="21" t="s">
        <v>63</v>
      </c>
      <c r="O5" s="22"/>
      <c r="P5" s="21" t="s">
        <v>64</v>
      </c>
      <c r="Q5" s="21"/>
      <c r="R5" s="167" t="s">
        <v>65</v>
      </c>
    </row>
    <row r="6" spans="1:18" s="4" customFormat="1" ht="32.25" customHeight="1">
      <c r="A6" s="23" t="s">
        <v>9</v>
      </c>
      <c r="B6" s="24">
        <f>B7+B8</f>
        <v>29289159.82</v>
      </c>
      <c r="C6" s="24">
        <f>C7+C8</f>
        <v>1742.3600000000001</v>
      </c>
      <c r="D6" s="24">
        <f>D7+D8</f>
        <v>29287417.460000005</v>
      </c>
      <c r="E6" s="24">
        <v>617801578</v>
      </c>
      <c r="F6" s="25">
        <f aca="true" t="shared" si="0" ref="F6:F29">D6/E6</f>
        <v>0.04740586379661207</v>
      </c>
      <c r="G6" s="26">
        <v>87729702</v>
      </c>
      <c r="H6" s="27">
        <f>E6*(0.09)</f>
        <v>55602142.019999996</v>
      </c>
      <c r="I6" s="28">
        <f>G6-H6</f>
        <v>32127559.980000004</v>
      </c>
      <c r="J6" s="29">
        <v>85480552</v>
      </c>
      <c r="K6" s="29">
        <v>82402308</v>
      </c>
      <c r="L6" s="30">
        <f>L7</f>
        <v>2907763.229423709</v>
      </c>
      <c r="M6" s="140" t="s">
        <v>39</v>
      </c>
      <c r="N6" s="31">
        <f>D6/I6</f>
        <v>0.9115979389107657</v>
      </c>
      <c r="O6" s="32">
        <f>O7+O8</f>
        <v>67620.70942371199</v>
      </c>
      <c r="P6" s="31">
        <f>O6/J6</f>
        <v>0.0007910654276508648</v>
      </c>
      <c r="Q6" s="189">
        <f>IF(D6-I6-J6&gt;0,D6-I6-J6,0)</f>
        <v>0</v>
      </c>
      <c r="R6" s="172">
        <f>Q6/K6</f>
        <v>0</v>
      </c>
    </row>
    <row r="7" spans="1:18" s="45" customFormat="1" ht="32.25" customHeight="1">
      <c r="A7" s="153" t="s">
        <v>46</v>
      </c>
      <c r="B7" s="142">
        <v>28429091.990000002</v>
      </c>
      <c r="C7" s="142">
        <v>1678.22</v>
      </c>
      <c r="D7" s="142">
        <f>B7-C7</f>
        <v>28427413.770000003</v>
      </c>
      <c r="E7" s="142">
        <f>E6-E8</f>
        <v>600000000</v>
      </c>
      <c r="F7" s="143">
        <f t="shared" si="0"/>
        <v>0.04737902295</v>
      </c>
      <c r="G7" s="144">
        <f>G6-G8</f>
        <v>85335177</v>
      </c>
      <c r="H7" s="144">
        <f>H6-H8</f>
        <v>54000000.00057629</v>
      </c>
      <c r="I7" s="37">
        <f aca="true" t="shared" si="1" ref="I7:I12">G7-H7</f>
        <v>31335176.999423712</v>
      </c>
      <c r="J7" s="145">
        <f>J6-J8</f>
        <v>83038136</v>
      </c>
      <c r="K7" s="145">
        <v>79911044</v>
      </c>
      <c r="L7" s="43">
        <f>I7-D7</f>
        <v>2907763.229423709</v>
      </c>
      <c r="M7" s="141" t="s">
        <v>39</v>
      </c>
      <c r="N7" s="146">
        <f>D7/I7</f>
        <v>0.9072045059941042</v>
      </c>
      <c r="O7" s="32">
        <f aca="true" t="shared" si="2" ref="O7:O12">IF(D7-I7&lt;0,0,D7-I7)</f>
        <v>0</v>
      </c>
      <c r="P7" s="31">
        <f aca="true" t="shared" si="3" ref="P7:P12">O7/J7</f>
        <v>0</v>
      </c>
      <c r="Q7" s="32">
        <f>IF(D7-I7-J7&gt;0,D7-I7-J7,0)</f>
        <v>0</v>
      </c>
      <c r="R7" s="44">
        <f aca="true" t="shared" si="4" ref="R7:R29">Q7/K7</f>
        <v>0</v>
      </c>
    </row>
    <row r="8" spans="1:18" s="45" customFormat="1" ht="32.25" customHeight="1">
      <c r="A8" s="153" t="s">
        <v>47</v>
      </c>
      <c r="B8" s="142">
        <v>860067.83</v>
      </c>
      <c r="C8" s="142">
        <v>64.14</v>
      </c>
      <c r="D8" s="142">
        <f>B8-C8</f>
        <v>860003.69</v>
      </c>
      <c r="E8" s="142">
        <v>17801578</v>
      </c>
      <c r="F8" s="143">
        <f t="shared" si="0"/>
        <v>0.048310531234927595</v>
      </c>
      <c r="G8" s="144">
        <v>2394525</v>
      </c>
      <c r="H8" s="42">
        <v>1602142.019423712</v>
      </c>
      <c r="I8" s="37">
        <f t="shared" si="1"/>
        <v>792382.980576288</v>
      </c>
      <c r="J8" s="145">
        <v>2442416</v>
      </c>
      <c r="K8" s="145">
        <v>2491264</v>
      </c>
      <c r="L8" s="43">
        <v>0</v>
      </c>
      <c r="M8" s="141" t="s">
        <v>39</v>
      </c>
      <c r="N8" s="146">
        <v>1</v>
      </c>
      <c r="O8" s="32">
        <f t="shared" si="2"/>
        <v>67620.70942371199</v>
      </c>
      <c r="P8" s="31">
        <f t="shared" si="3"/>
        <v>0.02768599183092151</v>
      </c>
      <c r="Q8" s="32">
        <f aca="true" t="shared" si="5" ref="Q8:Q29">IF(D8-I8-J8&gt;0,D8-I8-J8,0)</f>
        <v>0</v>
      </c>
      <c r="R8" s="44">
        <f t="shared" si="4"/>
        <v>0</v>
      </c>
    </row>
    <row r="9" spans="1:19" s="4" customFormat="1" ht="32.25" customHeight="1">
      <c r="A9" s="34" t="s">
        <v>10</v>
      </c>
      <c r="B9" s="28">
        <f>B10+B11</f>
        <v>124303749.16000001</v>
      </c>
      <c r="C9" s="28">
        <v>0</v>
      </c>
      <c r="D9" s="28">
        <f>D10+D11</f>
        <v>124303749.16000001</v>
      </c>
      <c r="E9" s="28">
        <v>881801578</v>
      </c>
      <c r="F9" s="35">
        <f t="shared" si="0"/>
        <v>0.14096566876409017</v>
      </c>
      <c r="G9" s="36">
        <v>125277179</v>
      </c>
      <c r="H9" s="27">
        <f>E9*(0.09)</f>
        <v>79362142.02</v>
      </c>
      <c r="I9" s="28">
        <f t="shared" si="1"/>
        <v>45915036.980000004</v>
      </c>
      <c r="J9" s="29">
        <v>122017332</v>
      </c>
      <c r="K9" s="29">
        <v>117563168</v>
      </c>
      <c r="L9" s="30">
        <v>0</v>
      </c>
      <c r="M9" s="140" t="s">
        <v>39</v>
      </c>
      <c r="N9" s="31">
        <v>1</v>
      </c>
      <c r="O9" s="32">
        <f t="shared" si="2"/>
        <v>78388712.18</v>
      </c>
      <c r="P9" s="31">
        <f t="shared" si="3"/>
        <v>0.6424391592171512</v>
      </c>
      <c r="Q9" s="32">
        <f t="shared" si="5"/>
        <v>0</v>
      </c>
      <c r="R9" s="33">
        <f t="shared" si="4"/>
        <v>0</v>
      </c>
      <c r="S9" s="161"/>
    </row>
    <row r="10" spans="1:19" s="45" customFormat="1" ht="32.25" customHeight="1">
      <c r="A10" s="153" t="s">
        <v>46</v>
      </c>
      <c r="B10" s="37">
        <v>121191796.51</v>
      </c>
      <c r="C10" s="37">
        <v>0</v>
      </c>
      <c r="D10" s="37">
        <f>B10-C10</f>
        <v>121191796.51</v>
      </c>
      <c r="E10" s="37">
        <f>E9-E11</f>
        <v>864000000</v>
      </c>
      <c r="F10" s="40">
        <f t="shared" si="0"/>
        <v>0.14026828299768518</v>
      </c>
      <c r="G10" s="41">
        <f>G9-G11</f>
        <v>122882654</v>
      </c>
      <c r="H10" s="42">
        <f>E10/E9*H9</f>
        <v>77760000</v>
      </c>
      <c r="I10" s="37">
        <f t="shared" si="1"/>
        <v>45122654</v>
      </c>
      <c r="J10" s="145">
        <f>J9-J11</f>
        <v>119574916</v>
      </c>
      <c r="K10" s="145">
        <v>115071904</v>
      </c>
      <c r="L10" s="43">
        <v>0</v>
      </c>
      <c r="M10" s="141" t="s">
        <v>39</v>
      </c>
      <c r="N10" s="146">
        <v>1</v>
      </c>
      <c r="O10" s="32">
        <f t="shared" si="2"/>
        <v>76069142.51</v>
      </c>
      <c r="P10" s="31">
        <f t="shared" si="3"/>
        <v>0.6361630436771538</v>
      </c>
      <c r="Q10" s="32">
        <f t="shared" si="5"/>
        <v>0</v>
      </c>
      <c r="R10" s="44">
        <f t="shared" si="4"/>
        <v>0</v>
      </c>
      <c r="S10" s="161"/>
    </row>
    <row r="11" spans="1:19" s="45" customFormat="1" ht="32.25" customHeight="1">
      <c r="A11" s="153" t="s">
        <v>47</v>
      </c>
      <c r="B11" s="37">
        <v>3111952.65</v>
      </c>
      <c r="C11" s="37">
        <v>0</v>
      </c>
      <c r="D11" s="37">
        <f>B11-C11</f>
        <v>3111952.65</v>
      </c>
      <c r="E11" s="37">
        <v>17801578</v>
      </c>
      <c r="F11" s="40">
        <f t="shared" si="0"/>
        <v>0.17481330306785162</v>
      </c>
      <c r="G11" s="41">
        <v>2394525</v>
      </c>
      <c r="H11" s="42">
        <f>E11/E9*H9</f>
        <v>1602142.02</v>
      </c>
      <c r="I11" s="37">
        <f t="shared" si="1"/>
        <v>792382.98</v>
      </c>
      <c r="J11" s="145">
        <v>2442416</v>
      </c>
      <c r="K11" s="145">
        <v>2491264</v>
      </c>
      <c r="L11" s="43">
        <v>0</v>
      </c>
      <c r="M11" s="141" t="s">
        <v>39</v>
      </c>
      <c r="N11" s="146">
        <v>1</v>
      </c>
      <c r="O11" s="32">
        <f t="shared" si="2"/>
        <v>2319569.67</v>
      </c>
      <c r="P11" s="31">
        <f t="shared" si="3"/>
        <v>0.9497029457717276</v>
      </c>
      <c r="Q11" s="32">
        <f t="shared" si="5"/>
        <v>0</v>
      </c>
      <c r="R11" s="44">
        <f t="shared" si="4"/>
        <v>0</v>
      </c>
      <c r="S11" s="161"/>
    </row>
    <row r="12" spans="1:19" s="4" customFormat="1" ht="32.25" customHeight="1">
      <c r="A12" s="34" t="s">
        <v>11</v>
      </c>
      <c r="B12" s="28">
        <v>11368772.88</v>
      </c>
      <c r="C12" s="28">
        <v>0</v>
      </c>
      <c r="D12" s="28">
        <f>B12-C12</f>
        <v>11368772.88</v>
      </c>
      <c r="E12" s="28">
        <v>988095405</v>
      </c>
      <c r="F12" s="35">
        <f t="shared" si="0"/>
        <v>0.011505744103728528</v>
      </c>
      <c r="G12" s="36">
        <v>141243286</v>
      </c>
      <c r="H12" s="27">
        <v>89378586.45</v>
      </c>
      <c r="I12" s="28">
        <f t="shared" si="1"/>
        <v>51864699.55</v>
      </c>
      <c r="J12" s="29">
        <v>136749335</v>
      </c>
      <c r="K12" s="29">
        <v>132265485</v>
      </c>
      <c r="L12" s="30">
        <f>I12-D12</f>
        <v>40495926.669999994</v>
      </c>
      <c r="M12" s="140" t="s">
        <v>39</v>
      </c>
      <c r="N12" s="31">
        <f>D12/I12</f>
        <v>0.21920059266977865</v>
      </c>
      <c r="O12" s="32">
        <f t="shared" si="2"/>
        <v>0</v>
      </c>
      <c r="P12" s="31">
        <f t="shared" si="3"/>
        <v>0</v>
      </c>
      <c r="Q12" s="32">
        <f t="shared" si="5"/>
        <v>0</v>
      </c>
      <c r="R12" s="33">
        <f t="shared" si="4"/>
        <v>0</v>
      </c>
      <c r="S12" s="161"/>
    </row>
    <row r="13" spans="1:19" s="4" customFormat="1" ht="34.5" customHeight="1">
      <c r="A13" s="34" t="s">
        <v>12</v>
      </c>
      <c r="B13" s="28">
        <f>B14+B15</f>
        <v>64409763.42</v>
      </c>
      <c r="C13" s="28">
        <f>C14+C15</f>
        <v>13575.81</v>
      </c>
      <c r="D13" s="28">
        <f>D14+D15</f>
        <v>64396187.61</v>
      </c>
      <c r="E13" s="28">
        <f>E14+E15</f>
        <v>1800000000</v>
      </c>
      <c r="F13" s="35">
        <f t="shared" si="0"/>
        <v>0.03577565978333333</v>
      </c>
      <c r="G13" s="36">
        <f>G14+G15</f>
        <v>117019128</v>
      </c>
      <c r="H13" s="27">
        <f>H14+H15</f>
        <v>185538645.975</v>
      </c>
      <c r="I13" s="37">
        <f>I14</f>
        <v>12051348.850000001</v>
      </c>
      <c r="J13" s="29">
        <f>J14+J15</f>
        <v>89701705.17500001</v>
      </c>
      <c r="K13" s="29">
        <f>K14+K15</f>
        <v>231927776</v>
      </c>
      <c r="L13" s="29">
        <f>L14</f>
        <v>0</v>
      </c>
      <c r="M13" s="29">
        <f>M15</f>
        <v>10635824.815000013</v>
      </c>
      <c r="N13" s="31">
        <f>N14</f>
        <v>1</v>
      </c>
      <c r="O13" s="32">
        <f>O14+O15</f>
        <v>52344838.76</v>
      </c>
      <c r="P13" s="31">
        <f>O13/(J13)</f>
        <v>0.5835434082092408</v>
      </c>
      <c r="Q13" s="32">
        <f>Q14+Q15</f>
        <v>0</v>
      </c>
      <c r="R13" s="38">
        <f>Q13/K13</f>
        <v>0</v>
      </c>
      <c r="S13" s="161"/>
    </row>
    <row r="14" spans="1:19" s="45" customFormat="1" ht="32.25" customHeight="1">
      <c r="A14" s="151" t="s">
        <v>13</v>
      </c>
      <c r="B14" s="37">
        <v>17266350.25</v>
      </c>
      <c r="C14" s="37">
        <v>0</v>
      </c>
      <c r="D14" s="37">
        <f>B14-C14</f>
        <v>17266350.25</v>
      </c>
      <c r="E14" s="37">
        <v>230756935</v>
      </c>
      <c r="F14" s="40">
        <f t="shared" si="0"/>
        <v>0.0748248378754034</v>
      </c>
      <c r="G14" s="41">
        <v>32819473</v>
      </c>
      <c r="H14" s="42">
        <f>E14*0.09</f>
        <v>20768124.15</v>
      </c>
      <c r="I14" s="37">
        <f>G14-H14</f>
        <v>12051348.850000001</v>
      </c>
      <c r="J14" s="29">
        <v>31936043</v>
      </c>
      <c r="K14" s="29">
        <v>30733380</v>
      </c>
      <c r="L14" s="43">
        <v>0</v>
      </c>
      <c r="M14" s="141" t="s">
        <v>39</v>
      </c>
      <c r="N14" s="31">
        <v>1</v>
      </c>
      <c r="O14" s="32">
        <f>IF(D14-I14&lt;0,0,D14-I14)</f>
        <v>5215001.3999999985</v>
      </c>
      <c r="P14" s="31">
        <f>O14/J14</f>
        <v>0.1632951646514253</v>
      </c>
      <c r="Q14" s="32">
        <f t="shared" si="5"/>
        <v>0</v>
      </c>
      <c r="R14" s="44">
        <f t="shared" si="4"/>
        <v>0</v>
      </c>
      <c r="S14" s="161"/>
    </row>
    <row r="15" spans="1:19" s="45" customFormat="1" ht="20.25">
      <c r="A15" s="152" t="s">
        <v>14</v>
      </c>
      <c r="B15" s="46">
        <v>47143413.17</v>
      </c>
      <c r="C15" s="46">
        <v>13575.81</v>
      </c>
      <c r="D15" s="46">
        <f>B15-C15</f>
        <v>47129837.36</v>
      </c>
      <c r="E15" s="46">
        <v>1569243065</v>
      </c>
      <c r="F15" s="47">
        <f>D15/E15</f>
        <v>0.030033484557728474</v>
      </c>
      <c r="G15" s="48">
        <v>84199655</v>
      </c>
      <c r="H15" s="160">
        <f>E15*(0.105)</f>
        <v>164770521.825</v>
      </c>
      <c r="I15" s="49">
        <f>G15-H15</f>
        <v>-80570866.82499999</v>
      </c>
      <c r="J15" s="49">
        <f>138336529+I15</f>
        <v>57765662.17500001</v>
      </c>
      <c r="K15" s="49">
        <v>201194396</v>
      </c>
      <c r="L15" s="50" t="s">
        <v>39</v>
      </c>
      <c r="M15" s="138">
        <f>(G15+J15-H15)-I15-D15</f>
        <v>10635824.815000013</v>
      </c>
      <c r="N15" s="51" t="s">
        <v>39</v>
      </c>
      <c r="O15" s="52">
        <f>D15</f>
        <v>47129837.36</v>
      </c>
      <c r="P15" s="51">
        <f>O15/(J15)</f>
        <v>0.8158798079250096</v>
      </c>
      <c r="Q15" s="190">
        <f>IF(D15-J15&gt;=0,D15-J15,0)</f>
        <v>0</v>
      </c>
      <c r="R15" s="53">
        <f>Q15/K15</f>
        <v>0</v>
      </c>
      <c r="S15" s="161"/>
    </row>
    <row r="16" spans="1:19" s="4" customFormat="1" ht="32.25" customHeight="1">
      <c r="A16" s="34" t="s">
        <v>15</v>
      </c>
      <c r="B16" s="28">
        <v>179878237.23</v>
      </c>
      <c r="C16" s="28">
        <v>4467683.5</v>
      </c>
      <c r="D16" s="28">
        <f>B16-C16</f>
        <v>175410553.73</v>
      </c>
      <c r="E16" s="28">
        <v>1445000000</v>
      </c>
      <c r="F16" s="35">
        <f t="shared" si="0"/>
        <v>0.12139138666435985</v>
      </c>
      <c r="G16" s="36">
        <v>205515550</v>
      </c>
      <c r="H16" s="27">
        <f>E16*0.09</f>
        <v>130050000</v>
      </c>
      <c r="I16" s="28">
        <f>G16-H16</f>
        <v>75465550</v>
      </c>
      <c r="J16" s="29">
        <v>199983511</v>
      </c>
      <c r="K16" s="29">
        <v>192452432</v>
      </c>
      <c r="L16" s="30">
        <v>0</v>
      </c>
      <c r="M16" s="140" t="s">
        <v>39</v>
      </c>
      <c r="N16" s="31">
        <v>1</v>
      </c>
      <c r="O16" s="32">
        <f>IF(D16-I16&lt;0,0,D16-I16)</f>
        <v>99945003.72999999</v>
      </c>
      <c r="P16" s="31">
        <f>O16/J16</f>
        <v>0.49976622187616254</v>
      </c>
      <c r="Q16" s="32">
        <f t="shared" si="5"/>
        <v>0</v>
      </c>
      <c r="R16" s="33">
        <f t="shared" si="4"/>
        <v>0</v>
      </c>
      <c r="S16" s="161"/>
    </row>
    <row r="17" spans="1:19" s="4" customFormat="1" ht="32.25" customHeight="1">
      <c r="A17" s="54" t="s">
        <v>16</v>
      </c>
      <c r="B17" s="28">
        <f>B18+B20</f>
        <v>361420697.3</v>
      </c>
      <c r="C17" s="28">
        <f>C18+C20</f>
        <v>27230.35</v>
      </c>
      <c r="D17" s="28">
        <f>D18+D20</f>
        <v>361393466.95</v>
      </c>
      <c r="E17" s="28">
        <f>E18+E20</f>
        <v>3206904595</v>
      </c>
      <c r="F17" s="35">
        <f>D17/E17</f>
        <v>0.11269230382265238</v>
      </c>
      <c r="G17" s="36">
        <f>G18+G20</f>
        <v>249781696</v>
      </c>
      <c r="H17" s="27">
        <f>H18+H20</f>
        <v>323563846.02</v>
      </c>
      <c r="I17" s="55">
        <v>45822948.269999996</v>
      </c>
      <c r="J17" s="29">
        <f>J18+J20</f>
        <v>135047208.70999998</v>
      </c>
      <c r="K17" s="29">
        <f>K18+K20</f>
        <v>423608777</v>
      </c>
      <c r="L17" s="29">
        <v>0</v>
      </c>
      <c r="M17" s="29">
        <f>M20</f>
        <v>0</v>
      </c>
      <c r="N17" s="31">
        <f>N18</f>
        <v>1</v>
      </c>
      <c r="O17" s="32">
        <f>O18+O20</f>
        <v>70500421.94000001</v>
      </c>
      <c r="P17" s="31">
        <f>O17/J17</f>
        <v>0.5220427923941208</v>
      </c>
      <c r="Q17" s="32">
        <f>Q18+Q20</f>
        <v>245070096.74</v>
      </c>
      <c r="R17" s="33">
        <f>Q17/K17</f>
        <v>0.5785293177246892</v>
      </c>
      <c r="S17" s="39"/>
    </row>
    <row r="18" spans="1:23" s="45" customFormat="1" ht="32.25" customHeight="1">
      <c r="A18" s="151" t="s">
        <v>13</v>
      </c>
      <c r="B18" s="37">
        <v>88893555.85000001</v>
      </c>
      <c r="C18" s="37">
        <v>27230.35</v>
      </c>
      <c r="D18" s="37">
        <f>B18-C18</f>
        <v>88866325.50000001</v>
      </c>
      <c r="E18" s="37">
        <v>877409097</v>
      </c>
      <c r="F18" s="35">
        <f t="shared" si="0"/>
        <v>0.10128265800280392</v>
      </c>
      <c r="G18" s="41">
        <v>124789767</v>
      </c>
      <c r="H18" s="42">
        <f>E18*0.09</f>
        <v>78966818.73</v>
      </c>
      <c r="I18" s="37">
        <f aca="true" t="shared" si="6" ref="I18:I27">G18-H18</f>
        <v>45822948.269999996</v>
      </c>
      <c r="J18" s="29">
        <v>107590164</v>
      </c>
      <c r="K18" s="29">
        <v>66647178</v>
      </c>
      <c r="L18" s="43">
        <v>0</v>
      </c>
      <c r="M18" s="141" t="s">
        <v>39</v>
      </c>
      <c r="N18" s="31">
        <v>1</v>
      </c>
      <c r="O18" s="32">
        <f>IF(D18-I18&lt;0,0,D18-I18)</f>
        <v>43043377.23000002</v>
      </c>
      <c r="P18" s="146">
        <f>O18/J18</f>
        <v>0.40006795816390817</v>
      </c>
      <c r="Q18" s="147">
        <f t="shared" si="5"/>
        <v>0</v>
      </c>
      <c r="R18" s="44">
        <f t="shared" si="4"/>
        <v>0</v>
      </c>
      <c r="S18" s="39"/>
      <c r="T18" s="39"/>
      <c r="U18" s="39"/>
      <c r="V18" s="39"/>
      <c r="W18" s="39"/>
    </row>
    <row r="19" spans="1:23" s="45" customFormat="1" ht="40.5">
      <c r="A19" s="151" t="s">
        <v>71</v>
      </c>
      <c r="B19" s="37">
        <v>68674016.13</v>
      </c>
      <c r="C19" s="37">
        <v>0</v>
      </c>
      <c r="D19" s="37">
        <f aca="true" t="shared" si="7" ref="D19:D29">B19-C19</f>
        <v>68674016.13</v>
      </c>
      <c r="E19" s="37">
        <v>111020233</v>
      </c>
      <c r="F19" s="35">
        <f>D19/E19</f>
        <v>0.6185720771275989</v>
      </c>
      <c r="G19" s="41">
        <v>0</v>
      </c>
      <c r="H19" s="220" t="s">
        <v>39</v>
      </c>
      <c r="I19" s="148">
        <v>0</v>
      </c>
      <c r="J19" s="29" t="s">
        <v>72</v>
      </c>
      <c r="K19" s="29" t="s">
        <v>72</v>
      </c>
      <c r="L19" s="43" t="s">
        <v>39</v>
      </c>
      <c r="M19" s="141" t="s">
        <v>39</v>
      </c>
      <c r="N19" s="221" t="s">
        <v>39</v>
      </c>
      <c r="O19" s="222" t="s">
        <v>39</v>
      </c>
      <c r="P19" s="223" t="s">
        <v>39</v>
      </c>
      <c r="Q19" s="225" t="s">
        <v>39</v>
      </c>
      <c r="R19" s="224" t="s">
        <v>39</v>
      </c>
      <c r="S19" s="39"/>
      <c r="T19" s="39"/>
      <c r="U19" s="39"/>
      <c r="V19" s="39"/>
      <c r="W19" s="39"/>
    </row>
    <row r="20" spans="1:23" s="59" customFormat="1" ht="20.25">
      <c r="A20" s="152" t="s">
        <v>14</v>
      </c>
      <c r="B20" s="46">
        <v>272527141.45</v>
      </c>
      <c r="C20" s="46">
        <v>0</v>
      </c>
      <c r="D20" s="46">
        <f>B20-C20</f>
        <v>272527141.45</v>
      </c>
      <c r="E20" s="46">
        <v>2329495498</v>
      </c>
      <c r="F20" s="47">
        <f t="shared" si="0"/>
        <v>0.11698976953764433</v>
      </c>
      <c r="G20" s="56">
        <v>124991929</v>
      </c>
      <c r="H20" s="57">
        <f>E20*(0.105)</f>
        <v>244597027.29</v>
      </c>
      <c r="I20" s="49">
        <f t="shared" si="6"/>
        <v>-119605098.28999999</v>
      </c>
      <c r="J20" s="49">
        <v>27457044.709999993</v>
      </c>
      <c r="K20" s="49">
        <v>356961599</v>
      </c>
      <c r="L20" s="50" t="s">
        <v>39</v>
      </c>
      <c r="M20" s="138">
        <v>0</v>
      </c>
      <c r="N20" s="51" t="s">
        <v>39</v>
      </c>
      <c r="O20" s="58">
        <f>J20</f>
        <v>27457044.709999993</v>
      </c>
      <c r="P20" s="51">
        <v>1</v>
      </c>
      <c r="Q20" s="190">
        <f>D20-J20</f>
        <v>245070096.74</v>
      </c>
      <c r="R20" s="53">
        <f>Q20/K20</f>
        <v>0.6865447079645114</v>
      </c>
      <c r="S20" s="39"/>
      <c r="T20" s="39"/>
      <c r="U20" s="39"/>
      <c r="V20" s="39"/>
      <c r="W20" s="39"/>
    </row>
    <row r="21" spans="1:23" s="59" customFormat="1" ht="20.25">
      <c r="A21" s="159" t="s">
        <v>48</v>
      </c>
      <c r="B21" s="46">
        <v>143587019.77999997</v>
      </c>
      <c r="C21" s="46">
        <v>0</v>
      </c>
      <c r="D21" s="46">
        <f t="shared" si="7"/>
        <v>143587019.77999997</v>
      </c>
      <c r="E21" s="46">
        <v>223952180</v>
      </c>
      <c r="F21" s="47">
        <f t="shared" si="0"/>
        <v>0.6411503553124599</v>
      </c>
      <c r="G21" s="56">
        <v>0</v>
      </c>
      <c r="H21" s="57" t="s">
        <v>39</v>
      </c>
      <c r="I21" s="49">
        <v>0</v>
      </c>
      <c r="J21" s="158" t="s">
        <v>49</v>
      </c>
      <c r="K21" s="158">
        <v>112465170</v>
      </c>
      <c r="L21" s="138" t="s">
        <v>39</v>
      </c>
      <c r="M21" s="138" t="s">
        <v>39</v>
      </c>
      <c r="N21" s="51" t="s">
        <v>39</v>
      </c>
      <c r="O21" s="58" t="s">
        <v>39</v>
      </c>
      <c r="P21" s="51" t="s">
        <v>39</v>
      </c>
      <c r="Q21" s="190">
        <f>IF(D21&lt;=K21,D21,K21)</f>
        <v>112465170</v>
      </c>
      <c r="R21" s="53">
        <f>Q21/K21</f>
        <v>1</v>
      </c>
      <c r="S21" s="39"/>
      <c r="T21" s="39"/>
      <c r="U21" s="39"/>
      <c r="V21" s="39"/>
      <c r="W21" s="39"/>
    </row>
    <row r="22" spans="1:23" s="59" customFormat="1" ht="40.5">
      <c r="A22" s="159" t="s">
        <v>50</v>
      </c>
      <c r="B22" s="46">
        <v>55098329.949999996</v>
      </c>
      <c r="C22" s="46">
        <v>0</v>
      </c>
      <c r="D22" s="46">
        <f t="shared" si="7"/>
        <v>55098329.949999996</v>
      </c>
      <c r="E22" s="46">
        <v>85877364</v>
      </c>
      <c r="F22" s="47">
        <f t="shared" si="0"/>
        <v>0.6415931670888267</v>
      </c>
      <c r="G22" s="56">
        <v>0</v>
      </c>
      <c r="H22" s="57" t="s">
        <v>39</v>
      </c>
      <c r="I22" s="49">
        <v>0</v>
      </c>
      <c r="J22" s="158" t="s">
        <v>49</v>
      </c>
      <c r="K22" s="158">
        <v>37001410</v>
      </c>
      <c r="L22" s="138" t="s">
        <v>39</v>
      </c>
      <c r="M22" s="138" t="s">
        <v>39</v>
      </c>
      <c r="N22" s="51" t="s">
        <v>39</v>
      </c>
      <c r="O22" s="58" t="s">
        <v>39</v>
      </c>
      <c r="P22" s="51" t="s">
        <v>39</v>
      </c>
      <c r="Q22" s="190">
        <f>IF(D22&lt;=K22,D22,K22)</f>
        <v>37001410</v>
      </c>
      <c r="R22" s="53">
        <f t="shared" si="4"/>
        <v>1</v>
      </c>
      <c r="S22" s="39"/>
      <c r="T22" s="39"/>
      <c r="U22" s="39"/>
      <c r="V22" s="39"/>
      <c r="W22" s="39"/>
    </row>
    <row r="23" spans="1:23" s="4" customFormat="1" ht="32.25" customHeight="1">
      <c r="A23" s="34" t="s">
        <v>17</v>
      </c>
      <c r="B23" s="28">
        <v>26877157.869999997</v>
      </c>
      <c r="C23" s="28">
        <v>0</v>
      </c>
      <c r="D23" s="28">
        <f>B23-C23</f>
        <v>26877157.869999997</v>
      </c>
      <c r="E23" s="28">
        <v>250000000</v>
      </c>
      <c r="F23" s="35">
        <f t="shared" si="0"/>
        <v>0.10750863147999999</v>
      </c>
      <c r="G23" s="36">
        <v>35556323</v>
      </c>
      <c r="H23" s="27">
        <f>E23*0.09</f>
        <v>22500000</v>
      </c>
      <c r="I23" s="28">
        <f t="shared" si="6"/>
        <v>13056323</v>
      </c>
      <c r="J23" s="29">
        <v>34599224</v>
      </c>
      <c r="K23" s="29">
        <v>33296268</v>
      </c>
      <c r="L23" s="30">
        <v>0</v>
      </c>
      <c r="M23" s="140" t="s">
        <v>39</v>
      </c>
      <c r="N23" s="31">
        <v>1</v>
      </c>
      <c r="O23" s="32">
        <f>IF(D23-I23&lt;0,0,D23-I23)</f>
        <v>13820834.869999997</v>
      </c>
      <c r="P23" s="31">
        <f>O23/J23</f>
        <v>0.39945505338501225</v>
      </c>
      <c r="Q23" s="32">
        <f t="shared" si="5"/>
        <v>0</v>
      </c>
      <c r="R23" s="33">
        <f t="shared" si="4"/>
        <v>0</v>
      </c>
      <c r="S23" s="39"/>
      <c r="T23" s="39"/>
      <c r="U23" s="39"/>
      <c r="V23" s="39"/>
      <c r="W23" s="39"/>
    </row>
    <row r="24" spans="1:23" s="4" customFormat="1" ht="32.25" customHeight="1">
      <c r="A24" s="34" t="s">
        <v>18</v>
      </c>
      <c r="B24" s="28">
        <v>73111972.47</v>
      </c>
      <c r="C24" s="28">
        <v>144022.99</v>
      </c>
      <c r="D24" s="28">
        <f t="shared" si="7"/>
        <v>72967949.48</v>
      </c>
      <c r="E24" s="28">
        <v>777000000</v>
      </c>
      <c r="F24" s="35">
        <f t="shared" si="0"/>
        <v>0.0939098448906049</v>
      </c>
      <c r="G24" s="36">
        <v>109797927</v>
      </c>
      <c r="H24" s="27">
        <v>69480000</v>
      </c>
      <c r="I24" s="28">
        <f t="shared" si="6"/>
        <v>40317927</v>
      </c>
      <c r="J24" s="29">
        <v>106842402</v>
      </c>
      <c r="K24" s="29">
        <v>102818877</v>
      </c>
      <c r="L24" s="30">
        <v>0</v>
      </c>
      <c r="M24" s="140" t="s">
        <v>39</v>
      </c>
      <c r="N24" s="31">
        <v>1</v>
      </c>
      <c r="O24" s="32">
        <f>IF(D24-I24&lt;0,0,D24-I24)</f>
        <v>32650022.480000004</v>
      </c>
      <c r="P24" s="31">
        <f>O24/J24</f>
        <v>0.30559049468019267</v>
      </c>
      <c r="Q24" s="32">
        <f t="shared" si="5"/>
        <v>0</v>
      </c>
      <c r="R24" s="33">
        <f t="shared" si="4"/>
        <v>0</v>
      </c>
      <c r="S24" s="39"/>
      <c r="T24" s="176"/>
      <c r="U24" s="39"/>
      <c r="V24" s="39"/>
      <c r="W24" s="39"/>
    </row>
    <row r="25" spans="1:20" s="4" customFormat="1" ht="32.25" customHeight="1">
      <c r="A25" s="34" t="s">
        <v>19</v>
      </c>
      <c r="B25" s="28">
        <v>24845782.450000003</v>
      </c>
      <c r="C25" s="28">
        <v>2614117.11</v>
      </c>
      <c r="D25" s="28">
        <f>B25-C25</f>
        <v>22231665.340000004</v>
      </c>
      <c r="E25" s="28">
        <v>97601421</v>
      </c>
      <c r="F25" s="35">
        <f t="shared" si="0"/>
        <v>0.22778014000431412</v>
      </c>
      <c r="G25" s="36">
        <v>13881391</v>
      </c>
      <c r="H25" s="27">
        <f>E25*0.09</f>
        <v>8784127.89</v>
      </c>
      <c r="I25" s="28">
        <f t="shared" si="6"/>
        <v>5097263.109999999</v>
      </c>
      <c r="J25" s="29">
        <v>13507734</v>
      </c>
      <c r="K25" s="29">
        <v>12999052</v>
      </c>
      <c r="L25" s="30">
        <v>0</v>
      </c>
      <c r="M25" s="140" t="s">
        <v>39</v>
      </c>
      <c r="N25" s="31">
        <v>1</v>
      </c>
      <c r="O25" s="32">
        <f>J25</f>
        <v>13507734</v>
      </c>
      <c r="P25" s="31">
        <v>1</v>
      </c>
      <c r="Q25" s="32">
        <f>IF(D25-I25-J25&gt;0,D25-I25-J25,0)</f>
        <v>3626668.230000004</v>
      </c>
      <c r="R25" s="33">
        <f>Q25/K25</f>
        <v>0.27899482439180984</v>
      </c>
      <c r="T25" s="176"/>
    </row>
    <row r="26" spans="1:20" s="4" customFormat="1" ht="32.25" customHeight="1">
      <c r="A26" s="34" t="s">
        <v>20</v>
      </c>
      <c r="B26" s="28">
        <v>6938534.63</v>
      </c>
      <c r="C26" s="28">
        <v>180423.01</v>
      </c>
      <c r="D26" s="28">
        <f t="shared" si="7"/>
        <v>6758111.62</v>
      </c>
      <c r="E26" s="28">
        <v>87000000</v>
      </c>
      <c r="F26" s="35">
        <f t="shared" si="0"/>
        <v>0.07767944390804597</v>
      </c>
      <c r="G26" s="36">
        <v>11702539</v>
      </c>
      <c r="H26" s="27">
        <f>E26*0.09</f>
        <v>7830000</v>
      </c>
      <c r="I26" s="28">
        <f t="shared" si="6"/>
        <v>3872539</v>
      </c>
      <c r="J26" s="29">
        <v>11936592</v>
      </c>
      <c r="K26" s="29">
        <v>12175323</v>
      </c>
      <c r="L26" s="30">
        <v>0</v>
      </c>
      <c r="M26" s="140" t="s">
        <v>39</v>
      </c>
      <c r="N26" s="31">
        <v>1</v>
      </c>
      <c r="O26" s="32">
        <f>IF(D26-I26&lt;0,0,D26-I26)</f>
        <v>2885572.62</v>
      </c>
      <c r="P26" s="31">
        <f>O26/J26</f>
        <v>0.24174174839853788</v>
      </c>
      <c r="Q26" s="32">
        <f t="shared" si="5"/>
        <v>0</v>
      </c>
      <c r="R26" s="33">
        <f t="shared" si="4"/>
        <v>0</v>
      </c>
      <c r="T26" s="176"/>
    </row>
    <row r="27" spans="1:18" s="4" customFormat="1" ht="39" customHeight="1">
      <c r="A27" s="34" t="s">
        <v>21</v>
      </c>
      <c r="B27" s="28">
        <f>B28+B29</f>
        <v>58463136.7756466</v>
      </c>
      <c r="C27" s="28">
        <v>0</v>
      </c>
      <c r="D27" s="28">
        <f>D28+D29</f>
        <v>58463136.7756466</v>
      </c>
      <c r="E27" s="28">
        <v>1209415373</v>
      </c>
      <c r="F27" s="35">
        <f t="shared" si="0"/>
        <v>0.04833999805263481</v>
      </c>
      <c r="G27" s="36">
        <v>172009458</v>
      </c>
      <c r="H27" s="28">
        <f>E27*0.09</f>
        <v>108847383.57</v>
      </c>
      <c r="I27" s="28">
        <f t="shared" si="6"/>
        <v>63162074.43000001</v>
      </c>
      <c r="J27" s="29">
        <v>167379330</v>
      </c>
      <c r="K27" s="29">
        <v>161076075</v>
      </c>
      <c r="L27" s="30">
        <f>L29</f>
        <v>6815516.838479767</v>
      </c>
      <c r="M27" s="140" t="s">
        <v>39</v>
      </c>
      <c r="N27" s="31">
        <f>(I28+D29)/I27</f>
        <v>0.8920947910595759</v>
      </c>
      <c r="O27" s="32">
        <f>O28+O29</f>
        <v>2116579.184126362</v>
      </c>
      <c r="P27" s="31">
        <f>O27/J27</f>
        <v>0.012645403611822094</v>
      </c>
      <c r="Q27" s="32">
        <f>Q28+Q29</f>
        <v>0</v>
      </c>
      <c r="R27" s="33">
        <f t="shared" si="4"/>
        <v>0</v>
      </c>
    </row>
    <row r="28" spans="1:18" s="45" customFormat="1" ht="39" customHeight="1">
      <c r="A28" s="153" t="s">
        <v>46</v>
      </c>
      <c r="B28" s="37">
        <v>48231514.18412636</v>
      </c>
      <c r="C28" s="37">
        <v>0</v>
      </c>
      <c r="D28" s="37">
        <f t="shared" si="7"/>
        <v>48231514.18412636</v>
      </c>
      <c r="E28" s="37">
        <f>E27-E29</f>
        <v>883000000</v>
      </c>
      <c r="F28" s="40">
        <f t="shared" si="0"/>
        <v>0.05462232636933903</v>
      </c>
      <c r="G28" s="41">
        <f>G27-G29</f>
        <v>125584935</v>
      </c>
      <c r="H28" s="37">
        <f>E28/E27*H27</f>
        <v>79470000</v>
      </c>
      <c r="I28" s="37">
        <f>G28-H28</f>
        <v>46114935</v>
      </c>
      <c r="J28" s="148">
        <f>J27-J29</f>
        <v>122204457</v>
      </c>
      <c r="K28" s="148">
        <v>117602420</v>
      </c>
      <c r="L28" s="37">
        <v>0</v>
      </c>
      <c r="M28" s="55" t="s">
        <v>39</v>
      </c>
      <c r="N28" s="149">
        <v>1</v>
      </c>
      <c r="O28" s="32">
        <f>IF(D28-I28&lt;0,0,D28-I28)</f>
        <v>2116579.184126362</v>
      </c>
      <c r="P28" s="146">
        <f>O28/J28</f>
        <v>0.017319983543041824</v>
      </c>
      <c r="Q28" s="147">
        <f t="shared" si="5"/>
        <v>0</v>
      </c>
      <c r="R28" s="44">
        <f t="shared" si="4"/>
        <v>0</v>
      </c>
    </row>
    <row r="29" spans="1:18" s="45" customFormat="1" ht="39" customHeight="1" thickBot="1">
      <c r="A29" s="153" t="s">
        <v>47</v>
      </c>
      <c r="B29" s="37">
        <v>10231622.591520237</v>
      </c>
      <c r="C29" s="37">
        <v>0</v>
      </c>
      <c r="D29" s="37">
        <f t="shared" si="7"/>
        <v>10231622.591520237</v>
      </c>
      <c r="E29" s="37">
        <v>326415373</v>
      </c>
      <c r="F29" s="40">
        <f t="shared" si="0"/>
        <v>0.03134540661330996</v>
      </c>
      <c r="G29" s="41">
        <v>46424523</v>
      </c>
      <c r="H29" s="37">
        <f>E29/E27*H27</f>
        <v>29377383.569999997</v>
      </c>
      <c r="I29" s="37">
        <f>G29-H29</f>
        <v>17047139.430000003</v>
      </c>
      <c r="J29" s="148">
        <v>45174873</v>
      </c>
      <c r="K29" s="148">
        <v>43473655</v>
      </c>
      <c r="L29" s="37">
        <f>I29-D29</f>
        <v>6815516.838479767</v>
      </c>
      <c r="M29" s="55" t="s">
        <v>39</v>
      </c>
      <c r="N29" s="149">
        <f>D29/I29</f>
        <v>0.6001958647392981</v>
      </c>
      <c r="O29" s="32">
        <f>IF(D29-I29&lt;0,0,D29-I29)</f>
        <v>0</v>
      </c>
      <c r="P29" s="146">
        <f>O29/J29</f>
        <v>0</v>
      </c>
      <c r="Q29" s="147">
        <f t="shared" si="5"/>
        <v>0</v>
      </c>
      <c r="R29" s="44">
        <f t="shared" si="4"/>
        <v>0</v>
      </c>
    </row>
    <row r="30" spans="1:18" s="4" customFormat="1" ht="39" customHeight="1" hidden="1" thickBot="1">
      <c r="A30" s="60" t="s">
        <v>25</v>
      </c>
      <c r="B30" s="174"/>
      <c r="C30" s="174"/>
      <c r="D30" s="61">
        <f>D31-D15-D20</f>
        <v>633801190.0656466</v>
      </c>
      <c r="E30" s="62" t="s">
        <v>22</v>
      </c>
      <c r="F30" s="63" t="s">
        <v>22</v>
      </c>
      <c r="G30" s="64">
        <f>G6+G9+G12+G14+G16+G18+G23+G24+G25+G26+G27</f>
        <v>1060322595</v>
      </c>
      <c r="H30" s="64">
        <f>H6+H9+H12+H14+H16+H18+H23+H24+H25+H26+H27</f>
        <v>671569324.8299999</v>
      </c>
      <c r="I30" s="64">
        <f>I6+I9+I12+I14+I16+I18+I23+I24+I25+I26+I27</f>
        <v>388753270.17</v>
      </c>
      <c r="J30" s="64">
        <f>J6+J9+J12+J14+J16+J18+J23+J24+J25+J26+J27</f>
        <v>1018022219</v>
      </c>
      <c r="K30" s="64"/>
      <c r="L30" s="64">
        <f>L6+L9+L12+L14+L16+L18+L23+L24+L25+L26+L27</f>
        <v>50219206.73790347</v>
      </c>
      <c r="M30" s="150" t="s">
        <v>39</v>
      </c>
      <c r="N30" s="65">
        <f>D30/I30</f>
        <v>1.6303430445446498</v>
      </c>
      <c r="O30" s="32">
        <f>IF(D30-I30&lt;0,0,D30-I30)</f>
        <v>245047919.89564663</v>
      </c>
      <c r="P30" s="65">
        <f>IF(O30/J30&lt;0,0,O30/J30)</f>
        <v>0.24070979525020234</v>
      </c>
      <c r="Q30" s="66"/>
      <c r="R30" s="67"/>
    </row>
    <row r="31" spans="1:18" s="74" customFormat="1" ht="32.25" customHeight="1" thickBot="1">
      <c r="A31" s="68" t="s">
        <v>23</v>
      </c>
      <c r="B31" s="71">
        <f>B6+B9+B12+B13+B16+B17+SUM(B23:B27)</f>
        <v>960906964.0056465</v>
      </c>
      <c r="C31" s="71">
        <f>C6+C9+C12+C13+C16+C17+SUM(C23:C27)</f>
        <v>7448795.129999999</v>
      </c>
      <c r="D31" s="69">
        <f>D6+D9+D12+D13+D16+D17+SUM(D23:D27)</f>
        <v>953458168.8756466</v>
      </c>
      <c r="E31" s="69">
        <f>E6+E9+E12+E13+E16+E17+SUM(E23:E27)</f>
        <v>11360619950</v>
      </c>
      <c r="F31" s="70">
        <f>D31/E31</f>
        <v>0.0839265967061636</v>
      </c>
      <c r="G31" s="71">
        <f aca="true" t="shared" si="8" ref="G31:L31">G6+G9+G12+G13+G16+G17+G23+G24+G25+G26+G27</f>
        <v>1269514179</v>
      </c>
      <c r="H31" s="69">
        <f t="shared" si="8"/>
        <v>1080936873.945</v>
      </c>
      <c r="I31" s="72">
        <f t="shared" si="8"/>
        <v>388753270.17</v>
      </c>
      <c r="J31" s="72">
        <f>J6+J9+J12+J13+J16+J17+J23+J24+J25+J26+J27</f>
        <v>1103244925.885</v>
      </c>
      <c r="K31" s="72">
        <f>K6+K9+K12+K13+K16+K17+K23+K24+K25+K26+K27</f>
        <v>1502585541</v>
      </c>
      <c r="L31" s="69">
        <f t="shared" si="8"/>
        <v>50219206.73790347</v>
      </c>
      <c r="M31" s="139">
        <f>M13+M17</f>
        <v>10635824.815000013</v>
      </c>
      <c r="N31" s="136">
        <f>(D6+I9+D12+I14+I16+I18+I23+I24+I25+I26+I28+D29)/I30</f>
        <v>0.8709937899517894</v>
      </c>
      <c r="O31" s="73">
        <f>O6+O9+O12+O13+SUM(O23:O27)+O16+O17</f>
        <v>366227340.47355</v>
      </c>
      <c r="P31" s="136">
        <f>O31/(J31)</f>
        <v>0.3319547018806999</v>
      </c>
      <c r="Q31" s="73">
        <f>Q6+Q9+Q12+Q13+SUM(Q23:Q27)+Q16+Q17</f>
        <v>248696764.97000003</v>
      </c>
      <c r="R31" s="70">
        <f>Q31/K31</f>
        <v>0.1655125503234162</v>
      </c>
    </row>
    <row r="32" spans="1:18" s="74" customFormat="1" ht="20.25">
      <c r="A32" s="75" t="s">
        <v>24</v>
      </c>
      <c r="B32" s="217"/>
      <c r="C32" s="217"/>
      <c r="D32" s="76"/>
      <c r="E32" s="76"/>
      <c r="F32" s="77"/>
      <c r="G32" s="78"/>
      <c r="H32" s="78"/>
      <c r="I32" s="78"/>
      <c r="J32" s="78"/>
      <c r="K32" s="78"/>
      <c r="L32" s="78"/>
      <c r="M32" s="78"/>
      <c r="N32" s="135"/>
      <c r="O32" s="135"/>
      <c r="P32" s="187"/>
      <c r="Q32" s="187"/>
      <c r="R32" s="187"/>
    </row>
    <row r="33" spans="1:17" ht="20.25">
      <c r="A33" s="232" t="s">
        <v>42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3"/>
      <c r="P33" s="233"/>
      <c r="Q33" s="154"/>
    </row>
    <row r="34" spans="1:15" ht="33.75" customHeight="1" hidden="1">
      <c r="A34" s="2"/>
      <c r="B34" s="2"/>
      <c r="C34" s="2"/>
      <c r="D34" s="79"/>
      <c r="E34" s="80"/>
      <c r="F34" s="2"/>
      <c r="G34" s="2"/>
      <c r="H34" s="2"/>
      <c r="I34" s="2"/>
      <c r="J34" s="2"/>
      <c r="K34" s="2"/>
      <c r="L34" s="81"/>
      <c r="M34" s="81"/>
      <c r="N34" s="2"/>
      <c r="O34" s="79"/>
    </row>
    <row r="35" spans="1:15" ht="33.75" customHeight="1" hidden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82"/>
      <c r="O35" s="79"/>
    </row>
    <row r="36" spans="1:18" ht="20.25">
      <c r="A36" s="229" t="s">
        <v>58</v>
      </c>
      <c r="B36" s="229"/>
      <c r="C36" s="229"/>
      <c r="D36" s="229"/>
      <c r="E36" s="229"/>
      <c r="F36" s="229"/>
      <c r="G36" s="229"/>
      <c r="H36" s="229"/>
      <c r="I36" s="229"/>
      <c r="J36" s="137"/>
      <c r="K36" s="137"/>
      <c r="N36" s="188"/>
      <c r="O36" s="188"/>
      <c r="P36" s="188"/>
      <c r="Q36" s="188"/>
      <c r="R36" s="188"/>
    </row>
    <row r="37" spans="1:9" ht="20.25">
      <c r="A37" s="229" t="s">
        <v>73</v>
      </c>
      <c r="B37" s="229"/>
      <c r="C37" s="229"/>
      <c r="D37" s="229"/>
      <c r="E37" s="229"/>
      <c r="F37" s="229"/>
      <c r="G37" s="229"/>
      <c r="H37" s="229"/>
      <c r="I37" s="229"/>
    </row>
    <row r="38" spans="9:17" ht="20.25">
      <c r="I38" s="137"/>
      <c r="J38" s="137"/>
      <c r="K38" s="137"/>
      <c r="L38" s="161"/>
      <c r="P38" s="161"/>
      <c r="Q38" s="161"/>
    </row>
    <row r="39" spans="1:18" s="120" customFormat="1" ht="23.25" customHeight="1" thickBot="1">
      <c r="A39" s="126" t="s">
        <v>74</v>
      </c>
      <c r="B39" s="126"/>
      <c r="C39" s="126"/>
      <c r="D39" s="125"/>
      <c r="E39" s="125"/>
      <c r="M39" s="226"/>
      <c r="O39" s="179"/>
      <c r="R39" s="169"/>
    </row>
    <row r="40" spans="1:18" ht="106.5" customHeight="1">
      <c r="A40" s="227" t="s">
        <v>0</v>
      </c>
      <c r="B40" s="7" t="s">
        <v>31</v>
      </c>
      <c r="C40" s="7" t="s">
        <v>2</v>
      </c>
      <c r="D40" s="7" t="s">
        <v>3</v>
      </c>
      <c r="E40" s="7" t="s">
        <v>4</v>
      </c>
      <c r="F40" s="7" t="s">
        <v>5</v>
      </c>
      <c r="G40" s="7" t="s">
        <v>6</v>
      </c>
      <c r="H40" s="7" t="s">
        <v>33</v>
      </c>
      <c r="I40" s="7" t="s">
        <v>41</v>
      </c>
      <c r="J40" s="7" t="s">
        <v>51</v>
      </c>
      <c r="K40" s="8" t="s">
        <v>35</v>
      </c>
      <c r="O40" s="180"/>
      <c r="R40" s="170"/>
    </row>
    <row r="41" spans="1:18" ht="23.25" customHeight="1">
      <c r="A41" s="231"/>
      <c r="B41" s="12" t="s">
        <v>7</v>
      </c>
      <c r="C41" s="12" t="s">
        <v>7</v>
      </c>
      <c r="D41" s="12" t="s">
        <v>7</v>
      </c>
      <c r="E41" s="12" t="s">
        <v>7</v>
      </c>
      <c r="F41" s="12" t="s">
        <v>7</v>
      </c>
      <c r="G41" s="12" t="s">
        <v>7</v>
      </c>
      <c r="H41" s="12" t="s">
        <v>7</v>
      </c>
      <c r="I41" s="15" t="s">
        <v>7</v>
      </c>
      <c r="J41" s="12" t="s">
        <v>7</v>
      </c>
      <c r="K41" s="13" t="s">
        <v>7</v>
      </c>
      <c r="O41" s="181"/>
      <c r="R41" s="170"/>
    </row>
    <row r="42" spans="1:18" ht="21" thickBot="1">
      <c r="A42" s="85"/>
      <c r="B42" s="86">
        <v>1</v>
      </c>
      <c r="C42" s="86">
        <v>2</v>
      </c>
      <c r="D42" s="86" t="s">
        <v>8</v>
      </c>
      <c r="E42" s="86">
        <v>4</v>
      </c>
      <c r="F42" s="86">
        <v>5</v>
      </c>
      <c r="G42" s="86">
        <v>6</v>
      </c>
      <c r="H42" s="86">
        <v>7</v>
      </c>
      <c r="I42" s="87" t="s">
        <v>37</v>
      </c>
      <c r="J42" s="86" t="s">
        <v>36</v>
      </c>
      <c r="K42" s="89" t="s">
        <v>52</v>
      </c>
      <c r="O42" s="182"/>
      <c r="R42" s="170"/>
    </row>
    <row r="43" spans="1:18" ht="21" customHeight="1" thickTop="1">
      <c r="A43" s="90" t="s">
        <v>40</v>
      </c>
      <c r="B43" s="91">
        <v>10766457.989999996</v>
      </c>
      <c r="C43" s="91">
        <v>92740141</v>
      </c>
      <c r="D43" s="92">
        <f>B43/C43</f>
        <v>0.11609274984820216</v>
      </c>
      <c r="E43" s="91">
        <v>12417530</v>
      </c>
      <c r="F43" s="91">
        <f>C43*0.09</f>
        <v>8346612.6899999995</v>
      </c>
      <c r="G43" s="91">
        <f>E43-F43</f>
        <v>4070917.3100000005</v>
      </c>
      <c r="H43" s="93">
        <v>12611026</v>
      </c>
      <c r="I43" s="93">
        <v>0</v>
      </c>
      <c r="J43" s="94">
        <v>1</v>
      </c>
      <c r="K43" s="156">
        <f>IF((B43-G43)/H43&lt;0,0,(B43-G43)/H43)</f>
        <v>0.5309275137486827</v>
      </c>
      <c r="O43" s="183"/>
      <c r="R43" s="170"/>
    </row>
    <row r="44" spans="1:18" ht="21" customHeight="1" thickBot="1">
      <c r="A44" s="96" t="s">
        <v>26</v>
      </c>
      <c r="B44" s="97">
        <v>2219566.157</v>
      </c>
      <c r="C44" s="97">
        <v>31963535</v>
      </c>
      <c r="D44" s="98">
        <f>B44/C44</f>
        <v>0.06944057210818516</v>
      </c>
      <c r="E44" s="97">
        <v>3334326</v>
      </c>
      <c r="F44" s="97">
        <v>3075252.84</v>
      </c>
      <c r="G44" s="97">
        <f>E44-F44</f>
        <v>259073.16000000015</v>
      </c>
      <c r="H44" s="97">
        <v>3556613</v>
      </c>
      <c r="I44" s="93">
        <v>0</v>
      </c>
      <c r="J44" s="99">
        <v>1</v>
      </c>
      <c r="K44" s="157">
        <f>IF((B44-G44)/H44&lt;0,0,(B44-G44)/H44)</f>
        <v>0.5512247177300426</v>
      </c>
      <c r="O44" s="183"/>
      <c r="R44" s="170"/>
    </row>
    <row r="45" spans="1:18" ht="24.75" customHeight="1" thickBot="1">
      <c r="A45" s="101" t="s">
        <v>27</v>
      </c>
      <c r="B45" s="102">
        <f>B43+B44</f>
        <v>12986024.146999996</v>
      </c>
      <c r="C45" s="102">
        <f>C43+C44</f>
        <v>124703676</v>
      </c>
      <c r="D45" s="103">
        <f>B45/C45</f>
        <v>0.10413505490407512</v>
      </c>
      <c r="E45" s="102">
        <f>E43+E44</f>
        <v>15751856</v>
      </c>
      <c r="F45" s="102">
        <f>F43+F44</f>
        <v>11421865.53</v>
      </c>
      <c r="G45" s="102">
        <f>G43+G44</f>
        <v>4329990.470000001</v>
      </c>
      <c r="H45" s="102">
        <f>H43+H44</f>
        <v>16167639</v>
      </c>
      <c r="I45" s="104">
        <f>I43+I44</f>
        <v>0</v>
      </c>
      <c r="J45" s="105">
        <v>1</v>
      </c>
      <c r="K45" s="115">
        <f>(B44-G44+B43-G43)/H45</f>
        <v>0.5353925626988576</v>
      </c>
      <c r="O45" s="177"/>
      <c r="R45" s="170"/>
    </row>
    <row r="46" spans="1:18" s="134" customFormat="1" ht="16.5" customHeight="1">
      <c r="A46" s="128" t="s">
        <v>24</v>
      </c>
      <c r="B46" s="129"/>
      <c r="C46" s="128"/>
      <c r="D46" s="219"/>
      <c r="E46" s="129"/>
      <c r="F46" s="130"/>
      <c r="G46" s="129"/>
      <c r="H46" s="129"/>
      <c r="I46" s="129"/>
      <c r="J46" s="129"/>
      <c r="K46" s="129"/>
      <c r="L46" s="129"/>
      <c r="M46" s="131"/>
      <c r="N46" s="132"/>
      <c r="O46" s="133"/>
      <c r="R46" s="171"/>
    </row>
    <row r="47" spans="1:18" ht="12.75" customHeight="1">
      <c r="A47" s="234" t="s">
        <v>76</v>
      </c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175"/>
      <c r="M47" s="175"/>
      <c r="N47" s="154"/>
      <c r="O47" s="184"/>
      <c r="R47" s="170"/>
    </row>
    <row r="48" spans="1:18" ht="32.25" customHeight="1">
      <c r="A48" s="234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175"/>
      <c r="M48" s="175"/>
      <c r="N48" s="154"/>
      <c r="O48" s="184"/>
      <c r="R48" s="170"/>
    </row>
    <row r="49" spans="3:15" ht="20.25">
      <c r="C49" s="192"/>
      <c r="D49" s="218"/>
      <c r="K49" s="137"/>
      <c r="O49" s="178"/>
    </row>
    <row r="50" spans="1:18" ht="24" thickBot="1">
      <c r="A50" s="126" t="s">
        <v>75</v>
      </c>
      <c r="B50" s="126"/>
      <c r="C50" s="126"/>
      <c r="D50" s="126"/>
      <c r="E50" s="126"/>
      <c r="F50" s="126"/>
      <c r="G50" s="126"/>
      <c r="O50" s="185"/>
      <c r="R50" s="170"/>
    </row>
    <row r="51" spans="1:18" ht="104.25" customHeight="1">
      <c r="A51" s="227" t="s">
        <v>0</v>
      </c>
      <c r="B51" s="7" t="s">
        <v>28</v>
      </c>
      <c r="C51" s="7" t="s">
        <v>43</v>
      </c>
      <c r="D51" s="7" t="s">
        <v>3</v>
      </c>
      <c r="E51" s="7" t="s">
        <v>4</v>
      </c>
      <c r="F51" s="7" t="s">
        <v>32</v>
      </c>
      <c r="G51" s="7" t="s">
        <v>6</v>
      </c>
      <c r="H51" s="10" t="s">
        <v>33</v>
      </c>
      <c r="I51" s="7" t="s">
        <v>70</v>
      </c>
      <c r="J51" s="10" t="s">
        <v>51</v>
      </c>
      <c r="K51" s="8" t="s">
        <v>54</v>
      </c>
      <c r="O51" s="180"/>
      <c r="R51" s="170"/>
    </row>
    <row r="52" spans="1:18" ht="23.25" customHeight="1" thickBot="1">
      <c r="A52" s="228"/>
      <c r="B52" s="108" t="s">
        <v>7</v>
      </c>
      <c r="C52" s="108" t="s">
        <v>7</v>
      </c>
      <c r="D52" s="108" t="s">
        <v>7</v>
      </c>
      <c r="E52" s="108" t="s">
        <v>7</v>
      </c>
      <c r="F52" s="108" t="s">
        <v>7</v>
      </c>
      <c r="G52" s="108" t="s">
        <v>7</v>
      </c>
      <c r="H52" s="108" t="s">
        <v>7</v>
      </c>
      <c r="I52" s="108" t="s">
        <v>7</v>
      </c>
      <c r="J52" s="203" t="s">
        <v>7</v>
      </c>
      <c r="K52" s="204" t="s">
        <v>7</v>
      </c>
      <c r="O52" s="181"/>
      <c r="R52" s="170"/>
    </row>
    <row r="53" spans="1:18" ht="21" customHeight="1" thickTop="1">
      <c r="A53" s="205" t="s">
        <v>29</v>
      </c>
      <c r="B53" s="206">
        <f>B54+B55</f>
        <v>864665.71</v>
      </c>
      <c r="C53" s="206">
        <v>13688528</v>
      </c>
      <c r="D53" s="207">
        <f>B53/C53</f>
        <v>0.06316717984578035</v>
      </c>
      <c r="E53" s="206">
        <v>1996248</v>
      </c>
      <c r="F53" s="206">
        <v>1916394</v>
      </c>
      <c r="G53" s="208">
        <f>E53-F53</f>
        <v>79854</v>
      </c>
      <c r="H53" s="208">
        <v>1917440.55</v>
      </c>
      <c r="I53" s="208">
        <f>H53-(B53-G53)</f>
        <v>1132628.84</v>
      </c>
      <c r="J53" s="209">
        <v>1</v>
      </c>
      <c r="K53" s="210">
        <f>(B53-G53)/H53</f>
        <v>0.4093017173335569</v>
      </c>
      <c r="O53" s="186"/>
      <c r="R53" s="170"/>
    </row>
    <row r="54" spans="1:18" ht="21" customHeight="1">
      <c r="A54" s="193" t="s">
        <v>46</v>
      </c>
      <c r="B54" s="28">
        <v>849724.75</v>
      </c>
      <c r="C54" s="28">
        <v>12681459</v>
      </c>
      <c r="D54" s="194">
        <f>B54/C54</f>
        <v>0.06700528306719282</v>
      </c>
      <c r="E54" s="28">
        <v>1849383</v>
      </c>
      <c r="F54" s="28">
        <v>1775404.26</v>
      </c>
      <c r="G54" s="195">
        <f>E54-F54</f>
        <v>73978.73999999999</v>
      </c>
      <c r="H54" s="195">
        <v>1776374.551595412</v>
      </c>
      <c r="I54" s="195">
        <f>H54-(B54-G54)</f>
        <v>1000628.541595412</v>
      </c>
      <c r="J54" s="196">
        <v>1</v>
      </c>
      <c r="K54" s="197">
        <f>(B54-G54)/H54</f>
        <v>0.4367018258076714</v>
      </c>
      <c r="O54" s="186"/>
      <c r="R54" s="170"/>
    </row>
    <row r="55" spans="1:18" ht="21" customHeight="1" thickBot="1">
      <c r="A55" s="198" t="s">
        <v>47</v>
      </c>
      <c r="B55" s="97">
        <v>14940.96</v>
      </c>
      <c r="C55" s="97">
        <v>1007069</v>
      </c>
      <c r="D55" s="199">
        <f>B55/C55</f>
        <v>0.014836083724153955</v>
      </c>
      <c r="E55" s="97">
        <v>146865</v>
      </c>
      <c r="F55" s="97">
        <v>140989.66</v>
      </c>
      <c r="G55" s="200">
        <f>E55-F55</f>
        <v>5875.3399999999965</v>
      </c>
      <c r="H55" s="200">
        <v>141066</v>
      </c>
      <c r="I55" s="200">
        <f>H55-(B55-G55)</f>
        <v>132000.38</v>
      </c>
      <c r="J55" s="201">
        <v>1</v>
      </c>
      <c r="K55" s="202">
        <f>(B55-G55)/H55</f>
        <v>0.06426509577077398</v>
      </c>
      <c r="O55" s="186"/>
      <c r="R55" s="170"/>
    </row>
    <row r="56" spans="1:18" ht="24.75" customHeight="1" thickBot="1">
      <c r="A56" s="68" t="s">
        <v>23</v>
      </c>
      <c r="B56" s="69">
        <f>B53</f>
        <v>864665.71</v>
      </c>
      <c r="C56" s="69">
        <f>C53</f>
        <v>13688528</v>
      </c>
      <c r="D56" s="111">
        <f>B56/C56</f>
        <v>0.06316717984578035</v>
      </c>
      <c r="E56" s="69">
        <f>E53</f>
        <v>1996248</v>
      </c>
      <c r="F56" s="69">
        <f>F53</f>
        <v>1916394</v>
      </c>
      <c r="G56" s="112">
        <f>E56-F56</f>
        <v>79854</v>
      </c>
      <c r="H56" s="113">
        <f>H53</f>
        <v>1917440.55</v>
      </c>
      <c r="I56" s="113">
        <f>H56-(B56-G56)</f>
        <v>1132628.84</v>
      </c>
      <c r="J56" s="155">
        <v>1</v>
      </c>
      <c r="K56" s="162">
        <f>(B56-G56)/H56</f>
        <v>0.4093017173335569</v>
      </c>
      <c r="O56" s="177"/>
      <c r="R56" s="170"/>
    </row>
    <row r="57" spans="1:18" ht="20.25">
      <c r="A57" s="127" t="s">
        <v>24</v>
      </c>
      <c r="B57" s="191"/>
      <c r="C57" s="127"/>
      <c r="D57" s="76"/>
      <c r="E57" s="76"/>
      <c r="F57" s="116"/>
      <c r="G57" s="76"/>
      <c r="H57" s="76"/>
      <c r="I57" s="117"/>
      <c r="J57" s="117"/>
      <c r="K57" s="117"/>
      <c r="L57" s="118"/>
      <c r="N57" s="5"/>
      <c r="O57" s="4"/>
      <c r="R57" s="170"/>
    </row>
    <row r="58" spans="2:6" ht="20.25">
      <c r="B58" s="192"/>
      <c r="C58" s="192"/>
      <c r="F58" s="211"/>
    </row>
    <row r="59" spans="2:5" ht="20.25">
      <c r="B59" s="192"/>
      <c r="E59" s="211"/>
    </row>
    <row r="60" ht="20.25">
      <c r="H60" s="137"/>
    </row>
  </sheetData>
  <sheetProtection selectLockedCells="1" selectUnlockedCells="1"/>
  <mergeCells count="8">
    <mergeCell ref="A51:A52"/>
    <mergeCell ref="A36:I36"/>
    <mergeCell ref="A2:N2"/>
    <mergeCell ref="A3:A4"/>
    <mergeCell ref="A33:P33"/>
    <mergeCell ref="A40:A41"/>
    <mergeCell ref="A47:K48"/>
    <mergeCell ref="A37:I37"/>
  </mergeCells>
  <printOptions/>
  <pageMargins left="0.3937007874015748" right="0.2362204724409449" top="0.6692913385826772" bottom="0.5511811023622047" header="0.5118110236220472" footer="0.5118110236220472"/>
  <pageSetup fitToHeight="1" fitToWidth="1" horizontalDpi="600" verticalDpi="600" orientation="landscape" paperSize="9" scale="30" r:id="rId1"/>
  <rowBreaks count="1" manualBreakCount="1">
    <brk id="3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view="pageLayout" zoomScaleNormal="75" workbookViewId="0" topLeftCell="A1">
      <selection activeCell="A9" sqref="A9:L10"/>
    </sheetView>
  </sheetViews>
  <sheetFormatPr defaultColWidth="9.00390625" defaultRowHeight="12.75"/>
  <cols>
    <col min="1" max="1" width="53.75390625" style="0" customWidth="1"/>
    <col min="2" max="10" width="23.75390625" style="0" customWidth="1"/>
    <col min="11" max="11" width="23.75390625" style="0" hidden="1" customWidth="1"/>
    <col min="12" max="12" width="23.75390625" style="0" customWidth="1"/>
  </cols>
  <sheetData>
    <row r="1" spans="1:3" s="120" customFormat="1" ht="23.25" customHeight="1" thickBot="1">
      <c r="A1" s="125" t="s">
        <v>74</v>
      </c>
      <c r="B1" s="125"/>
      <c r="C1" s="125"/>
    </row>
    <row r="2" spans="1:12" ht="106.5" customHeight="1">
      <c r="A2" s="227" t="s">
        <v>0</v>
      </c>
      <c r="B2" s="7" t="s">
        <v>31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33</v>
      </c>
      <c r="I2" s="7" t="s">
        <v>41</v>
      </c>
      <c r="J2" s="7" t="s">
        <v>30</v>
      </c>
      <c r="K2" s="83"/>
      <c r="L2" s="7" t="s">
        <v>35</v>
      </c>
    </row>
    <row r="3" spans="1:12" ht="23.25" customHeight="1">
      <c r="A3" s="231"/>
      <c r="B3" s="12" t="s">
        <v>7</v>
      </c>
      <c r="C3" s="12" t="s">
        <v>7</v>
      </c>
      <c r="D3" s="12" t="s">
        <v>7</v>
      </c>
      <c r="E3" s="12" t="s">
        <v>7</v>
      </c>
      <c r="F3" s="12" t="s">
        <v>7</v>
      </c>
      <c r="G3" s="12" t="s">
        <v>7</v>
      </c>
      <c r="H3" s="12" t="s">
        <v>7</v>
      </c>
      <c r="I3" s="15" t="s">
        <v>7</v>
      </c>
      <c r="J3" s="12" t="s">
        <v>7</v>
      </c>
      <c r="K3" s="84"/>
      <c r="L3" s="12" t="s">
        <v>7</v>
      </c>
    </row>
    <row r="4" spans="1:12" ht="21" thickBot="1">
      <c r="A4" s="85"/>
      <c r="B4" s="86">
        <v>1</v>
      </c>
      <c r="C4" s="86">
        <v>2</v>
      </c>
      <c r="D4" s="86" t="s">
        <v>8</v>
      </c>
      <c r="E4" s="86">
        <v>4</v>
      </c>
      <c r="F4" s="86">
        <v>5</v>
      </c>
      <c r="G4" s="86">
        <v>6</v>
      </c>
      <c r="H4" s="86">
        <v>7</v>
      </c>
      <c r="I4" s="87" t="s">
        <v>37</v>
      </c>
      <c r="J4" s="86" t="s">
        <v>36</v>
      </c>
      <c r="K4" s="88"/>
      <c r="L4" s="89">
        <v>10</v>
      </c>
    </row>
    <row r="5" spans="1:12" ht="21" customHeight="1" thickTop="1">
      <c r="A5" s="90" t="s">
        <v>40</v>
      </c>
      <c r="B5" s="91">
        <v>10766457.989999996</v>
      </c>
      <c r="C5" s="91">
        <v>92740141</v>
      </c>
      <c r="D5" s="92">
        <f>B5/C5</f>
        <v>0.11609274984820216</v>
      </c>
      <c r="E5" s="91">
        <v>12417530</v>
      </c>
      <c r="F5" s="91">
        <f>C5*0.09</f>
        <v>8346612.6899999995</v>
      </c>
      <c r="G5" s="91">
        <f>E5-F5</f>
        <v>4070917.3100000005</v>
      </c>
      <c r="H5" s="93">
        <v>12611026</v>
      </c>
      <c r="I5" s="93">
        <v>0</v>
      </c>
      <c r="J5" s="94">
        <v>1</v>
      </c>
      <c r="K5" s="95"/>
      <c r="L5" s="94">
        <f>IF((B5-G5)/H5&lt;0,0,(B5-G5)/H5)</f>
        <v>0.5309275137486827</v>
      </c>
    </row>
    <row r="6" spans="1:12" ht="21" customHeight="1" thickBot="1">
      <c r="A6" s="96" t="s">
        <v>26</v>
      </c>
      <c r="B6" s="97">
        <v>2219566.157</v>
      </c>
      <c r="C6" s="97">
        <v>31963535</v>
      </c>
      <c r="D6" s="98">
        <f>B6/C6</f>
        <v>0.06944057210818516</v>
      </c>
      <c r="E6" s="97">
        <v>3334326</v>
      </c>
      <c r="F6" s="97">
        <v>3075252.84</v>
      </c>
      <c r="G6" s="97">
        <f>E6-F6</f>
        <v>259073.16000000015</v>
      </c>
      <c r="H6" s="97">
        <v>3556613</v>
      </c>
      <c r="I6" s="93">
        <v>0</v>
      </c>
      <c r="J6" s="99">
        <v>1</v>
      </c>
      <c r="K6" s="100"/>
      <c r="L6" s="94">
        <f>IF((B6-G6)/H6&lt;0,0,(B6-G6)/H6)</f>
        <v>0.5512247177300426</v>
      </c>
    </row>
    <row r="7" spans="1:12" ht="24.75" customHeight="1" thickBot="1">
      <c r="A7" s="101" t="s">
        <v>27</v>
      </c>
      <c r="B7" s="102">
        <f>B5+B6</f>
        <v>12986024.146999996</v>
      </c>
      <c r="C7" s="102">
        <f>C5+C6</f>
        <v>124703676</v>
      </c>
      <c r="D7" s="103">
        <f>B7/C7</f>
        <v>0.10413505490407512</v>
      </c>
      <c r="E7" s="102">
        <f>E5+E6</f>
        <v>15751856</v>
      </c>
      <c r="F7" s="102">
        <f>F5+F6</f>
        <v>11421865.53</v>
      </c>
      <c r="G7" s="102">
        <f>G5+G6</f>
        <v>4329990.470000001</v>
      </c>
      <c r="H7" s="102">
        <f>H5+H6</f>
        <v>16167639</v>
      </c>
      <c r="I7" s="104">
        <f>I5+I6</f>
        <v>0</v>
      </c>
      <c r="J7" s="105">
        <v>1</v>
      </c>
      <c r="K7" s="106"/>
      <c r="L7" s="105">
        <f>(B6-G6+B5-G5)/H7</f>
        <v>0.5353925626988576</v>
      </c>
    </row>
    <row r="8" spans="1:12" s="134" customFormat="1" ht="16.5" customHeight="1">
      <c r="A8" s="128" t="s">
        <v>24</v>
      </c>
      <c r="B8" s="129"/>
      <c r="C8" s="129"/>
      <c r="D8" s="130"/>
      <c r="E8" s="129"/>
      <c r="F8" s="129"/>
      <c r="G8" s="129"/>
      <c r="H8" s="129"/>
      <c r="I8" s="129"/>
      <c r="J8" s="131"/>
      <c r="K8" s="132"/>
      <c r="L8" s="133"/>
    </row>
    <row r="9" spans="1:12" ht="12.75">
      <c r="A9" s="234" t="s">
        <v>77</v>
      </c>
      <c r="B9" s="234"/>
      <c r="C9" s="234"/>
      <c r="D9" s="234"/>
      <c r="E9" s="234"/>
      <c r="F9" s="234"/>
      <c r="G9" s="234"/>
      <c r="H9" s="234"/>
      <c r="I9" s="234"/>
      <c r="J9" s="234"/>
      <c r="K9" s="233"/>
      <c r="L9" s="233"/>
    </row>
    <row r="10" spans="1:12" ht="32.25" customHeight="1">
      <c r="A10" s="234"/>
      <c r="B10" s="234"/>
      <c r="C10" s="234"/>
      <c r="D10" s="234"/>
      <c r="E10" s="234"/>
      <c r="F10" s="234"/>
      <c r="G10" s="234"/>
      <c r="H10" s="234"/>
      <c r="I10" s="234"/>
      <c r="J10" s="234"/>
      <c r="K10" s="233"/>
      <c r="L10" s="233"/>
    </row>
  </sheetData>
  <sheetProtection selectLockedCells="1" selectUnlockedCells="1"/>
  <mergeCells count="2">
    <mergeCell ref="A2:A3"/>
    <mergeCell ref="A9:L10"/>
  </mergeCells>
  <printOptions/>
  <pageMargins left="0.75" right="0.75" top="1" bottom="1" header="0.4921259845" footer="0.4921259845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view="pageLayout" zoomScaleNormal="75" workbookViewId="0" topLeftCell="A2">
      <selection activeCell="B5" sqref="B5:B6"/>
    </sheetView>
  </sheetViews>
  <sheetFormatPr defaultColWidth="9.00390625" defaultRowHeight="12.75"/>
  <cols>
    <col min="1" max="1" width="53.75390625" style="0" customWidth="1"/>
    <col min="2" max="10" width="23.75390625" style="0" customWidth="1"/>
    <col min="11" max="11" width="0" style="0" hidden="1" customWidth="1"/>
    <col min="12" max="12" width="23.75390625" style="0" customWidth="1"/>
  </cols>
  <sheetData>
    <row r="1" spans="1:5" ht="24" thickBot="1">
      <c r="A1" s="126" t="s">
        <v>75</v>
      </c>
      <c r="B1" s="126"/>
      <c r="C1" s="126"/>
      <c r="D1" s="126"/>
      <c r="E1" s="126"/>
    </row>
    <row r="2" spans="1:12" ht="104.25" customHeight="1">
      <c r="A2" s="227" t="s">
        <v>0</v>
      </c>
      <c r="B2" s="7" t="s">
        <v>28</v>
      </c>
      <c r="C2" s="7" t="s">
        <v>43</v>
      </c>
      <c r="D2" s="7" t="s">
        <v>3</v>
      </c>
      <c r="E2" s="7" t="s">
        <v>4</v>
      </c>
      <c r="F2" s="7" t="s">
        <v>32</v>
      </c>
      <c r="G2" s="7" t="s">
        <v>6</v>
      </c>
      <c r="H2" s="10" t="s">
        <v>33</v>
      </c>
      <c r="I2" s="7" t="s">
        <v>70</v>
      </c>
      <c r="J2" s="7" t="s">
        <v>30</v>
      </c>
      <c r="K2" s="107"/>
      <c r="L2" s="8" t="s">
        <v>35</v>
      </c>
    </row>
    <row r="3" spans="1:12" ht="23.25" customHeight="1" thickBot="1">
      <c r="A3" s="235"/>
      <c r="B3" s="108" t="s">
        <v>7</v>
      </c>
      <c r="C3" s="108" t="s">
        <v>7</v>
      </c>
      <c r="D3" s="108" t="s">
        <v>7</v>
      </c>
      <c r="E3" s="108" t="s">
        <v>7</v>
      </c>
      <c r="F3" s="108" t="s">
        <v>7</v>
      </c>
      <c r="G3" s="109" t="s">
        <v>7</v>
      </c>
      <c r="H3" s="109" t="s">
        <v>7</v>
      </c>
      <c r="I3" s="109" t="s">
        <v>7</v>
      </c>
      <c r="J3" s="109" t="s">
        <v>7</v>
      </c>
      <c r="K3" s="109"/>
      <c r="L3" s="110" t="s">
        <v>7</v>
      </c>
    </row>
    <row r="4" spans="1:12" ht="21" customHeight="1">
      <c r="A4" s="23" t="s">
        <v>29</v>
      </c>
      <c r="B4" s="24">
        <f>B5+B6</f>
        <v>864665.71</v>
      </c>
      <c r="C4" s="24">
        <v>13688528</v>
      </c>
      <c r="D4" s="212">
        <f>B4/C4</f>
        <v>0.06316717984578035</v>
      </c>
      <c r="E4" s="24">
        <v>1996248</v>
      </c>
      <c r="F4" s="24">
        <v>1916394</v>
      </c>
      <c r="G4" s="213">
        <f>E4-F4</f>
        <v>79854</v>
      </c>
      <c r="H4" s="213">
        <v>1917440.55</v>
      </c>
      <c r="I4" s="213">
        <f>H4-(B4-G4)</f>
        <v>1132628.84</v>
      </c>
      <c r="J4" s="214">
        <v>1</v>
      </c>
      <c r="K4" s="215"/>
      <c r="L4" s="216">
        <f>(B4-G4)/H4</f>
        <v>0.4093017173335569</v>
      </c>
    </row>
    <row r="5" spans="1:12" ht="21" customHeight="1">
      <c r="A5" s="193" t="s">
        <v>46</v>
      </c>
      <c r="B5" s="28">
        <v>849724.75</v>
      </c>
      <c r="C5" s="28">
        <v>12681459</v>
      </c>
      <c r="D5" s="194">
        <f>B5/C5</f>
        <v>0.06700528306719282</v>
      </c>
      <c r="E5" s="28">
        <v>1849383</v>
      </c>
      <c r="F5" s="28">
        <v>1775404.26</v>
      </c>
      <c r="G5" s="195">
        <f>E5-F5</f>
        <v>73978.73999999999</v>
      </c>
      <c r="H5" s="195">
        <v>1776374.551595412</v>
      </c>
      <c r="I5" s="195">
        <f>H5-(B5-G5)</f>
        <v>1000628.541595412</v>
      </c>
      <c r="J5" s="196">
        <v>1</v>
      </c>
      <c r="K5" s="197">
        <f>(B5-G5)/H5</f>
        <v>0.4367018258076714</v>
      </c>
      <c r="L5" s="197">
        <f>(B5-G5)/H5</f>
        <v>0.4367018258076714</v>
      </c>
    </row>
    <row r="6" spans="1:12" ht="21" customHeight="1" thickBot="1">
      <c r="A6" s="198" t="s">
        <v>47</v>
      </c>
      <c r="B6" s="97">
        <v>14940.96</v>
      </c>
      <c r="C6" s="97">
        <v>1007069</v>
      </c>
      <c r="D6" s="199">
        <f>B6/C6</f>
        <v>0.014836083724153955</v>
      </c>
      <c r="E6" s="97">
        <v>146865</v>
      </c>
      <c r="F6" s="97">
        <v>140989.66</v>
      </c>
      <c r="G6" s="200">
        <f>E6-F6</f>
        <v>5875.3399999999965</v>
      </c>
      <c r="H6" s="200">
        <v>141066</v>
      </c>
      <c r="I6" s="200">
        <f>H6-(B6-G6)</f>
        <v>132000.38</v>
      </c>
      <c r="J6" s="201">
        <v>1</v>
      </c>
      <c r="K6" s="202">
        <f>(B6-G6)/H6</f>
        <v>0.06426509577077398</v>
      </c>
      <c r="L6" s="202">
        <f>(B6-G6)/H6</f>
        <v>0.06426509577077398</v>
      </c>
    </row>
    <row r="7" spans="1:12" ht="24.75" customHeight="1" thickBot="1">
      <c r="A7" s="68" t="s">
        <v>23</v>
      </c>
      <c r="B7" s="69">
        <f>B4</f>
        <v>864665.71</v>
      </c>
      <c r="C7" s="69">
        <f>C4</f>
        <v>13688528</v>
      </c>
      <c r="D7" s="111">
        <f>B7/C7</f>
        <v>0.06316717984578035</v>
      </c>
      <c r="E7" s="69">
        <f>E4</f>
        <v>1996248</v>
      </c>
      <c r="F7" s="69">
        <f>F4</f>
        <v>1916394</v>
      </c>
      <c r="G7" s="112">
        <f>E7-F7</f>
        <v>79854</v>
      </c>
      <c r="H7" s="113">
        <f>H4</f>
        <v>1917440.55</v>
      </c>
      <c r="I7" s="113">
        <f>H7-(B7-G7)</f>
        <v>1132628.84</v>
      </c>
      <c r="J7" s="105">
        <v>1</v>
      </c>
      <c r="K7" s="114"/>
      <c r="L7" s="115">
        <f>(B7-G7)/H7</f>
        <v>0.4093017173335569</v>
      </c>
    </row>
    <row r="8" spans="1:12" ht="20.25">
      <c r="A8" s="127" t="s">
        <v>24</v>
      </c>
      <c r="B8" s="76"/>
      <c r="C8" s="76"/>
      <c r="D8" s="116"/>
      <c r="E8" s="76"/>
      <c r="F8" s="76"/>
      <c r="G8" s="117"/>
      <c r="H8" s="117"/>
      <c r="I8" s="118"/>
      <c r="J8" s="4"/>
      <c r="K8" s="5"/>
      <c r="L8" s="4"/>
    </row>
  </sheetData>
  <sheetProtection selectLockedCells="1" selectUnlockedCells="1"/>
  <mergeCells count="1">
    <mergeCell ref="A2:A3"/>
  </mergeCells>
  <printOptions/>
  <pageMargins left="0.75" right="0.75" top="1" bottom="1" header="0.4921259845" footer="0.4921259845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akubik</cp:lastModifiedBy>
  <cp:lastPrinted>2010-10-01T09:18:09Z</cp:lastPrinted>
  <dcterms:created xsi:type="dcterms:W3CDTF">1997-01-24T11:07:25Z</dcterms:created>
  <dcterms:modified xsi:type="dcterms:W3CDTF">2010-10-01T09:19:14Z</dcterms:modified>
  <cp:category/>
  <cp:version/>
  <cp:contentType/>
  <cp:contentStatus/>
</cp:coreProperties>
</file>