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§ 50j účinnosť od novembra 2010" sheetId="1" r:id="rId1"/>
    <sheet name="§ 50j účinnosť od októbra 2010" sheetId="2" state="hidden" r:id="rId2"/>
  </sheets>
  <definedNames>
    <definedName name="_xlnm.Print_Area" localSheetId="0">'§ 50j účinnosť od novembra 2010'!$A$69:$O$99</definedName>
    <definedName name="_xlnm.Print_Area" localSheetId="1">'§ 50j účinnosť od októbra 2010'!$A$69:$O$93</definedName>
  </definedNames>
  <calcPr fullCalcOnLoad="1"/>
</workbook>
</file>

<file path=xl/sharedStrings.xml><?xml version="1.0" encoding="utf-8"?>
<sst xmlns="http://schemas.openxmlformats.org/spreadsheetml/2006/main" count="548" uniqueCount="119">
  <si>
    <t>Celková cena práce:</t>
  </si>
  <si>
    <t>§ 49 ods. 4 zákona - súčet priemernej mzdy zamestnanca v hospodárstve Slovenskej republiky zverejnenej ŠÚ SR za príslušné obdobie a úhrady preddavku na poistenie, poistného na sociálne poistenie a príspevku na starobné dôchodkové sporenie, platených zames</t>
  </si>
  <si>
    <t>1) Zdroj: Štatistický úrad SR</t>
  </si>
  <si>
    <t>sadzby</t>
  </si>
  <si>
    <t>starobné poistenie</t>
  </si>
  <si>
    <t>nemocenské poistenie</t>
  </si>
  <si>
    <t>poistenie v nezamestnanosti</t>
  </si>
  <si>
    <t>invalidné poistenie</t>
  </si>
  <si>
    <t>úrazové poistenie</t>
  </si>
  <si>
    <t>garančné poistenie</t>
  </si>
  <si>
    <t>rezervný fond solidarity</t>
  </si>
  <si>
    <t>zdravotné poistenie</t>
  </si>
  <si>
    <t>Odvody spolu</t>
  </si>
  <si>
    <t>CCP (mzda + odvody)</t>
  </si>
  <si>
    <t>Rok 2010</t>
  </si>
  <si>
    <t>Rok 2011</t>
  </si>
  <si>
    <t>Maximálna mesačná výška príspevku určená zákonom</t>
  </si>
  <si>
    <t>stĺ. 1</t>
  </si>
  <si>
    <t>stĺ. 2</t>
  </si>
  <si>
    <t>stĺ. 3</t>
  </si>
  <si>
    <t>stĺ. 4</t>
  </si>
  <si>
    <t>stĺ. 5</t>
  </si>
  <si>
    <t>stĺ. 8</t>
  </si>
  <si>
    <t>ŽM</t>
  </si>
  <si>
    <t>priemer za rok</t>
  </si>
  <si>
    <t>dvojnásobok ŽM</t>
  </si>
  <si>
    <t>Predpokladaná suma finančných prostriedkov za mesiac</t>
  </si>
  <si>
    <t>Predpokladaná suma finančných prostriedkov za 6 mesiacov</t>
  </si>
  <si>
    <t>Rok 2012</t>
  </si>
  <si>
    <t>Rok 2013</t>
  </si>
  <si>
    <t>Minimálna mzda</t>
  </si>
  <si>
    <t>rok 2010</t>
  </si>
  <si>
    <t>Minimálna mzda od 1. januára 2010</t>
  </si>
  <si>
    <t>Minimálna mzda od 1. januára 2011 (predpoklad)</t>
  </si>
  <si>
    <t xml:space="preserve">       1. ak sa neuplatní §1 ods. 2 nariadenia vlády č. 441/2009</t>
  </si>
  <si>
    <t xml:space="preserve">       2. ak sa bude postupovať podľa §1 ods. 2 nariadenia vlády č. 441/2009</t>
  </si>
  <si>
    <t>Životné minimum pre jednu plnoletú fyzickú osobu od 1.7.2009</t>
  </si>
  <si>
    <t>Životné minimum pre jednu plnoletú fyzickú osobu od 1.7.2010</t>
  </si>
  <si>
    <r>
      <t xml:space="preserve">2) Zdroj: Prognóza vybraných indikátorov vývoja ekonomiky SR, IFP (MF SR), </t>
    </r>
    <r>
      <rPr>
        <b/>
        <sz val="10"/>
        <rFont val="Arial"/>
        <family val="2"/>
      </rPr>
      <t xml:space="preserve">jún 2010 </t>
    </r>
  </si>
  <si>
    <t>v €</t>
  </si>
  <si>
    <t>Kvantifikácia predpokladaných finančných prostriedkov na poskytovanie príspevku podľa § 50j</t>
  </si>
  <si>
    <t>CCP z 2-násobku ŽM 2011</t>
  </si>
  <si>
    <t>CCP z 2- násobku ŽM rok 2010</t>
  </si>
  <si>
    <t>CCP z minimálnej mzdy rok 2010</t>
  </si>
  <si>
    <t>I. polrok 2010</t>
  </si>
  <si>
    <t>II. polrok 2010</t>
  </si>
  <si>
    <t>I. polrok 2011</t>
  </si>
  <si>
    <t>II. polrok 2011</t>
  </si>
  <si>
    <t>rok 2011 alt. I</t>
  </si>
  <si>
    <t>rok 2011 alt. II</t>
  </si>
  <si>
    <t>CCP z minimálnej mzdy rok 2011 alt. I</t>
  </si>
  <si>
    <t>CCP z minimálnej mzdy rok 2011 alt. II</t>
  </si>
  <si>
    <t>Priemer (alt. I + alt. II)/2</t>
  </si>
  <si>
    <t>I. polrok 2012</t>
  </si>
  <si>
    <t>II. polrok 2012</t>
  </si>
  <si>
    <t>CCP z 2-násobku ŽM 2012</t>
  </si>
  <si>
    <t>I. polrok 2013</t>
  </si>
  <si>
    <t>II. polrok 2013</t>
  </si>
  <si>
    <t>CCP z 2-násobku ŽM 2013</t>
  </si>
  <si>
    <t>Ministerstvo práce, sociálnych vecí a rodiny Slovenskej republiky</t>
  </si>
  <si>
    <r>
      <t>Výška priemernej mesačnej mzdy zamestnanca v hosopdárstve SR za rok 2008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</si>
  <si>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r>
      <t>Výška priemernej mesačnej mzdy zamestnanca v hosopdárstve SR za rok 2009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</si>
  <si>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r>
      <t>Výška priemernej mesačnej mzdy zamestnanca v hosopdárstve SR za I. až III štvrťrok 2009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</si>
  <si>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r>
      <t>Odhad výšky priemernej mesačnej mzdy zamestnanca za I. až III štvrťrok 2010 (index rastu 1,9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):</t>
    </r>
  </si>
  <si>
    <r>
      <t>Odhad výšky priemernej mesačnej mzdy zamestnanca za I. až III štvrťrok 2011 (index rastu 4,5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):</t>
    </r>
  </si>
  <si>
    <r>
      <t>Odhad výšky priemernej mesačnej mzdy zamestnanca za I. až III štvrťrok 2012 (index rastu 5,7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):</t>
    </r>
  </si>
  <si>
    <r>
      <t>Odhad výšky priemernej mesačnej mzdy zamestnanca za I. až III štvrťrok 2013 (index rastu 6,2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):</t>
    </r>
  </si>
  <si>
    <r>
      <t>Odhad sumy životného minima pre jednu plnoletú fyzickú osobu od 1.7.2011 (index rastu 3,3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</si>
  <si>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Odhad sumy životného minima pre jednu plnoletú fyzickú osobu od 1.7.2012 (index rastu 3,8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</si>
  <si>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Odhad sumy životného minima pre jednu plnoletú fyzickú osobu od 1.7.2012 (index rastu 4,0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</si>
  <si>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pozn. index rastu nízkopríjmovej CPI</t>
  </si>
  <si>
    <t>CCP z minimálnej mzdy rok 2012 alt. I</t>
  </si>
  <si>
    <t>CCP z minimálnej mzdy rok 2012 alt. II</t>
  </si>
  <si>
    <t>CCP z minimálnej mzdy rok 2013 alt. I</t>
  </si>
  <si>
    <t>CCP z minimálnej mzdy rok 2013 alt. II</t>
  </si>
  <si>
    <t>rok 2012 alt. I</t>
  </si>
  <si>
    <t>rok 2012 alt. II</t>
  </si>
  <si>
    <t>rok 2013 alt. I</t>
  </si>
  <si>
    <t>rok 2013 alt. II</t>
  </si>
  <si>
    <t>95 % z CCP z 2-násobku ŽM</t>
  </si>
  <si>
    <t>100 % z CCP z 2-násobku ŽM</t>
  </si>
  <si>
    <t>stĺ. 11</t>
  </si>
  <si>
    <t>Maximálna mesačná výška príspevku 95% z 2-násobku ŽM</t>
  </si>
  <si>
    <t>Výška príspevku pri výške mzdy v sume minimálnej mzdy</t>
  </si>
  <si>
    <t xml:space="preserve"> maximálna výška príspevku za 6 mesiacov </t>
  </si>
  <si>
    <t>Výška príspevku pri výške mzdy v sume minimálnej mzdy za 6 mesiacov</t>
  </si>
  <si>
    <t>stĺ. 6                =(stĺ.2+ stĺ.4) /2</t>
  </si>
  <si>
    <t>stĺ. 7             =(stĺ.3+ stĺ.5) /2</t>
  </si>
  <si>
    <t>stĺ. 9                 =( stĺ. 6 * stĺ. 8)</t>
  </si>
  <si>
    <t>stĺ. 10                   =( stĺ. 7 * stĺ. 8)</t>
  </si>
  <si>
    <t>stĺ. 12     =stĺ.11+stĺ.10</t>
  </si>
  <si>
    <t xml:space="preserve"> maximálna výška príspevku za 2 mesiace </t>
  </si>
  <si>
    <t>Výška príspevku pri výške mzdy v sume minimálnej mzdy za 2 mesiace</t>
  </si>
  <si>
    <t xml:space="preserve">Predpokladaný počet vytvorených pracovných miest </t>
  </si>
  <si>
    <t>Priemerná výška príspevku za mesiac na 1 PM</t>
  </si>
  <si>
    <t>SPOLU</t>
  </si>
  <si>
    <t>Priemerná výška príspevku za 6 mesiacov na 1 PM</t>
  </si>
  <si>
    <t>Paušálny príspevok 40,- €  poskytnutý jednorázovo na 1 000 PM</t>
  </si>
  <si>
    <t>ESF + ŠR + zamestnávateľ</t>
  </si>
  <si>
    <t>ESF + ŠR</t>
  </si>
  <si>
    <t>zamestnávateľ</t>
  </si>
  <si>
    <t>5% CCP z 2-násobku ŽM</t>
  </si>
  <si>
    <t xml:space="preserve"> maximálna výška príspevku za 3 mesiace </t>
  </si>
  <si>
    <t>Výška príspevku pri výške mzdy v sume minimálnej mzdy za 3 mesiace</t>
  </si>
  <si>
    <t>Priemerná výška príspevku za 3 mesiace na 1 PM</t>
  </si>
  <si>
    <t>Predpokladaná suma finančných prostriedkov za 3 mesiace</t>
  </si>
  <si>
    <t>Paušálny príspevok 40,- € poskytnutý jednorázovo na 750 PM</t>
  </si>
  <si>
    <t>Zdroj: MPSVR SR, vlastné prepočty</t>
  </si>
  <si>
    <t>Maximálna mesačná výška príspevku podľa § 50j ods. 4 určená zákonom</t>
  </si>
  <si>
    <t>Príspevok podľa § 50j ods. 5 poskytnutý obci jednorazovo v sume 40 € (cca na 300 PM)</t>
  </si>
  <si>
    <t>Priemerná výška príspevku podľa § 50j ods. 4 za 2 mesiace na 1 PM</t>
  </si>
  <si>
    <t>Priemerná výška príspevku podľa § 50j ods. 4 za 6 mesiacov na 1 PM</t>
  </si>
  <si>
    <t>Predpokladaná suma finančných prostriedkov na príspevok podľa § 50j ods. 4 za 2 mesiace</t>
  </si>
  <si>
    <t>Predpokladaná suma finančných prostriedkov na príspevok podľa § 50j ods. 4 za 6 mesiacov</t>
  </si>
  <si>
    <t>Príspevok podľa § 50j ods. 5 poskytnutý obci jednorazovo v sume 40 € (cca na 1000 PM)</t>
  </si>
  <si>
    <t>stĺ. 6                         (stĺ. 4 + stĺ. 5)</t>
  </si>
  <si>
    <t>stĺ. 4                            (stĺ. 2 * stĺ. 3)</t>
  </si>
  <si>
    <t>Pozn.: priemerná výška príspevku (stĺ. 2) je vypočítaná ako priemer maximálnej výšky príspevku (stanovenej zákonom) a minimálnej výšky príspevku (z minimálnej mzdy)</t>
  </si>
  <si>
    <t>obec+VUC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</si>
</sst>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Áno&quot;;&quot;Áno&quot;;&quot;Nie&quot;"/>
    <numFmt numFmtId="172" formatCode="&quot;Pravda&quot;;&quot;Pravda&quot;;&quot;Nepravda&quot;"/>
    <numFmt numFmtId="173" formatCode="&quot;Zapnuté&quot;;&quot;Zapnuté&quot;;&quot;Vypnuté&quot;"/>
    <numFmt numFmtId="174" formatCode="#,##0.0"/>
    <numFmt numFmtId="175" formatCode="0.0%"/>
    <numFmt numFmtId="176" formatCode="000\ 00"/>
    <numFmt numFmtId="177" formatCode="#,##0.000"/>
    <numFmt numFmtId="178" formatCode="0.00_)"/>
    <numFmt numFmtId="179" formatCode="#,##0.00\ [$€-1];[Red]\-#,##0.00\ [$€-1]"/>
    <numFmt numFmtId="180" formatCode="#,##0.0000_ ;[Red]\-#,##0.0000\ "/>
    <numFmt numFmtId="181" formatCode="#,##0.0000\ [$€-1];[Red]\-#,##0.0000\ [$€-1]"/>
    <numFmt numFmtId="182" formatCode="#,##0.00\ [$€-1]"/>
    <numFmt numFmtId="183" formatCode="[$€-2]\ #\ ##,000_);[Red]\([$€-2]\ #\ ##,000\)"/>
    <numFmt numFmtId="184" formatCode="[$-41B]d\.\ mmmm\ yyyy"/>
    <numFmt numFmtId="185" formatCode="#,##0.00\ &quot;Sk&quot;"/>
    <numFmt numFmtId="186" formatCode="#,##0.000\ [$€-1]"/>
    <numFmt numFmtId="187" formatCode="#,##0.0000\ [$€-1]"/>
    <numFmt numFmtId="188" formatCode="#,##0.00000\ [$€-1]"/>
    <numFmt numFmtId="189" formatCode="#,##0.0\ [$€-1]"/>
    <numFmt numFmtId="190" formatCode="#,##0\ [$€-1]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18" borderId="5" applyNumberFormat="0" applyFon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180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181" fontId="0" fillId="0" borderId="10" xfId="0" applyNumberFormat="1" applyBorder="1" applyAlignment="1">
      <alignment/>
    </xf>
    <xf numFmtId="179" fontId="1" fillId="2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2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179" fontId="1" fillId="0" borderId="10" xfId="0" applyNumberFormat="1" applyFont="1" applyBorder="1" applyAlignment="1">
      <alignment/>
    </xf>
    <xf numFmtId="2" fontId="0" fillId="8" borderId="10" xfId="0" applyNumberForma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3" borderId="10" xfId="0" applyFont="1" applyFill="1" applyBorder="1" applyAlignment="1">
      <alignment wrapText="1"/>
    </xf>
    <xf numFmtId="0" fontId="0" fillId="3" borderId="10" xfId="0" applyFont="1" applyFill="1" applyBorder="1" applyAlignment="1">
      <alignment/>
    </xf>
    <xf numFmtId="2" fontId="0" fillId="3" borderId="10" xfId="0" applyNumberFormat="1" applyFill="1" applyBorder="1" applyAlignment="1">
      <alignment/>
    </xf>
    <xf numFmtId="14" fontId="0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4" borderId="10" xfId="0" applyFont="1" applyFill="1" applyBorder="1" applyAlignment="1">
      <alignment horizontal="center" vertical="center" wrapText="1" shrinkToFit="1"/>
    </xf>
    <xf numFmtId="0" fontId="4" fillId="9" borderId="10" xfId="0" applyFont="1" applyFill="1" applyBorder="1" applyAlignment="1">
      <alignment horizontal="center" vertical="center" wrapText="1" shrinkToFit="1"/>
    </xf>
    <xf numFmtId="0" fontId="4" fillId="17" borderId="10" xfId="0" applyFont="1" applyFill="1" applyBorder="1" applyAlignment="1">
      <alignment horizontal="center" vertical="center" wrapText="1" shrinkToFit="1"/>
    </xf>
    <xf numFmtId="0" fontId="4" fillId="8" borderId="10" xfId="0" applyFont="1" applyFill="1" applyBorder="1" applyAlignment="1">
      <alignment horizontal="center" vertical="center" wrapText="1" shrinkToFit="1"/>
    </xf>
    <xf numFmtId="0" fontId="4" fillId="13" borderId="10" xfId="0" applyFont="1" applyFill="1" applyBorder="1" applyAlignment="1">
      <alignment horizontal="center" vertical="center" wrapText="1" shrinkToFit="1"/>
    </xf>
    <xf numFmtId="0" fontId="4" fillId="10" borderId="10" xfId="0" applyFont="1" applyFill="1" applyBorder="1" applyAlignment="1">
      <alignment horizontal="center" vertical="center" wrapText="1" shrinkToFit="1"/>
    </xf>
    <xf numFmtId="0" fontId="4" fillId="1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 shrinkToFit="1"/>
    </xf>
    <xf numFmtId="0" fontId="4" fillId="0" borderId="10" xfId="0" applyFont="1" applyBorder="1" applyAlignment="1">
      <alignment wrapText="1" shrinkToFit="1"/>
    </xf>
    <xf numFmtId="182" fontId="4" fillId="0" borderId="10" xfId="0" applyNumberFormat="1" applyFont="1" applyBorder="1" applyAlignment="1">
      <alignment/>
    </xf>
    <xf numFmtId="182" fontId="4" fillId="0" borderId="10" xfId="0" applyNumberFormat="1" applyFont="1" applyFill="1" applyBorder="1" applyAlignment="1">
      <alignment/>
    </xf>
    <xf numFmtId="3" fontId="4" fillId="5" borderId="10" xfId="0" applyNumberFormat="1" applyFont="1" applyFill="1" applyBorder="1" applyAlignment="1">
      <alignment/>
    </xf>
    <xf numFmtId="182" fontId="4" fillId="17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182" fontId="0" fillId="0" borderId="0" xfId="0" applyNumberFormat="1" applyAlignment="1">
      <alignment/>
    </xf>
    <xf numFmtId="18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 shrinkToFit="1"/>
    </xf>
    <xf numFmtId="18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/>
    </xf>
    <xf numFmtId="18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 shrinkToFit="1"/>
    </xf>
    <xf numFmtId="0" fontId="4" fillId="0" borderId="0" xfId="0" applyFont="1" applyFill="1" applyBorder="1" applyAlignment="1">
      <alignment horizontal="center" wrapText="1" shrinkToFit="1"/>
    </xf>
    <xf numFmtId="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 shrinkToFit="1"/>
    </xf>
    <xf numFmtId="182" fontId="4" fillId="0" borderId="13" xfId="0" applyNumberFormat="1" applyFont="1" applyBorder="1" applyAlignment="1">
      <alignment/>
    </xf>
    <xf numFmtId="182" fontId="4" fillId="0" borderId="13" xfId="0" applyNumberFormat="1" applyFont="1" applyFill="1" applyBorder="1" applyAlignment="1">
      <alignment/>
    </xf>
    <xf numFmtId="182" fontId="4" fillId="0" borderId="14" xfId="0" applyNumberFormat="1" applyFont="1" applyBorder="1" applyAlignment="1">
      <alignment/>
    </xf>
    <xf numFmtId="182" fontId="4" fillId="0" borderId="14" xfId="0" applyNumberFormat="1" applyFont="1" applyFill="1" applyBorder="1" applyAlignment="1">
      <alignment/>
    </xf>
    <xf numFmtId="0" fontId="4" fillId="0" borderId="15" xfId="0" applyFont="1" applyBorder="1" applyAlignment="1">
      <alignment horizontal="center" wrapText="1" shrinkToFit="1"/>
    </xf>
    <xf numFmtId="0" fontId="4" fillId="0" borderId="11" xfId="0" applyFont="1" applyBorder="1" applyAlignment="1">
      <alignment horizontal="center" wrapText="1" shrinkToFit="1"/>
    </xf>
    <xf numFmtId="182" fontId="4" fillId="26" borderId="16" xfId="0" applyNumberFormat="1" applyFont="1" applyFill="1" applyBorder="1" applyAlignment="1">
      <alignment/>
    </xf>
    <xf numFmtId="182" fontId="4" fillId="0" borderId="17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/>
    </xf>
    <xf numFmtId="182" fontId="4" fillId="26" borderId="18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 shrinkToFit="1"/>
    </xf>
    <xf numFmtId="0" fontId="23" fillId="26" borderId="18" xfId="0" applyFont="1" applyFill="1" applyBorder="1" applyAlignment="1">
      <alignment horizontal="center" wrapText="1" shrinkToFit="1"/>
    </xf>
    <xf numFmtId="0" fontId="23" fillId="26" borderId="16" xfId="0" applyFont="1" applyFill="1" applyBorder="1" applyAlignment="1">
      <alignment wrapText="1" shrinkToFit="1"/>
    </xf>
    <xf numFmtId="182" fontId="23" fillId="26" borderId="16" xfId="0" applyNumberFormat="1" applyFont="1" applyFill="1" applyBorder="1" applyAlignment="1">
      <alignment/>
    </xf>
    <xf numFmtId="182" fontId="23" fillId="26" borderId="19" xfId="0" applyNumberFormat="1" applyFont="1" applyFill="1" applyBorder="1" applyAlignment="1">
      <alignment/>
    </xf>
    <xf numFmtId="0" fontId="23" fillId="26" borderId="10" xfId="0" applyFont="1" applyFill="1" applyBorder="1" applyAlignment="1">
      <alignment horizontal="center" vertical="center" wrapText="1" shrinkToFit="1"/>
    </xf>
    <xf numFmtId="0" fontId="23" fillId="17" borderId="10" xfId="0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/>
    </xf>
    <xf numFmtId="0" fontId="23" fillId="4" borderId="10" xfId="0" applyFont="1" applyFill="1" applyBorder="1" applyAlignment="1">
      <alignment horizontal="center" vertical="center" wrapText="1" shrinkToFit="1"/>
    </xf>
    <xf numFmtId="0" fontId="23" fillId="8" borderId="10" xfId="0" applyFont="1" applyFill="1" applyBorder="1" applyAlignment="1">
      <alignment horizontal="center" vertical="center" wrapText="1" shrinkToFit="1"/>
    </xf>
    <xf numFmtId="0" fontId="23" fillId="10" borderId="10" xfId="0" applyFont="1" applyFill="1" applyBorder="1" applyAlignment="1">
      <alignment horizontal="center" vertical="center" wrapText="1" shrinkToFit="1"/>
    </xf>
    <xf numFmtId="182" fontId="4" fillId="26" borderId="20" xfId="0" applyNumberFormat="1" applyFont="1" applyFill="1" applyBorder="1" applyAlignment="1">
      <alignment/>
    </xf>
    <xf numFmtId="182" fontId="23" fillId="26" borderId="21" xfId="0" applyNumberFormat="1" applyFont="1" applyFill="1" applyBorder="1" applyAlignment="1">
      <alignment/>
    </xf>
    <xf numFmtId="182" fontId="23" fillId="26" borderId="22" xfId="0" applyNumberFormat="1" applyFont="1" applyFill="1" applyBorder="1" applyAlignment="1">
      <alignment/>
    </xf>
    <xf numFmtId="182" fontId="4" fillId="17" borderId="13" xfId="0" applyNumberFormat="1" applyFont="1" applyFill="1" applyBorder="1" applyAlignment="1">
      <alignment horizontal="right"/>
    </xf>
    <xf numFmtId="182" fontId="23" fillId="17" borderId="21" xfId="0" applyNumberFormat="1" applyFont="1" applyFill="1" applyBorder="1" applyAlignment="1">
      <alignment horizontal="right"/>
    </xf>
    <xf numFmtId="182" fontId="4" fillId="17" borderId="14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center" wrapText="1" shrinkToFit="1"/>
    </xf>
    <xf numFmtId="182" fontId="4" fillId="0" borderId="24" xfId="0" applyNumberFormat="1" applyFont="1" applyBorder="1" applyAlignment="1">
      <alignment/>
    </xf>
    <xf numFmtId="182" fontId="4" fillId="0" borderId="24" xfId="0" applyNumberFormat="1" applyFont="1" applyFill="1" applyBorder="1" applyAlignment="1">
      <alignment/>
    </xf>
    <xf numFmtId="182" fontId="4" fillId="0" borderId="23" xfId="0" applyNumberFormat="1" applyFont="1" applyFill="1" applyBorder="1" applyAlignment="1">
      <alignment/>
    </xf>
    <xf numFmtId="182" fontId="4" fillId="17" borderId="24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center" wrapText="1" shrinkToFit="1"/>
    </xf>
    <xf numFmtId="182" fontId="4" fillId="17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90" fontId="4" fillId="0" borderId="0" xfId="0" applyNumberFormat="1" applyFont="1" applyAlignment="1">
      <alignment horizontal="center"/>
    </xf>
    <xf numFmtId="3" fontId="4" fillId="0" borderId="27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190" fontId="4" fillId="0" borderId="28" xfId="0" applyNumberFormat="1" applyFont="1" applyBorder="1" applyAlignment="1">
      <alignment horizontal="center"/>
    </xf>
    <xf numFmtId="190" fontId="4" fillId="0" borderId="27" xfId="0" applyNumberFormat="1" applyFont="1" applyBorder="1" applyAlignment="1">
      <alignment horizontal="center"/>
    </xf>
    <xf numFmtId="182" fontId="4" fillId="0" borderId="29" xfId="0" applyNumberFormat="1" applyFont="1" applyFill="1" applyBorder="1" applyAlignment="1">
      <alignment vertical="center"/>
    </xf>
    <xf numFmtId="182" fontId="4" fillId="0" borderId="30" xfId="0" applyNumberFormat="1" applyFont="1" applyFill="1" applyBorder="1" applyAlignment="1">
      <alignment vertical="center"/>
    </xf>
    <xf numFmtId="0" fontId="23" fillId="26" borderId="31" xfId="0" applyFont="1" applyFill="1" applyBorder="1" applyAlignment="1">
      <alignment horizontal="center" vertical="center" wrapText="1" shrinkToFit="1"/>
    </xf>
    <xf numFmtId="0" fontId="23" fillId="26" borderId="32" xfId="0" applyFont="1" applyFill="1" applyBorder="1" applyAlignment="1">
      <alignment horizontal="center" vertical="center" wrapText="1" shrinkToFit="1"/>
    </xf>
    <xf numFmtId="0" fontId="23" fillId="26" borderId="33" xfId="0" applyFont="1" applyFill="1" applyBorder="1" applyAlignment="1">
      <alignment horizontal="center" vertical="center" wrapText="1" shrinkToFit="1"/>
    </xf>
    <xf numFmtId="3" fontId="23" fillId="26" borderId="31" xfId="0" applyNumberFormat="1" applyFont="1" applyFill="1" applyBorder="1" applyAlignment="1">
      <alignment horizontal="center" vertical="center"/>
    </xf>
    <xf numFmtId="3" fontId="23" fillId="26" borderId="33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wrapText="1" shrinkToFit="1"/>
    </xf>
    <xf numFmtId="0" fontId="4" fillId="0" borderId="14" xfId="0" applyFont="1" applyBorder="1" applyAlignment="1">
      <alignment wrapText="1" shrinkToFit="1"/>
    </xf>
    <xf numFmtId="182" fontId="4" fillId="0" borderId="26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3" fontId="23" fillId="26" borderId="32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 shrinkToFit="1"/>
    </xf>
    <xf numFmtId="179" fontId="4" fillId="0" borderId="10" xfId="0" applyNumberFormat="1" applyFont="1" applyBorder="1" applyAlignment="1">
      <alignment horizontal="center"/>
    </xf>
    <xf numFmtId="179" fontId="4" fillId="0" borderId="1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179" fontId="23" fillId="26" borderId="16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/>
    </xf>
    <xf numFmtId="0" fontId="1" fillId="24" borderId="34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35" xfId="0" applyFont="1" applyFill="1" applyBorder="1" applyAlignment="1">
      <alignment horizontal="right"/>
    </xf>
    <xf numFmtId="0" fontId="1" fillId="24" borderId="36" xfId="0" applyFont="1" applyFill="1" applyBorder="1" applyAlignment="1">
      <alignment horizontal="right"/>
    </xf>
    <xf numFmtId="0" fontId="1" fillId="24" borderId="37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1" fillId="24" borderId="35" xfId="0" applyFont="1" applyFill="1" applyBorder="1" applyAlignment="1">
      <alignment horizontal="left"/>
    </xf>
    <xf numFmtId="0" fontId="1" fillId="24" borderId="36" xfId="0" applyFont="1" applyFill="1" applyBorder="1" applyAlignment="1">
      <alignment horizontal="left"/>
    </xf>
    <xf numFmtId="0" fontId="1" fillId="24" borderId="37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 wrapText="1"/>
    </xf>
    <xf numFmtId="0" fontId="1" fillId="0" borderId="38" xfId="0" applyFont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" borderId="39" xfId="0" applyFont="1" applyFill="1" applyBorder="1" applyAlignment="1">
      <alignment horizontal="left" wrapText="1"/>
    </xf>
    <xf numFmtId="2" fontId="1" fillId="24" borderId="35" xfId="0" applyNumberFormat="1" applyFont="1" applyFill="1" applyBorder="1" applyAlignment="1">
      <alignment horizontal="left"/>
    </xf>
    <xf numFmtId="2" fontId="1" fillId="24" borderId="36" xfId="0" applyNumberFormat="1" applyFont="1" applyFill="1" applyBorder="1" applyAlignment="1">
      <alignment horizontal="left"/>
    </xf>
    <xf numFmtId="2" fontId="1" fillId="24" borderId="37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wrapText="1" shrinkToFit="1"/>
    </xf>
    <xf numFmtId="0" fontId="23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9"/>
  <sheetViews>
    <sheetView tabSelected="1" zoomScaleSheetLayoutView="100" zoomScalePageLayoutView="0" workbookViewId="0" topLeftCell="A69">
      <selection activeCell="C90" sqref="C90:C91"/>
    </sheetView>
  </sheetViews>
  <sheetFormatPr defaultColWidth="9.140625" defaultRowHeight="12.75"/>
  <cols>
    <col min="1" max="1" width="4.140625" style="0" customWidth="1"/>
    <col min="2" max="2" width="11.7109375" style="0" customWidth="1"/>
    <col min="3" max="3" width="16.140625" style="0" customWidth="1"/>
    <col min="4" max="4" width="10.00390625" style="0" hidden="1" customWidth="1"/>
    <col min="5" max="5" width="0" style="0" hidden="1" customWidth="1"/>
    <col min="6" max="6" width="11.140625" style="0" hidden="1" customWidth="1"/>
    <col min="7" max="7" width="11.28125" style="0" hidden="1" customWidth="1"/>
    <col min="8" max="8" width="10.00390625" style="0" hidden="1" customWidth="1"/>
    <col min="9" max="9" width="14.28125" style="0" customWidth="1"/>
    <col min="10" max="10" width="15.7109375" style="0" customWidth="1"/>
    <col min="11" max="11" width="11.00390625" style="0" hidden="1" customWidth="1"/>
    <col min="12" max="12" width="16.00390625" style="0" customWidth="1"/>
    <col min="13" max="13" width="14.57421875" style="0" customWidth="1"/>
    <col min="14" max="14" width="2.7109375" style="0" hidden="1" customWidth="1"/>
    <col min="15" max="15" width="14.7109375" style="0" customWidth="1"/>
    <col min="16" max="16" width="15.140625" style="0" hidden="1" customWidth="1"/>
    <col min="17" max="17" width="13.57421875" style="0" hidden="1" customWidth="1"/>
    <col min="18" max="18" width="14.421875" style="0" hidden="1" customWidth="1"/>
    <col min="19" max="19" width="15.421875" style="0" hidden="1" customWidth="1"/>
    <col min="20" max="20" width="0" style="0" hidden="1" customWidth="1"/>
    <col min="21" max="21" width="3.421875" style="0" customWidth="1"/>
    <col min="26" max="26" width="10.140625" style="0" customWidth="1"/>
    <col min="33" max="33" width="10.140625" style="0" bestFit="1" customWidth="1"/>
  </cols>
  <sheetData>
    <row r="1" spans="1:8" ht="12.75" hidden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2.75" hidden="1">
      <c r="A2" s="144" t="s">
        <v>1</v>
      </c>
      <c r="B2" s="144"/>
      <c r="C2" s="144"/>
      <c r="D2" s="144"/>
      <c r="E2" s="144"/>
      <c r="F2" s="144"/>
      <c r="G2" s="144"/>
      <c r="H2" s="15"/>
    </row>
    <row r="3" spans="1:8" ht="29.25" customHeight="1" hidden="1">
      <c r="A3" s="144"/>
      <c r="B3" s="144"/>
      <c r="C3" s="144"/>
      <c r="D3" s="144"/>
      <c r="E3" s="144"/>
      <c r="F3" s="144"/>
      <c r="G3" s="144"/>
      <c r="H3" s="15"/>
    </row>
    <row r="4" spans="1:11" ht="12.75" hidden="1">
      <c r="A4" s="15"/>
      <c r="B4" s="15"/>
      <c r="C4" s="15"/>
      <c r="D4" s="15"/>
      <c r="E4" s="15"/>
      <c r="F4" s="15"/>
      <c r="G4" s="26" t="s">
        <v>39</v>
      </c>
      <c r="H4" s="15"/>
      <c r="K4" s="26" t="s">
        <v>39</v>
      </c>
    </row>
    <row r="5" spans="1:17" ht="14.25" hidden="1">
      <c r="A5" s="146" t="s">
        <v>60</v>
      </c>
      <c r="B5" s="147"/>
      <c r="C5" s="147"/>
      <c r="D5" s="147"/>
      <c r="E5" s="147"/>
      <c r="F5" s="148"/>
      <c r="G5" s="4">
        <v>723.03</v>
      </c>
      <c r="H5" s="15"/>
      <c r="I5" s="152" t="s">
        <v>23</v>
      </c>
      <c r="J5" s="18" t="s">
        <v>44</v>
      </c>
      <c r="K5" s="4">
        <v>185.19</v>
      </c>
      <c r="O5" s="155"/>
      <c r="P5" s="17"/>
      <c r="Q5" s="24"/>
    </row>
    <row r="6" spans="1:17" ht="14.25" hidden="1">
      <c r="A6" s="146" t="s">
        <v>61</v>
      </c>
      <c r="B6" s="147"/>
      <c r="C6" s="147"/>
      <c r="D6" s="147"/>
      <c r="E6" s="147"/>
      <c r="F6" s="148"/>
      <c r="G6" s="7">
        <v>744.5</v>
      </c>
      <c r="H6" s="15"/>
      <c r="I6" s="153"/>
      <c r="J6" s="18" t="s">
        <v>45</v>
      </c>
      <c r="K6" s="4">
        <v>185.38</v>
      </c>
      <c r="O6" s="155"/>
      <c r="P6" s="17"/>
      <c r="Q6" s="24"/>
    </row>
    <row r="7" spans="1:17" ht="14.25" hidden="1">
      <c r="A7" s="146" t="s">
        <v>62</v>
      </c>
      <c r="B7" s="147"/>
      <c r="C7" s="147"/>
      <c r="D7" s="147"/>
      <c r="E7" s="147"/>
      <c r="F7" s="148"/>
      <c r="G7" s="4">
        <v>721.77</v>
      </c>
      <c r="H7" s="15"/>
      <c r="I7" s="153"/>
      <c r="J7" s="18" t="s">
        <v>24</v>
      </c>
      <c r="K7" s="4">
        <f>(K5+K6)/2</f>
        <v>185.285</v>
      </c>
      <c r="O7" s="155"/>
      <c r="P7" s="17"/>
      <c r="Q7" s="24"/>
    </row>
    <row r="8" spans="1:17" ht="14.25" hidden="1">
      <c r="A8" s="146" t="s">
        <v>63</v>
      </c>
      <c r="B8" s="147"/>
      <c r="C8" s="147"/>
      <c r="D8" s="147"/>
      <c r="E8" s="147"/>
      <c r="F8" s="148"/>
      <c r="G8" s="7">
        <v>735.48363</v>
      </c>
      <c r="H8" s="15"/>
      <c r="I8" s="154"/>
      <c r="J8" s="19" t="s">
        <v>25</v>
      </c>
      <c r="K8" s="4">
        <f>K7*2</f>
        <v>370.57</v>
      </c>
      <c r="O8" s="155"/>
      <c r="P8" s="17"/>
      <c r="Q8" s="2"/>
    </row>
    <row r="9" spans="1:17" ht="25.5" hidden="1">
      <c r="A9" s="146" t="s">
        <v>64</v>
      </c>
      <c r="B9" s="147"/>
      <c r="C9" s="147"/>
      <c r="D9" s="147"/>
      <c r="E9" s="147"/>
      <c r="F9" s="148"/>
      <c r="G9" s="7">
        <v>768.5803933499999</v>
      </c>
      <c r="H9" s="15"/>
      <c r="I9" s="20" t="s">
        <v>30</v>
      </c>
      <c r="J9" s="19" t="s">
        <v>31</v>
      </c>
      <c r="K9" s="7">
        <v>307.7</v>
      </c>
      <c r="O9" s="29"/>
      <c r="P9" s="17"/>
      <c r="Q9" s="24"/>
    </row>
    <row r="10" spans="1:17" ht="14.25" hidden="1">
      <c r="A10" s="146" t="s">
        <v>65</v>
      </c>
      <c r="B10" s="147"/>
      <c r="C10" s="147"/>
      <c r="D10" s="147"/>
      <c r="E10" s="147"/>
      <c r="F10" s="148"/>
      <c r="G10" s="7">
        <v>812.3894757709498</v>
      </c>
      <c r="H10" s="15"/>
      <c r="O10" s="29"/>
      <c r="P10" s="17"/>
      <c r="Q10" s="24"/>
    </row>
    <row r="11" spans="1:17" ht="14.25" hidden="1">
      <c r="A11" s="146" t="s">
        <v>66</v>
      </c>
      <c r="B11" s="147"/>
      <c r="C11" s="147"/>
      <c r="D11" s="147"/>
      <c r="E11" s="147"/>
      <c r="F11" s="148"/>
      <c r="G11" s="7">
        <v>862.7576232687487</v>
      </c>
      <c r="H11" s="15"/>
      <c r="I11" s="152" t="s">
        <v>23</v>
      </c>
      <c r="J11" s="18" t="s">
        <v>46</v>
      </c>
      <c r="K11" s="4">
        <f>G19</f>
        <v>185.38</v>
      </c>
      <c r="O11" s="29"/>
      <c r="P11" s="2"/>
      <c r="Q11" s="2"/>
    </row>
    <row r="12" spans="1:11" ht="12.75" hidden="1">
      <c r="A12" s="149"/>
      <c r="B12" s="150"/>
      <c r="C12" s="150"/>
      <c r="D12" s="150"/>
      <c r="E12" s="150"/>
      <c r="F12" s="150"/>
      <c r="G12" s="151"/>
      <c r="H12" s="15"/>
      <c r="I12" s="153"/>
      <c r="J12" s="18" t="s">
        <v>47</v>
      </c>
      <c r="K12" s="7">
        <f>G20</f>
        <v>191.5</v>
      </c>
    </row>
    <row r="13" spans="1:11" ht="12.75" hidden="1">
      <c r="A13" s="146" t="s">
        <v>32</v>
      </c>
      <c r="B13" s="147"/>
      <c r="C13" s="147"/>
      <c r="D13" s="147"/>
      <c r="E13" s="147"/>
      <c r="F13" s="148"/>
      <c r="G13" s="7">
        <v>307.7</v>
      </c>
      <c r="H13" s="15"/>
      <c r="I13" s="153"/>
      <c r="J13" s="18" t="s">
        <v>24</v>
      </c>
      <c r="K13" s="4">
        <f>(K11+K12)/2</f>
        <v>188.44</v>
      </c>
    </row>
    <row r="14" spans="1:11" ht="12.75" hidden="1">
      <c r="A14" s="146" t="s">
        <v>33</v>
      </c>
      <c r="B14" s="147"/>
      <c r="C14" s="147"/>
      <c r="D14" s="147"/>
      <c r="E14" s="147"/>
      <c r="F14" s="148"/>
      <c r="G14" s="4"/>
      <c r="H14" s="15"/>
      <c r="I14" s="154"/>
      <c r="J14" s="19" t="s">
        <v>25</v>
      </c>
      <c r="K14" s="4">
        <f>K13*2</f>
        <v>376.88</v>
      </c>
    </row>
    <row r="15" spans="1:11" ht="25.5" hidden="1">
      <c r="A15" s="146" t="s">
        <v>34</v>
      </c>
      <c r="B15" s="147"/>
      <c r="C15" s="147"/>
      <c r="D15" s="147"/>
      <c r="E15" s="147"/>
      <c r="F15" s="148"/>
      <c r="G15" s="7">
        <v>317</v>
      </c>
      <c r="H15" s="15"/>
      <c r="I15" s="20" t="s">
        <v>30</v>
      </c>
      <c r="J15" s="19" t="s">
        <v>48</v>
      </c>
      <c r="K15" s="7">
        <f>G15</f>
        <v>317</v>
      </c>
    </row>
    <row r="16" spans="1:11" ht="25.5" hidden="1">
      <c r="A16" s="146" t="s">
        <v>35</v>
      </c>
      <c r="B16" s="147"/>
      <c r="C16" s="147"/>
      <c r="D16" s="147"/>
      <c r="E16" s="147"/>
      <c r="F16" s="148"/>
      <c r="G16" s="7">
        <v>328.8</v>
      </c>
      <c r="H16" s="27"/>
      <c r="I16" s="20" t="s">
        <v>30</v>
      </c>
      <c r="J16" s="19" t="s">
        <v>49</v>
      </c>
      <c r="K16" s="7">
        <f>G16</f>
        <v>328.8</v>
      </c>
    </row>
    <row r="17" spans="1:8" ht="12.75" hidden="1">
      <c r="A17" s="149"/>
      <c r="B17" s="150"/>
      <c r="C17" s="150"/>
      <c r="D17" s="150"/>
      <c r="E17" s="150"/>
      <c r="F17" s="150"/>
      <c r="G17" s="151"/>
      <c r="H17" s="15"/>
    </row>
    <row r="18" spans="1:11" ht="12.75" hidden="1">
      <c r="A18" s="146" t="s">
        <v>36</v>
      </c>
      <c r="B18" s="147"/>
      <c r="C18" s="147"/>
      <c r="D18" s="147"/>
      <c r="E18" s="147"/>
      <c r="F18" s="148"/>
      <c r="G18" s="4">
        <v>185.19</v>
      </c>
      <c r="H18" s="15"/>
      <c r="I18" s="152" t="s">
        <v>23</v>
      </c>
      <c r="J18" s="18" t="s">
        <v>53</v>
      </c>
      <c r="K18" s="7">
        <f>G20</f>
        <v>191.5</v>
      </c>
    </row>
    <row r="19" spans="1:11" ht="12.75" hidden="1">
      <c r="A19" s="146" t="s">
        <v>37</v>
      </c>
      <c r="B19" s="147"/>
      <c r="C19" s="147"/>
      <c r="D19" s="147"/>
      <c r="E19" s="147"/>
      <c r="F19" s="148"/>
      <c r="G19" s="4">
        <v>185.38</v>
      </c>
      <c r="H19" s="15"/>
      <c r="I19" s="153"/>
      <c r="J19" s="18" t="s">
        <v>54</v>
      </c>
      <c r="K19" s="7">
        <f>G21</f>
        <v>198.77</v>
      </c>
    </row>
    <row r="20" spans="1:11" ht="14.25" hidden="1">
      <c r="A20" s="146" t="s">
        <v>67</v>
      </c>
      <c r="B20" s="147"/>
      <c r="C20" s="147"/>
      <c r="D20" s="147"/>
      <c r="E20" s="147"/>
      <c r="F20" s="148"/>
      <c r="G20" s="7">
        <v>191.5</v>
      </c>
      <c r="H20" s="15"/>
      <c r="I20" s="153"/>
      <c r="J20" s="18" t="s">
        <v>24</v>
      </c>
      <c r="K20" s="7">
        <f>(K18+K19)/2</f>
        <v>195.135</v>
      </c>
    </row>
    <row r="21" spans="1:11" ht="14.25" hidden="1">
      <c r="A21" s="146" t="s">
        <v>68</v>
      </c>
      <c r="B21" s="147"/>
      <c r="C21" s="147"/>
      <c r="D21" s="147"/>
      <c r="E21" s="147"/>
      <c r="F21" s="148"/>
      <c r="G21" s="4">
        <v>198.77</v>
      </c>
      <c r="H21" s="15"/>
      <c r="I21" s="154"/>
      <c r="J21" s="19" t="s">
        <v>25</v>
      </c>
      <c r="K21" s="4">
        <f>K20*2</f>
        <v>390.27</v>
      </c>
    </row>
    <row r="22" spans="1:11" ht="25.5" hidden="1">
      <c r="A22" s="146" t="s">
        <v>69</v>
      </c>
      <c r="B22" s="147"/>
      <c r="C22" s="147"/>
      <c r="D22" s="147"/>
      <c r="E22" s="147"/>
      <c r="F22" s="148"/>
      <c r="G22" s="4">
        <v>206.73</v>
      </c>
      <c r="H22" s="15"/>
      <c r="I22" s="30" t="s">
        <v>30</v>
      </c>
      <c r="J22" s="31" t="s">
        <v>75</v>
      </c>
      <c r="K22" s="32">
        <f>(K15*3.8%)+K15</f>
        <v>329.046</v>
      </c>
    </row>
    <row r="23" spans="1:11" ht="25.5" hidden="1">
      <c r="A23" s="15"/>
      <c r="B23" s="15"/>
      <c r="C23" s="15"/>
      <c r="D23" s="15"/>
      <c r="E23" s="15"/>
      <c r="F23" s="15"/>
      <c r="G23" s="15"/>
      <c r="H23" s="15"/>
      <c r="I23" s="30" t="s">
        <v>30</v>
      </c>
      <c r="J23" s="31" t="s">
        <v>76</v>
      </c>
      <c r="K23" s="32">
        <f>(K16*3.8%)+K22</f>
        <v>341.5404</v>
      </c>
    </row>
    <row r="24" spans="1:11" ht="12.75" hidden="1">
      <c r="A24" s="15" t="s">
        <v>2</v>
      </c>
      <c r="B24" s="15"/>
      <c r="C24" s="15"/>
      <c r="D24" s="15"/>
      <c r="E24" s="15"/>
      <c r="F24" s="15"/>
      <c r="G24" s="15"/>
      <c r="H24" s="15"/>
      <c r="I24" s="156" t="s">
        <v>70</v>
      </c>
      <c r="J24" s="156"/>
      <c r="K24" s="156"/>
    </row>
    <row r="25" spans="1:8" ht="12.75" hidden="1">
      <c r="A25" s="25" t="s">
        <v>38</v>
      </c>
      <c r="B25" s="15"/>
      <c r="C25" s="15"/>
      <c r="D25" s="15"/>
      <c r="E25" s="15"/>
      <c r="F25" s="15"/>
      <c r="G25" s="15"/>
      <c r="H25" s="15"/>
    </row>
    <row r="26" spans="1:11" ht="12.75" hidden="1">
      <c r="A26" s="25"/>
      <c r="B26" s="15"/>
      <c r="C26" s="15"/>
      <c r="D26" s="15"/>
      <c r="E26" s="15"/>
      <c r="F26" s="15"/>
      <c r="G26" s="15"/>
      <c r="H26" s="15"/>
      <c r="I26" s="152" t="s">
        <v>23</v>
      </c>
      <c r="J26" s="18" t="s">
        <v>56</v>
      </c>
      <c r="K26" s="7">
        <f>G21</f>
        <v>198.77</v>
      </c>
    </row>
    <row r="27" spans="1:11" ht="12.75" hidden="1">
      <c r="A27" s="25"/>
      <c r="B27" s="15"/>
      <c r="C27" s="15"/>
      <c r="D27" s="15"/>
      <c r="E27" s="15"/>
      <c r="F27" s="15"/>
      <c r="G27" s="15"/>
      <c r="H27" s="15"/>
      <c r="I27" s="153"/>
      <c r="J27" s="18" t="s">
        <v>57</v>
      </c>
      <c r="K27" s="7">
        <f>G22</f>
        <v>206.73</v>
      </c>
    </row>
    <row r="28" spans="1:11" ht="12.75" hidden="1">
      <c r="A28" s="25"/>
      <c r="B28" s="15"/>
      <c r="C28" s="15"/>
      <c r="D28" s="15"/>
      <c r="E28" s="15"/>
      <c r="F28" s="15"/>
      <c r="G28" s="15"/>
      <c r="H28" s="15"/>
      <c r="I28" s="153"/>
      <c r="J28" s="18" t="s">
        <v>24</v>
      </c>
      <c r="K28" s="7">
        <f>(K26+K27)/2</f>
        <v>202.75</v>
      </c>
    </row>
    <row r="29" spans="1:11" ht="12.75" hidden="1">
      <c r="A29" s="33"/>
      <c r="B29" s="15"/>
      <c r="C29" s="15"/>
      <c r="D29" s="15"/>
      <c r="E29" s="15"/>
      <c r="F29" s="15"/>
      <c r="G29" s="15"/>
      <c r="H29" s="15"/>
      <c r="I29" s="154"/>
      <c r="J29" s="19" t="s">
        <v>25</v>
      </c>
      <c r="K29" s="4">
        <f>K28*2</f>
        <v>405.5</v>
      </c>
    </row>
    <row r="30" spans="1:11" ht="25.5" hidden="1">
      <c r="A30" s="33"/>
      <c r="B30" s="15"/>
      <c r="C30" s="15"/>
      <c r="D30" s="15"/>
      <c r="E30" s="15"/>
      <c r="F30" s="15"/>
      <c r="G30" s="15"/>
      <c r="H30" s="15"/>
      <c r="I30" s="30" t="s">
        <v>30</v>
      </c>
      <c r="J30" s="31" t="s">
        <v>77</v>
      </c>
      <c r="K30" s="32">
        <f>(K22*4%)+K22</f>
        <v>342.20784</v>
      </c>
    </row>
    <row r="31" spans="1:11" ht="25.5" hidden="1">
      <c r="A31" s="25"/>
      <c r="B31" s="15"/>
      <c r="C31" s="15"/>
      <c r="D31" s="15"/>
      <c r="E31" s="15"/>
      <c r="F31" s="15"/>
      <c r="G31" s="15"/>
      <c r="H31" s="15"/>
      <c r="I31" s="30" t="s">
        <v>30</v>
      </c>
      <c r="J31" s="31" t="s">
        <v>78</v>
      </c>
      <c r="K31" s="32">
        <f>(K23*4%)+K23</f>
        <v>355.20201599999996</v>
      </c>
    </row>
    <row r="32" spans="1:11" ht="12.75" customHeight="1" hidden="1">
      <c r="A32" s="25"/>
      <c r="B32" s="15"/>
      <c r="C32" s="15"/>
      <c r="D32" s="15"/>
      <c r="E32" s="15"/>
      <c r="F32" s="15"/>
      <c r="G32" s="15"/>
      <c r="H32" s="15"/>
      <c r="I32" s="156" t="s">
        <v>70</v>
      </c>
      <c r="J32" s="156"/>
      <c r="K32" s="156"/>
    </row>
    <row r="33" spans="1:8" ht="12.75" hidden="1">
      <c r="A33" s="25"/>
      <c r="B33" s="15"/>
      <c r="C33" s="15"/>
      <c r="D33" s="15"/>
      <c r="E33" s="15"/>
      <c r="F33" s="15"/>
      <c r="G33" s="15"/>
      <c r="H33" s="15"/>
    </row>
    <row r="34" spans="1:8" ht="12.75" hidden="1">
      <c r="A34" s="25"/>
      <c r="B34" s="15"/>
      <c r="C34" s="15"/>
      <c r="D34" s="15"/>
      <c r="E34" s="15"/>
      <c r="F34" s="15"/>
      <c r="G34" s="15"/>
      <c r="H34" s="15"/>
    </row>
    <row r="35" spans="1:8" ht="12.75" hidden="1">
      <c r="A35" s="25"/>
      <c r="B35" s="15"/>
      <c r="C35" s="15"/>
      <c r="D35" s="15"/>
      <c r="E35" s="15"/>
      <c r="F35" s="15"/>
      <c r="G35" s="15"/>
      <c r="H35" s="15"/>
    </row>
    <row r="36" ht="12.75" hidden="1"/>
    <row r="37" spans="1:36" ht="12.75" customHeight="1" hidden="1">
      <c r="A37" s="145" t="s">
        <v>42</v>
      </c>
      <c r="B37" s="145"/>
      <c r="C37" s="145"/>
      <c r="D37" s="145"/>
      <c r="E37" s="145"/>
      <c r="F37" s="145"/>
      <c r="H37" s="1" t="s">
        <v>41</v>
      </c>
      <c r="I37" s="28"/>
      <c r="J37" s="28"/>
      <c r="K37" s="28"/>
      <c r="L37" s="28"/>
      <c r="M37" s="28"/>
      <c r="N37" s="28"/>
      <c r="V37" s="1" t="s">
        <v>55</v>
      </c>
      <c r="AJ37" s="1" t="s">
        <v>58</v>
      </c>
    </row>
    <row r="38" spans="1:41" ht="12.75" hidden="1">
      <c r="A38" s="142"/>
      <c r="B38" s="142"/>
      <c r="C38" s="142"/>
      <c r="D38" s="4" t="s">
        <v>3</v>
      </c>
      <c r="E38" s="21">
        <f>K8</f>
        <v>370.57</v>
      </c>
      <c r="F38" s="21">
        <f>E38</f>
        <v>370.57</v>
      </c>
      <c r="H38" s="142"/>
      <c r="I38" s="142"/>
      <c r="J38" s="142"/>
      <c r="K38" s="4" t="s">
        <v>3</v>
      </c>
      <c r="L38" s="21">
        <f>K14</f>
        <v>376.88</v>
      </c>
      <c r="M38" s="21">
        <f>L38</f>
        <v>376.88</v>
      </c>
      <c r="N38" s="23"/>
      <c r="V38" s="142"/>
      <c r="W38" s="142"/>
      <c r="X38" s="142"/>
      <c r="Y38" s="4" t="s">
        <v>3</v>
      </c>
      <c r="Z38" s="21">
        <f>K21</f>
        <v>390.27</v>
      </c>
      <c r="AA38" s="21">
        <f>Z38</f>
        <v>390.27</v>
      </c>
      <c r="AJ38" s="142"/>
      <c r="AK38" s="142"/>
      <c r="AL38" s="142"/>
      <c r="AM38" s="4" t="s">
        <v>3</v>
      </c>
      <c r="AN38" s="21">
        <f>K29</f>
        <v>405.5</v>
      </c>
      <c r="AO38" s="21">
        <f>AN38</f>
        <v>405.5</v>
      </c>
    </row>
    <row r="39" spans="1:41" ht="12.75" hidden="1">
      <c r="A39" s="143" t="s">
        <v>4</v>
      </c>
      <c r="B39" s="143"/>
      <c r="C39" s="143"/>
      <c r="D39" s="5">
        <v>14</v>
      </c>
      <c r="E39" s="6">
        <f>E38/100*D39</f>
        <v>51.879799999999996</v>
      </c>
      <c r="F39" s="7">
        <f aca="true" t="shared" si="0" ref="F39:F45">FLOOR(E39,0.1)</f>
        <v>51.800000000000004</v>
      </c>
      <c r="H39" s="143" t="s">
        <v>4</v>
      </c>
      <c r="I39" s="143"/>
      <c r="J39" s="143"/>
      <c r="K39" s="5">
        <v>14</v>
      </c>
      <c r="L39" s="6">
        <f>L38/100*K39</f>
        <v>52.763200000000005</v>
      </c>
      <c r="M39" s="7">
        <f aca="true" t="shared" si="1" ref="M39:M45">FLOOR(L39,0.1)</f>
        <v>52.7</v>
      </c>
      <c r="N39" s="24"/>
      <c r="V39" s="143" t="s">
        <v>4</v>
      </c>
      <c r="W39" s="143"/>
      <c r="X39" s="143"/>
      <c r="Y39" s="5">
        <v>14</v>
      </c>
      <c r="Z39" s="6">
        <f>Z38/100*Y39</f>
        <v>54.6378</v>
      </c>
      <c r="AA39" s="7">
        <f aca="true" t="shared" si="2" ref="AA39:AA45">FLOOR(Z39,0.1)</f>
        <v>54.6</v>
      </c>
      <c r="AJ39" s="143" t="s">
        <v>4</v>
      </c>
      <c r="AK39" s="143"/>
      <c r="AL39" s="143"/>
      <c r="AM39" s="5">
        <v>14</v>
      </c>
      <c r="AN39" s="6">
        <f>AN38/100*AM39</f>
        <v>56.769999999999996</v>
      </c>
      <c r="AO39" s="7">
        <f aca="true" t="shared" si="3" ref="AO39:AO45">FLOOR(AN39,0.1)</f>
        <v>56.7</v>
      </c>
    </row>
    <row r="40" spans="1:41" ht="12.75" hidden="1">
      <c r="A40" s="138" t="s">
        <v>5</v>
      </c>
      <c r="B40" s="138"/>
      <c r="C40" s="138"/>
      <c r="D40" s="8">
        <v>1.4</v>
      </c>
      <c r="E40" s="6">
        <f>E38/100*D40</f>
        <v>5.18798</v>
      </c>
      <c r="F40" s="7">
        <f t="shared" si="0"/>
        <v>5.1000000000000005</v>
      </c>
      <c r="H40" s="138" t="s">
        <v>5</v>
      </c>
      <c r="I40" s="138"/>
      <c r="J40" s="138"/>
      <c r="K40" s="8">
        <v>1.4</v>
      </c>
      <c r="L40" s="6">
        <f>L38/100*K40</f>
        <v>5.27632</v>
      </c>
      <c r="M40" s="7">
        <f t="shared" si="1"/>
        <v>5.2</v>
      </c>
      <c r="N40" s="24"/>
      <c r="V40" s="138" t="s">
        <v>5</v>
      </c>
      <c r="W40" s="138"/>
      <c r="X40" s="138"/>
      <c r="Y40" s="8">
        <v>1.4</v>
      </c>
      <c r="Z40" s="6">
        <f>Z38/100*Y40</f>
        <v>5.46378</v>
      </c>
      <c r="AA40" s="7">
        <f t="shared" si="2"/>
        <v>5.4</v>
      </c>
      <c r="AJ40" s="138" t="s">
        <v>5</v>
      </c>
      <c r="AK40" s="138"/>
      <c r="AL40" s="138"/>
      <c r="AM40" s="8">
        <v>1.4</v>
      </c>
      <c r="AN40" s="6">
        <f>AN38/100*AM40</f>
        <v>5.677</v>
      </c>
      <c r="AO40" s="7">
        <f t="shared" si="3"/>
        <v>5.6000000000000005</v>
      </c>
    </row>
    <row r="41" spans="1:41" ht="12.75" hidden="1">
      <c r="A41" s="4" t="s">
        <v>6</v>
      </c>
      <c r="B41" s="4"/>
      <c r="C41" s="4"/>
      <c r="D41" s="8">
        <v>1</v>
      </c>
      <c r="E41" s="6">
        <f>E38/100*D41</f>
        <v>3.7056999999999998</v>
      </c>
      <c r="F41" s="7">
        <f t="shared" si="0"/>
        <v>3.7</v>
      </c>
      <c r="H41" s="4" t="s">
        <v>6</v>
      </c>
      <c r="I41" s="4"/>
      <c r="J41" s="4"/>
      <c r="K41" s="8">
        <v>1</v>
      </c>
      <c r="L41" s="6">
        <f>L38/100*K41</f>
        <v>3.7688</v>
      </c>
      <c r="M41" s="7">
        <f t="shared" si="1"/>
        <v>3.7</v>
      </c>
      <c r="N41" s="24"/>
      <c r="V41" s="4" t="s">
        <v>6</v>
      </c>
      <c r="W41" s="4"/>
      <c r="X41" s="4"/>
      <c r="Y41" s="8">
        <v>1</v>
      </c>
      <c r="Z41" s="6">
        <f>Z38/100*Y41</f>
        <v>3.9027</v>
      </c>
      <c r="AA41" s="7">
        <f t="shared" si="2"/>
        <v>3.9000000000000004</v>
      </c>
      <c r="AJ41" s="4" t="s">
        <v>6</v>
      </c>
      <c r="AK41" s="4"/>
      <c r="AL41" s="4"/>
      <c r="AM41" s="8">
        <v>1</v>
      </c>
      <c r="AN41" s="6">
        <f>AN38/100*AM41</f>
        <v>4.055</v>
      </c>
      <c r="AO41" s="7">
        <f t="shared" si="3"/>
        <v>4</v>
      </c>
    </row>
    <row r="42" spans="1:41" ht="12.75" hidden="1">
      <c r="A42" s="138" t="s">
        <v>7</v>
      </c>
      <c r="B42" s="138"/>
      <c r="C42" s="138"/>
      <c r="D42" s="8">
        <v>3</v>
      </c>
      <c r="E42" s="6">
        <f>E38/100*D42</f>
        <v>11.117099999999999</v>
      </c>
      <c r="F42" s="7">
        <f t="shared" si="0"/>
        <v>11.100000000000001</v>
      </c>
      <c r="H42" s="138" t="s">
        <v>7</v>
      </c>
      <c r="I42" s="138"/>
      <c r="J42" s="138"/>
      <c r="K42" s="8">
        <v>3</v>
      </c>
      <c r="L42" s="6">
        <f>L38/100*K42</f>
        <v>11.3064</v>
      </c>
      <c r="M42" s="7">
        <f t="shared" si="1"/>
        <v>11.3</v>
      </c>
      <c r="N42" s="24"/>
      <c r="V42" s="138" t="s">
        <v>7</v>
      </c>
      <c r="W42" s="138"/>
      <c r="X42" s="138"/>
      <c r="Y42" s="8">
        <v>3</v>
      </c>
      <c r="Z42" s="6">
        <f>Z38/100*Y42</f>
        <v>11.7081</v>
      </c>
      <c r="AA42" s="7">
        <f t="shared" si="2"/>
        <v>11.700000000000001</v>
      </c>
      <c r="AJ42" s="138" t="s">
        <v>7</v>
      </c>
      <c r="AK42" s="138"/>
      <c r="AL42" s="138"/>
      <c r="AM42" s="8">
        <v>3</v>
      </c>
      <c r="AN42" s="6">
        <f>AN38/100*AM42</f>
        <v>12.165</v>
      </c>
      <c r="AO42" s="7">
        <f t="shared" si="3"/>
        <v>12.100000000000001</v>
      </c>
    </row>
    <row r="43" spans="1:41" ht="12.75" hidden="1">
      <c r="A43" s="138" t="s">
        <v>8</v>
      </c>
      <c r="B43" s="138"/>
      <c r="C43" s="138"/>
      <c r="D43" s="8">
        <v>0.8</v>
      </c>
      <c r="E43" s="6">
        <f>E38/100*D43</f>
        <v>2.96456</v>
      </c>
      <c r="F43" s="7">
        <f t="shared" si="0"/>
        <v>2.9000000000000004</v>
      </c>
      <c r="H43" s="138" t="s">
        <v>8</v>
      </c>
      <c r="I43" s="138"/>
      <c r="J43" s="138"/>
      <c r="K43" s="8">
        <v>0.8</v>
      </c>
      <c r="L43" s="6">
        <f>L38/100*K43</f>
        <v>3.0150400000000004</v>
      </c>
      <c r="M43" s="7">
        <f t="shared" si="1"/>
        <v>3</v>
      </c>
      <c r="N43" s="24"/>
      <c r="V43" s="138" t="s">
        <v>8</v>
      </c>
      <c r="W43" s="138"/>
      <c r="X43" s="138"/>
      <c r="Y43" s="8">
        <v>0.8</v>
      </c>
      <c r="Z43" s="6">
        <f>Z38/100*Y43</f>
        <v>3.12216</v>
      </c>
      <c r="AA43" s="7">
        <f t="shared" si="2"/>
        <v>3.1</v>
      </c>
      <c r="AJ43" s="138" t="s">
        <v>8</v>
      </c>
      <c r="AK43" s="138"/>
      <c r="AL43" s="138"/>
      <c r="AM43" s="8">
        <v>0.8</v>
      </c>
      <c r="AN43" s="6">
        <f>AN38/100*AM43</f>
        <v>3.2439999999999998</v>
      </c>
      <c r="AO43" s="7">
        <f t="shared" si="3"/>
        <v>3.2</v>
      </c>
    </row>
    <row r="44" spans="1:41" ht="12.75" hidden="1">
      <c r="A44" s="138" t="s">
        <v>9</v>
      </c>
      <c r="B44" s="138"/>
      <c r="C44" s="138"/>
      <c r="D44" s="8">
        <v>0.25</v>
      </c>
      <c r="E44" s="6">
        <f>E38/100*D44</f>
        <v>0.9264249999999999</v>
      </c>
      <c r="F44" s="7">
        <f t="shared" si="0"/>
        <v>0.9</v>
      </c>
      <c r="H44" s="138" t="s">
        <v>9</v>
      </c>
      <c r="I44" s="138"/>
      <c r="J44" s="138"/>
      <c r="K44" s="8">
        <v>0.25</v>
      </c>
      <c r="L44" s="6">
        <f>L38/100*K44</f>
        <v>0.9422</v>
      </c>
      <c r="M44" s="7">
        <f t="shared" si="1"/>
        <v>0.9</v>
      </c>
      <c r="N44" s="24"/>
      <c r="V44" s="138" t="s">
        <v>9</v>
      </c>
      <c r="W44" s="138"/>
      <c r="X44" s="138"/>
      <c r="Y44" s="8">
        <v>0.25</v>
      </c>
      <c r="Z44" s="6">
        <f>Z38/100*Y44</f>
        <v>0.975675</v>
      </c>
      <c r="AA44" s="7">
        <f t="shared" si="2"/>
        <v>0.9</v>
      </c>
      <c r="AJ44" s="138" t="s">
        <v>9</v>
      </c>
      <c r="AK44" s="138"/>
      <c r="AL44" s="138"/>
      <c r="AM44" s="8">
        <v>0.25</v>
      </c>
      <c r="AN44" s="6">
        <f>AN38/100*AM44</f>
        <v>1.01375</v>
      </c>
      <c r="AO44" s="7">
        <f t="shared" si="3"/>
        <v>1</v>
      </c>
    </row>
    <row r="45" spans="1:41" ht="12.75" hidden="1">
      <c r="A45" s="138" t="s">
        <v>10</v>
      </c>
      <c r="B45" s="138"/>
      <c r="C45" s="138"/>
      <c r="D45" s="8">
        <v>4.75</v>
      </c>
      <c r="E45" s="6">
        <f>E38/100*D45</f>
        <v>17.602075</v>
      </c>
      <c r="F45" s="7">
        <f t="shared" si="0"/>
        <v>17.6</v>
      </c>
      <c r="H45" s="138" t="s">
        <v>10</v>
      </c>
      <c r="I45" s="138"/>
      <c r="J45" s="138"/>
      <c r="K45" s="8">
        <v>4.75</v>
      </c>
      <c r="L45" s="6">
        <f>L38/100*K45</f>
        <v>17.9018</v>
      </c>
      <c r="M45" s="7">
        <f t="shared" si="1"/>
        <v>17.900000000000002</v>
      </c>
      <c r="N45" s="24"/>
      <c r="V45" s="138" t="s">
        <v>10</v>
      </c>
      <c r="W45" s="138"/>
      <c r="X45" s="138"/>
      <c r="Y45" s="8">
        <v>4.75</v>
      </c>
      <c r="Z45" s="6">
        <f>Z38/100*Y45</f>
        <v>18.537824999999998</v>
      </c>
      <c r="AA45" s="7">
        <f t="shared" si="2"/>
        <v>18.5</v>
      </c>
      <c r="AJ45" s="138" t="s">
        <v>10</v>
      </c>
      <c r="AK45" s="138"/>
      <c r="AL45" s="138"/>
      <c r="AM45" s="8">
        <v>4.75</v>
      </c>
      <c r="AN45" s="6">
        <f>AN38/100*AM45</f>
        <v>19.261249999999997</v>
      </c>
      <c r="AO45" s="7">
        <f t="shared" si="3"/>
        <v>19.200000000000003</v>
      </c>
    </row>
    <row r="46" spans="1:41" ht="12.75" hidden="1">
      <c r="A46" s="138" t="s">
        <v>11</v>
      </c>
      <c r="B46" s="138"/>
      <c r="C46" s="138"/>
      <c r="D46" s="8">
        <v>10</v>
      </c>
      <c r="E46" s="6">
        <f>E38/100*D46</f>
        <v>37.056999999999995</v>
      </c>
      <c r="F46" s="7">
        <f>FLOOR(E46,0.01)</f>
        <v>37.050000000000004</v>
      </c>
      <c r="H46" s="138" t="s">
        <v>11</v>
      </c>
      <c r="I46" s="138"/>
      <c r="J46" s="138"/>
      <c r="K46" s="8">
        <v>10</v>
      </c>
      <c r="L46" s="6">
        <f>L38/100*K46</f>
        <v>37.688</v>
      </c>
      <c r="M46" s="7">
        <f>FLOOR(L46,0.01)</f>
        <v>37.68</v>
      </c>
      <c r="N46" s="24"/>
      <c r="V46" s="138" t="s">
        <v>11</v>
      </c>
      <c r="W46" s="138"/>
      <c r="X46" s="138"/>
      <c r="Y46" s="8">
        <v>10</v>
      </c>
      <c r="Z46" s="6">
        <f>Z38/100*Y46</f>
        <v>39.027</v>
      </c>
      <c r="AA46" s="7">
        <f>FLOOR(Z46,0.01)</f>
        <v>39.02</v>
      </c>
      <c r="AJ46" s="138" t="s">
        <v>11</v>
      </c>
      <c r="AK46" s="138"/>
      <c r="AL46" s="138"/>
      <c r="AM46" s="8">
        <v>10</v>
      </c>
      <c r="AN46" s="6">
        <f>AN38/100*AM46</f>
        <v>40.55</v>
      </c>
      <c r="AO46" s="7">
        <f>FLOOR(AN46,0.01)</f>
        <v>40.550000000000004</v>
      </c>
    </row>
    <row r="47" spans="1:41" ht="12.75" hidden="1">
      <c r="A47" s="131" t="s">
        <v>12</v>
      </c>
      <c r="B47" s="132"/>
      <c r="C47" s="133"/>
      <c r="D47" s="9">
        <f>SUM(D39:D46)</f>
        <v>35.2</v>
      </c>
      <c r="E47" s="6">
        <f>SUM(E39:E46)</f>
        <v>130.44064</v>
      </c>
      <c r="F47" s="22">
        <f>SUM(F39:F46)</f>
        <v>130.15000000000003</v>
      </c>
      <c r="H47" s="131" t="s">
        <v>12</v>
      </c>
      <c r="I47" s="132"/>
      <c r="J47" s="133"/>
      <c r="K47" s="9">
        <f>SUM(K39:K46)</f>
        <v>35.2</v>
      </c>
      <c r="L47" s="6">
        <f>SUM(L39:L46)</f>
        <v>132.66176000000002</v>
      </c>
      <c r="M47" s="22">
        <f>SUM(M39:M46)</f>
        <v>132.38000000000002</v>
      </c>
      <c r="N47" s="24"/>
      <c r="V47" s="131" t="s">
        <v>12</v>
      </c>
      <c r="W47" s="132"/>
      <c r="X47" s="133"/>
      <c r="Y47" s="9">
        <f>SUM(Y39:Y46)</f>
        <v>35.2</v>
      </c>
      <c r="Z47" s="6">
        <f>SUM(Z39:Z46)</f>
        <v>137.37503999999998</v>
      </c>
      <c r="AA47" s="22">
        <f>SUM(AA39:AA46)</f>
        <v>137.12</v>
      </c>
      <c r="AJ47" s="131" t="s">
        <v>12</v>
      </c>
      <c r="AK47" s="132"/>
      <c r="AL47" s="133"/>
      <c r="AM47" s="9">
        <f>SUM(AM39:AM46)</f>
        <v>35.2</v>
      </c>
      <c r="AN47" s="6">
        <f>SUM(AN39:AN46)</f>
        <v>142.736</v>
      </c>
      <c r="AO47" s="22">
        <f>SUM(AO39:AO46)</f>
        <v>142.35000000000002</v>
      </c>
    </row>
    <row r="48" ht="12.75" hidden="1">
      <c r="N48" s="2"/>
    </row>
    <row r="49" spans="1:41" ht="12.75" hidden="1">
      <c r="A49" s="134" t="s">
        <v>13</v>
      </c>
      <c r="B49" s="134"/>
      <c r="C49" s="134"/>
      <c r="E49" s="10">
        <f>E38+E47</f>
        <v>501.01063999999997</v>
      </c>
      <c r="F49" s="11">
        <f>F38+F47</f>
        <v>500.72</v>
      </c>
      <c r="H49" s="134" t="s">
        <v>13</v>
      </c>
      <c r="I49" s="134"/>
      <c r="J49" s="134"/>
      <c r="L49" s="10">
        <f>L38+L47</f>
        <v>509.54176</v>
      </c>
      <c r="M49" s="11">
        <f>M38+M47</f>
        <v>509.26</v>
      </c>
      <c r="N49" s="23"/>
      <c r="V49" s="134" t="s">
        <v>13</v>
      </c>
      <c r="W49" s="134"/>
      <c r="X49" s="134"/>
      <c r="Z49" s="10">
        <f>Z38+Z47</f>
        <v>527.64504</v>
      </c>
      <c r="AA49" s="11">
        <f>AA38+AA47</f>
        <v>527.39</v>
      </c>
      <c r="AJ49" s="134" t="s">
        <v>13</v>
      </c>
      <c r="AK49" s="134"/>
      <c r="AL49" s="134"/>
      <c r="AN49" s="10">
        <f>AN38+AN47</f>
        <v>548.236</v>
      </c>
      <c r="AO49" s="11">
        <f>AO38+AO47</f>
        <v>547.85</v>
      </c>
    </row>
    <row r="50" spans="9:14" ht="12.75" hidden="1">
      <c r="I50" s="2"/>
      <c r="J50" s="2"/>
      <c r="K50" s="2"/>
      <c r="L50" s="2"/>
      <c r="M50" s="2"/>
      <c r="N50" s="2"/>
    </row>
    <row r="51" spans="9:14" ht="12.75" hidden="1">
      <c r="I51" s="2"/>
      <c r="J51" s="2"/>
      <c r="K51" s="2"/>
      <c r="L51" s="2"/>
      <c r="M51" s="2"/>
      <c r="N51" s="2"/>
    </row>
    <row r="52" spans="1:43" ht="12.75" hidden="1">
      <c r="A52" s="145" t="s">
        <v>43</v>
      </c>
      <c r="B52" s="145"/>
      <c r="C52" s="145"/>
      <c r="D52" s="145"/>
      <c r="E52" s="145"/>
      <c r="F52" s="145"/>
      <c r="H52" s="1" t="s">
        <v>50</v>
      </c>
      <c r="I52" s="2"/>
      <c r="J52" s="2"/>
      <c r="K52" s="2"/>
      <c r="L52" s="2"/>
      <c r="M52" s="2"/>
      <c r="N52" s="2"/>
      <c r="O52" s="1" t="s">
        <v>51</v>
      </c>
      <c r="P52" s="2"/>
      <c r="Q52" s="2"/>
      <c r="R52" s="2"/>
      <c r="S52" s="2"/>
      <c r="T52" s="2"/>
      <c r="V52" s="1" t="s">
        <v>71</v>
      </c>
      <c r="AC52" s="1" t="s">
        <v>72</v>
      </c>
      <c r="AJ52" s="1" t="s">
        <v>73</v>
      </c>
      <c r="AQ52" s="1" t="s">
        <v>74</v>
      </c>
    </row>
    <row r="53" spans="1:48" ht="12.75" hidden="1">
      <c r="A53" s="142"/>
      <c r="B53" s="142"/>
      <c r="C53" s="142"/>
      <c r="D53" s="4" t="s">
        <v>3</v>
      </c>
      <c r="E53" s="21">
        <f>K9</f>
        <v>307.7</v>
      </c>
      <c r="F53" s="21">
        <f>E53</f>
        <v>307.7</v>
      </c>
      <c r="H53" s="142"/>
      <c r="I53" s="142"/>
      <c r="J53" s="142"/>
      <c r="K53" s="4" t="s">
        <v>3</v>
      </c>
      <c r="L53" s="21">
        <f>K15</f>
        <v>317</v>
      </c>
      <c r="M53" s="21">
        <f>L53</f>
        <v>317</v>
      </c>
      <c r="N53" s="2"/>
      <c r="O53" s="142"/>
      <c r="P53" s="142"/>
      <c r="Q53" s="142"/>
      <c r="R53" s="4" t="s">
        <v>3</v>
      </c>
      <c r="S53" s="21">
        <f>K16</f>
        <v>328.8</v>
      </c>
      <c r="T53" s="21">
        <f>S53</f>
        <v>328.8</v>
      </c>
      <c r="V53" s="142"/>
      <c r="W53" s="142"/>
      <c r="X53" s="142"/>
      <c r="Y53" s="4" t="s">
        <v>3</v>
      </c>
      <c r="Z53" s="21">
        <f>K22</f>
        <v>329.046</v>
      </c>
      <c r="AA53" s="21">
        <f>Z53</f>
        <v>329.046</v>
      </c>
      <c r="AC53" s="142"/>
      <c r="AD53" s="142"/>
      <c r="AE53" s="142"/>
      <c r="AF53" s="4" t="s">
        <v>3</v>
      </c>
      <c r="AG53" s="21">
        <f>K23</f>
        <v>341.5404</v>
      </c>
      <c r="AH53" s="21">
        <f>AG53</f>
        <v>341.5404</v>
      </c>
      <c r="AJ53" s="142"/>
      <c r="AK53" s="142"/>
      <c r="AL53" s="142"/>
      <c r="AM53" s="4" t="s">
        <v>3</v>
      </c>
      <c r="AN53" s="21">
        <f>K30</f>
        <v>342.20784</v>
      </c>
      <c r="AO53" s="21">
        <f>AN53</f>
        <v>342.20784</v>
      </c>
      <c r="AQ53" s="142"/>
      <c r="AR53" s="142"/>
      <c r="AS53" s="142"/>
      <c r="AT53" s="4" t="s">
        <v>3</v>
      </c>
      <c r="AU53" s="21">
        <f>K31</f>
        <v>355.20201599999996</v>
      </c>
      <c r="AV53" s="21">
        <f>AU53</f>
        <v>355.20201599999996</v>
      </c>
    </row>
    <row r="54" spans="1:48" ht="12.75" hidden="1">
      <c r="A54" s="143" t="s">
        <v>4</v>
      </c>
      <c r="B54" s="143"/>
      <c r="C54" s="143"/>
      <c r="D54" s="5">
        <v>14</v>
      </c>
      <c r="E54" s="6">
        <f>E53/100*D54</f>
        <v>43.078</v>
      </c>
      <c r="F54" s="7">
        <f aca="true" t="shared" si="4" ref="F54:F60">FLOOR(E54,0.1)</f>
        <v>43</v>
      </c>
      <c r="H54" s="143" t="s">
        <v>4</v>
      </c>
      <c r="I54" s="143"/>
      <c r="J54" s="143"/>
      <c r="K54" s="5">
        <v>14</v>
      </c>
      <c r="L54" s="6">
        <f>L53/100*K54</f>
        <v>44.379999999999995</v>
      </c>
      <c r="M54" s="7">
        <f aca="true" t="shared" si="5" ref="M54:M60">FLOOR(L54,0.1)</f>
        <v>44.300000000000004</v>
      </c>
      <c r="N54" s="2"/>
      <c r="O54" s="143" t="s">
        <v>4</v>
      </c>
      <c r="P54" s="143"/>
      <c r="Q54" s="143"/>
      <c r="R54" s="5">
        <v>14</v>
      </c>
      <c r="S54" s="6">
        <f>S53/100*R54</f>
        <v>46.032000000000004</v>
      </c>
      <c r="T54" s="7">
        <f aca="true" t="shared" si="6" ref="T54:T60">FLOOR(S54,0.1)</f>
        <v>46</v>
      </c>
      <c r="V54" s="143" t="s">
        <v>4</v>
      </c>
      <c r="W54" s="143"/>
      <c r="X54" s="143"/>
      <c r="Y54" s="5">
        <v>14</v>
      </c>
      <c r="Z54" s="6">
        <f>Z53/100*Y54</f>
        <v>46.06644</v>
      </c>
      <c r="AA54" s="7">
        <f aca="true" t="shared" si="7" ref="AA54:AA60">FLOOR(Z54,0.1)</f>
        <v>46</v>
      </c>
      <c r="AC54" s="143" t="s">
        <v>4</v>
      </c>
      <c r="AD54" s="143"/>
      <c r="AE54" s="143"/>
      <c r="AF54" s="5">
        <v>14</v>
      </c>
      <c r="AG54" s="6">
        <f>AG53/100*AF54</f>
        <v>47.815656</v>
      </c>
      <c r="AH54" s="7">
        <f aca="true" t="shared" si="8" ref="AH54:AH60">FLOOR(AG54,0.1)</f>
        <v>47.800000000000004</v>
      </c>
      <c r="AJ54" s="143" t="s">
        <v>4</v>
      </c>
      <c r="AK54" s="143"/>
      <c r="AL54" s="143"/>
      <c r="AM54" s="5">
        <v>14</v>
      </c>
      <c r="AN54" s="6">
        <f>AN53/100*AM54</f>
        <v>47.909097599999996</v>
      </c>
      <c r="AO54" s="7">
        <f aca="true" t="shared" si="9" ref="AO54:AO60">FLOOR(AN54,0.1)</f>
        <v>47.900000000000006</v>
      </c>
      <c r="AQ54" s="143" t="s">
        <v>4</v>
      </c>
      <c r="AR54" s="143"/>
      <c r="AS54" s="143"/>
      <c r="AT54" s="5">
        <v>14</v>
      </c>
      <c r="AU54" s="6">
        <f>AU53/100*AT54</f>
        <v>49.72828224</v>
      </c>
      <c r="AV54" s="7">
        <f aca="true" t="shared" si="10" ref="AV54:AV60">FLOOR(AU54,0.1)</f>
        <v>49.7</v>
      </c>
    </row>
    <row r="55" spans="1:48" ht="12.75" hidden="1">
      <c r="A55" s="138" t="s">
        <v>5</v>
      </c>
      <c r="B55" s="138"/>
      <c r="C55" s="138"/>
      <c r="D55" s="8">
        <v>1.4</v>
      </c>
      <c r="E55" s="6">
        <f>E53/100*D55</f>
        <v>4.307799999999999</v>
      </c>
      <c r="F55" s="7">
        <f t="shared" si="4"/>
        <v>4.3</v>
      </c>
      <c r="H55" s="138" t="s">
        <v>5</v>
      </c>
      <c r="I55" s="138"/>
      <c r="J55" s="138"/>
      <c r="K55" s="8">
        <v>1.4</v>
      </c>
      <c r="L55" s="6">
        <f>L53/100*K55</f>
        <v>4.438</v>
      </c>
      <c r="M55" s="7">
        <f t="shared" si="5"/>
        <v>4.4</v>
      </c>
      <c r="N55" s="2"/>
      <c r="O55" s="138" t="s">
        <v>5</v>
      </c>
      <c r="P55" s="138"/>
      <c r="Q55" s="138"/>
      <c r="R55" s="8">
        <v>1.4</v>
      </c>
      <c r="S55" s="6">
        <f>S53/100*R55</f>
        <v>4.6032</v>
      </c>
      <c r="T55" s="7">
        <f t="shared" si="6"/>
        <v>4.6000000000000005</v>
      </c>
      <c r="V55" s="138" t="s">
        <v>5</v>
      </c>
      <c r="W55" s="138"/>
      <c r="X55" s="138"/>
      <c r="Y55" s="8">
        <v>1.4</v>
      </c>
      <c r="Z55" s="6">
        <f>Z53/100*Y55</f>
        <v>4.606643999999999</v>
      </c>
      <c r="AA55" s="7">
        <f t="shared" si="7"/>
        <v>4.6000000000000005</v>
      </c>
      <c r="AC55" s="138" t="s">
        <v>5</v>
      </c>
      <c r="AD55" s="138"/>
      <c r="AE55" s="138"/>
      <c r="AF55" s="8">
        <v>1.4</v>
      </c>
      <c r="AG55" s="6">
        <f>AG53/100*AF55</f>
        <v>4.7815655999999995</v>
      </c>
      <c r="AH55" s="7">
        <f t="shared" si="8"/>
        <v>4.7</v>
      </c>
      <c r="AJ55" s="138" t="s">
        <v>5</v>
      </c>
      <c r="AK55" s="138"/>
      <c r="AL55" s="138"/>
      <c r="AM55" s="8">
        <v>1.4</v>
      </c>
      <c r="AN55" s="6">
        <f>AN53/100*AM55</f>
        <v>4.790909759999999</v>
      </c>
      <c r="AO55" s="7">
        <f t="shared" si="9"/>
        <v>4.7</v>
      </c>
      <c r="AQ55" s="138" t="s">
        <v>5</v>
      </c>
      <c r="AR55" s="138"/>
      <c r="AS55" s="138"/>
      <c r="AT55" s="8">
        <v>1.4</v>
      </c>
      <c r="AU55" s="6">
        <f>AU53/100*AT55</f>
        <v>4.972828223999999</v>
      </c>
      <c r="AV55" s="7">
        <f t="shared" si="10"/>
        <v>4.9</v>
      </c>
    </row>
    <row r="56" spans="1:48" ht="12.75" hidden="1">
      <c r="A56" s="4" t="s">
        <v>6</v>
      </c>
      <c r="B56" s="4"/>
      <c r="C56" s="4"/>
      <c r="D56" s="8">
        <v>1</v>
      </c>
      <c r="E56" s="6">
        <f>E53/100*D56</f>
        <v>3.077</v>
      </c>
      <c r="F56" s="7">
        <f t="shared" si="4"/>
        <v>3</v>
      </c>
      <c r="H56" s="4" t="s">
        <v>6</v>
      </c>
      <c r="I56" s="4"/>
      <c r="J56" s="4"/>
      <c r="K56" s="8">
        <v>1</v>
      </c>
      <c r="L56" s="6">
        <f>L53/100*K56</f>
        <v>3.17</v>
      </c>
      <c r="M56" s="7">
        <f t="shared" si="5"/>
        <v>3.1</v>
      </c>
      <c r="N56" s="2"/>
      <c r="O56" s="4" t="s">
        <v>6</v>
      </c>
      <c r="P56" s="4"/>
      <c r="Q56" s="4"/>
      <c r="R56" s="8">
        <v>1</v>
      </c>
      <c r="S56" s="6">
        <f>S53/100*R56</f>
        <v>3.2880000000000003</v>
      </c>
      <c r="T56" s="7">
        <f t="shared" si="6"/>
        <v>3.2</v>
      </c>
      <c r="V56" s="4" t="s">
        <v>6</v>
      </c>
      <c r="W56" s="4"/>
      <c r="X56" s="4"/>
      <c r="Y56" s="8">
        <v>1</v>
      </c>
      <c r="Z56" s="6">
        <f>Z53/100*Y56</f>
        <v>3.29046</v>
      </c>
      <c r="AA56" s="7">
        <f t="shared" si="7"/>
        <v>3.2</v>
      </c>
      <c r="AC56" s="4" t="s">
        <v>6</v>
      </c>
      <c r="AD56" s="4"/>
      <c r="AE56" s="4"/>
      <c r="AF56" s="8">
        <v>1</v>
      </c>
      <c r="AG56" s="6">
        <f>AG53/100*AF56</f>
        <v>3.4154039999999997</v>
      </c>
      <c r="AH56" s="7">
        <f t="shared" si="8"/>
        <v>3.4000000000000004</v>
      </c>
      <c r="AJ56" s="4" t="s">
        <v>6</v>
      </c>
      <c r="AK56" s="4"/>
      <c r="AL56" s="4"/>
      <c r="AM56" s="8">
        <v>1</v>
      </c>
      <c r="AN56" s="6">
        <f>AN53/100*AM56</f>
        <v>3.4220783999999997</v>
      </c>
      <c r="AO56" s="7">
        <f t="shared" si="9"/>
        <v>3.4000000000000004</v>
      </c>
      <c r="AQ56" s="4" t="s">
        <v>6</v>
      </c>
      <c r="AR56" s="4"/>
      <c r="AS56" s="4"/>
      <c r="AT56" s="8">
        <v>1</v>
      </c>
      <c r="AU56" s="6">
        <f>AU53/100*AT56</f>
        <v>3.5520201599999996</v>
      </c>
      <c r="AV56" s="7">
        <f t="shared" si="10"/>
        <v>3.5</v>
      </c>
    </row>
    <row r="57" spans="1:48" ht="12.75" hidden="1">
      <c r="A57" s="138" t="s">
        <v>7</v>
      </c>
      <c r="B57" s="138"/>
      <c r="C57" s="138"/>
      <c r="D57" s="8">
        <v>3</v>
      </c>
      <c r="E57" s="6">
        <f>E53/100*D57</f>
        <v>9.231</v>
      </c>
      <c r="F57" s="7">
        <f t="shared" si="4"/>
        <v>9.200000000000001</v>
      </c>
      <c r="H57" s="138" t="s">
        <v>7</v>
      </c>
      <c r="I57" s="138"/>
      <c r="J57" s="138"/>
      <c r="K57" s="8">
        <v>3</v>
      </c>
      <c r="L57" s="6">
        <f>L53/100*K57</f>
        <v>9.51</v>
      </c>
      <c r="M57" s="7">
        <f t="shared" si="5"/>
        <v>9.5</v>
      </c>
      <c r="N57" s="2"/>
      <c r="O57" s="138" t="s">
        <v>7</v>
      </c>
      <c r="P57" s="138"/>
      <c r="Q57" s="138"/>
      <c r="R57" s="8">
        <v>3</v>
      </c>
      <c r="S57" s="6">
        <f>S53/100*R57</f>
        <v>9.864</v>
      </c>
      <c r="T57" s="7">
        <f t="shared" si="6"/>
        <v>9.8</v>
      </c>
      <c r="V57" s="138" t="s">
        <v>7</v>
      </c>
      <c r="W57" s="138"/>
      <c r="X57" s="138"/>
      <c r="Y57" s="8">
        <v>3</v>
      </c>
      <c r="Z57" s="6">
        <f>Z53/100*Y57</f>
        <v>9.87138</v>
      </c>
      <c r="AA57" s="7">
        <f t="shared" si="7"/>
        <v>9.8</v>
      </c>
      <c r="AC57" s="138" t="s">
        <v>7</v>
      </c>
      <c r="AD57" s="138"/>
      <c r="AE57" s="138"/>
      <c r="AF57" s="8">
        <v>3</v>
      </c>
      <c r="AG57" s="6">
        <f>AG53/100*AF57</f>
        <v>10.246212</v>
      </c>
      <c r="AH57" s="7">
        <f t="shared" si="8"/>
        <v>10.200000000000001</v>
      </c>
      <c r="AJ57" s="138" t="s">
        <v>7</v>
      </c>
      <c r="AK57" s="138"/>
      <c r="AL57" s="138"/>
      <c r="AM57" s="8">
        <v>3</v>
      </c>
      <c r="AN57" s="6">
        <f>AN53/100*AM57</f>
        <v>10.266235199999999</v>
      </c>
      <c r="AO57" s="7">
        <f t="shared" si="9"/>
        <v>10.200000000000001</v>
      </c>
      <c r="AQ57" s="138" t="s">
        <v>7</v>
      </c>
      <c r="AR57" s="138"/>
      <c r="AS57" s="138"/>
      <c r="AT57" s="8">
        <v>3</v>
      </c>
      <c r="AU57" s="6">
        <f>AU53/100*AT57</f>
        <v>10.656060479999999</v>
      </c>
      <c r="AV57" s="7">
        <f t="shared" si="10"/>
        <v>10.600000000000001</v>
      </c>
    </row>
    <row r="58" spans="1:48" ht="12.75" hidden="1">
      <c r="A58" s="138" t="s">
        <v>8</v>
      </c>
      <c r="B58" s="138"/>
      <c r="C58" s="138"/>
      <c r="D58" s="8">
        <v>0.8</v>
      </c>
      <c r="E58" s="6">
        <f>E53/100*D58</f>
        <v>2.4616000000000002</v>
      </c>
      <c r="F58" s="7">
        <f t="shared" si="4"/>
        <v>2.4000000000000004</v>
      </c>
      <c r="H58" s="138" t="s">
        <v>8</v>
      </c>
      <c r="I58" s="138"/>
      <c r="J58" s="138"/>
      <c r="K58" s="8">
        <v>0.8</v>
      </c>
      <c r="L58" s="6">
        <f>L53/100*K58</f>
        <v>2.536</v>
      </c>
      <c r="M58" s="7">
        <f t="shared" si="5"/>
        <v>2.5</v>
      </c>
      <c r="N58" s="2"/>
      <c r="O58" s="138" t="s">
        <v>8</v>
      </c>
      <c r="P58" s="138"/>
      <c r="Q58" s="138"/>
      <c r="R58" s="8">
        <v>0.8</v>
      </c>
      <c r="S58" s="6">
        <f>S53/100*R58</f>
        <v>2.6304000000000003</v>
      </c>
      <c r="T58" s="7">
        <f t="shared" si="6"/>
        <v>2.6</v>
      </c>
      <c r="V58" s="138" t="s">
        <v>8</v>
      </c>
      <c r="W58" s="138"/>
      <c r="X58" s="138"/>
      <c r="Y58" s="8">
        <v>0.8</v>
      </c>
      <c r="Z58" s="6">
        <f>Z53/100*Y58</f>
        <v>2.632368</v>
      </c>
      <c r="AA58" s="7">
        <f t="shared" si="7"/>
        <v>2.6</v>
      </c>
      <c r="AC58" s="138" t="s">
        <v>8</v>
      </c>
      <c r="AD58" s="138"/>
      <c r="AE58" s="138"/>
      <c r="AF58" s="8">
        <v>0.8</v>
      </c>
      <c r="AG58" s="6">
        <f>AG53/100*AF58</f>
        <v>2.7323231999999997</v>
      </c>
      <c r="AH58" s="7">
        <f t="shared" si="8"/>
        <v>2.7</v>
      </c>
      <c r="AJ58" s="138" t="s">
        <v>8</v>
      </c>
      <c r="AK58" s="138"/>
      <c r="AL58" s="138"/>
      <c r="AM58" s="8">
        <v>0.8</v>
      </c>
      <c r="AN58" s="6">
        <f>AN53/100*AM58</f>
        <v>2.73766272</v>
      </c>
      <c r="AO58" s="7">
        <f t="shared" si="9"/>
        <v>2.7</v>
      </c>
      <c r="AQ58" s="138" t="s">
        <v>8</v>
      </c>
      <c r="AR58" s="138"/>
      <c r="AS58" s="138"/>
      <c r="AT58" s="8">
        <v>0.8</v>
      </c>
      <c r="AU58" s="6">
        <f>AU53/100*AT58</f>
        <v>2.841616128</v>
      </c>
      <c r="AV58" s="7">
        <f t="shared" si="10"/>
        <v>2.8000000000000003</v>
      </c>
    </row>
    <row r="59" spans="1:48" ht="12.75" hidden="1">
      <c r="A59" s="138" t="s">
        <v>9</v>
      </c>
      <c r="B59" s="138"/>
      <c r="C59" s="138"/>
      <c r="D59" s="8">
        <v>0.25</v>
      </c>
      <c r="E59" s="6">
        <f>E53/100*D59</f>
        <v>0.76925</v>
      </c>
      <c r="F59" s="7">
        <f t="shared" si="4"/>
        <v>0.7000000000000001</v>
      </c>
      <c r="H59" s="138" t="s">
        <v>9</v>
      </c>
      <c r="I59" s="138"/>
      <c r="J59" s="138"/>
      <c r="K59" s="8">
        <v>0.25</v>
      </c>
      <c r="L59" s="6">
        <f>L53/100*K59</f>
        <v>0.7925</v>
      </c>
      <c r="M59" s="7">
        <f t="shared" si="5"/>
        <v>0.7000000000000001</v>
      </c>
      <c r="N59" s="2"/>
      <c r="O59" s="138" t="s">
        <v>9</v>
      </c>
      <c r="P59" s="138"/>
      <c r="Q59" s="138"/>
      <c r="R59" s="8">
        <v>0.25</v>
      </c>
      <c r="S59" s="6">
        <f>S53/100*R59</f>
        <v>0.8220000000000001</v>
      </c>
      <c r="T59" s="7">
        <f t="shared" si="6"/>
        <v>0.8</v>
      </c>
      <c r="V59" s="138" t="s">
        <v>9</v>
      </c>
      <c r="W59" s="138"/>
      <c r="X59" s="138"/>
      <c r="Y59" s="8">
        <v>0.25</v>
      </c>
      <c r="Z59" s="6">
        <f>Z53/100*Y59</f>
        <v>0.822615</v>
      </c>
      <c r="AA59" s="7">
        <f t="shared" si="7"/>
        <v>0.8</v>
      </c>
      <c r="AC59" s="138" t="s">
        <v>9</v>
      </c>
      <c r="AD59" s="138"/>
      <c r="AE59" s="138"/>
      <c r="AF59" s="8">
        <v>0.25</v>
      </c>
      <c r="AG59" s="6">
        <f>AG53/100*AF59</f>
        <v>0.8538509999999999</v>
      </c>
      <c r="AH59" s="7">
        <f t="shared" si="8"/>
        <v>0.8</v>
      </c>
      <c r="AJ59" s="138" t="s">
        <v>9</v>
      </c>
      <c r="AK59" s="138"/>
      <c r="AL59" s="138"/>
      <c r="AM59" s="8">
        <v>0.25</v>
      </c>
      <c r="AN59" s="6">
        <f>AN53/100*AM59</f>
        <v>0.8555195999999999</v>
      </c>
      <c r="AO59" s="7">
        <f t="shared" si="9"/>
        <v>0.8</v>
      </c>
      <c r="AQ59" s="138" t="s">
        <v>9</v>
      </c>
      <c r="AR59" s="138"/>
      <c r="AS59" s="138"/>
      <c r="AT59" s="8">
        <v>0.25</v>
      </c>
      <c r="AU59" s="6">
        <f>AU53/100*AT59</f>
        <v>0.8880050399999999</v>
      </c>
      <c r="AV59" s="7">
        <f t="shared" si="10"/>
        <v>0.8</v>
      </c>
    </row>
    <row r="60" spans="1:48" ht="12.75" hidden="1">
      <c r="A60" s="138" t="s">
        <v>10</v>
      </c>
      <c r="B60" s="138"/>
      <c r="C60" s="138"/>
      <c r="D60" s="8">
        <v>4.75</v>
      </c>
      <c r="E60" s="6">
        <f>E53/100*D60</f>
        <v>14.61575</v>
      </c>
      <c r="F60" s="7">
        <f t="shared" si="4"/>
        <v>14.600000000000001</v>
      </c>
      <c r="H60" s="138" t="s">
        <v>10</v>
      </c>
      <c r="I60" s="138"/>
      <c r="J60" s="138"/>
      <c r="K60" s="8">
        <v>4.75</v>
      </c>
      <c r="L60" s="6">
        <f>L53/100*K60</f>
        <v>15.0575</v>
      </c>
      <c r="M60" s="7">
        <f t="shared" si="5"/>
        <v>15</v>
      </c>
      <c r="N60" s="2"/>
      <c r="O60" s="138" t="s">
        <v>10</v>
      </c>
      <c r="P60" s="138"/>
      <c r="Q60" s="138"/>
      <c r="R60" s="8">
        <v>4.75</v>
      </c>
      <c r="S60" s="6">
        <f>S53/100*R60</f>
        <v>15.618000000000002</v>
      </c>
      <c r="T60" s="7">
        <f t="shared" si="6"/>
        <v>15.600000000000001</v>
      </c>
      <c r="V60" s="138" t="s">
        <v>10</v>
      </c>
      <c r="W60" s="138"/>
      <c r="X60" s="138"/>
      <c r="Y60" s="8">
        <v>4.75</v>
      </c>
      <c r="Z60" s="6">
        <f>Z53/100*Y60</f>
        <v>15.629685</v>
      </c>
      <c r="AA60" s="7">
        <f t="shared" si="7"/>
        <v>15.600000000000001</v>
      </c>
      <c r="AC60" s="138" t="s">
        <v>10</v>
      </c>
      <c r="AD60" s="138"/>
      <c r="AE60" s="138"/>
      <c r="AF60" s="8">
        <v>4.75</v>
      </c>
      <c r="AG60" s="6">
        <f>AG53/100*AF60</f>
        <v>16.223169</v>
      </c>
      <c r="AH60" s="7">
        <f t="shared" si="8"/>
        <v>16.2</v>
      </c>
      <c r="AJ60" s="138" t="s">
        <v>10</v>
      </c>
      <c r="AK60" s="138"/>
      <c r="AL60" s="138"/>
      <c r="AM60" s="8">
        <v>4.75</v>
      </c>
      <c r="AN60" s="6">
        <f>AN53/100*AM60</f>
        <v>16.2548724</v>
      </c>
      <c r="AO60" s="7">
        <f t="shared" si="9"/>
        <v>16.2</v>
      </c>
      <c r="AQ60" s="138" t="s">
        <v>10</v>
      </c>
      <c r="AR60" s="138"/>
      <c r="AS60" s="138"/>
      <c r="AT60" s="8">
        <v>4.75</v>
      </c>
      <c r="AU60" s="6">
        <f>AU53/100*AT60</f>
        <v>16.872095759999997</v>
      </c>
      <c r="AV60" s="7">
        <f t="shared" si="10"/>
        <v>16.8</v>
      </c>
    </row>
    <row r="61" spans="1:48" ht="12.75" hidden="1">
      <c r="A61" s="138" t="s">
        <v>11</v>
      </c>
      <c r="B61" s="138"/>
      <c r="C61" s="138"/>
      <c r="D61" s="8">
        <v>10</v>
      </c>
      <c r="E61" s="6">
        <f>E53/100*D61</f>
        <v>30.77</v>
      </c>
      <c r="F61" s="7">
        <f>FLOOR(E61,0.01)</f>
        <v>30.77</v>
      </c>
      <c r="H61" s="138" t="s">
        <v>11</v>
      </c>
      <c r="I61" s="138"/>
      <c r="J61" s="138"/>
      <c r="K61" s="8">
        <v>10</v>
      </c>
      <c r="L61" s="6">
        <f>L53/100*K61</f>
        <v>31.7</v>
      </c>
      <c r="M61" s="7">
        <f>FLOOR(L61,0.01)</f>
        <v>31.7</v>
      </c>
      <c r="N61" s="2"/>
      <c r="O61" s="138" t="s">
        <v>11</v>
      </c>
      <c r="P61" s="138"/>
      <c r="Q61" s="138"/>
      <c r="R61" s="8">
        <v>10</v>
      </c>
      <c r="S61" s="6">
        <f>S53/100*R61</f>
        <v>32.88</v>
      </c>
      <c r="T61" s="7">
        <f>FLOOR(S61,0.01)</f>
        <v>32.88</v>
      </c>
      <c r="V61" s="138" t="s">
        <v>11</v>
      </c>
      <c r="W61" s="138"/>
      <c r="X61" s="138"/>
      <c r="Y61" s="8">
        <v>10</v>
      </c>
      <c r="Z61" s="6">
        <f>Z53/100*Y61</f>
        <v>32.9046</v>
      </c>
      <c r="AA61" s="7">
        <f>FLOOR(Z61,0.01)</f>
        <v>32.9</v>
      </c>
      <c r="AC61" s="138" t="s">
        <v>11</v>
      </c>
      <c r="AD61" s="138"/>
      <c r="AE61" s="138"/>
      <c r="AF61" s="8">
        <v>10</v>
      </c>
      <c r="AG61" s="6">
        <f>AG53/100*AF61</f>
        <v>34.154039999999995</v>
      </c>
      <c r="AH61" s="7">
        <f>FLOOR(AG61,0.01)</f>
        <v>34.15</v>
      </c>
      <c r="AJ61" s="138" t="s">
        <v>11</v>
      </c>
      <c r="AK61" s="138"/>
      <c r="AL61" s="138"/>
      <c r="AM61" s="8">
        <v>10</v>
      </c>
      <c r="AN61" s="6">
        <f>AN53/100*AM61</f>
        <v>34.220783999999995</v>
      </c>
      <c r="AO61" s="7">
        <f>FLOOR(AN61,0.01)</f>
        <v>34.22</v>
      </c>
      <c r="AQ61" s="138" t="s">
        <v>11</v>
      </c>
      <c r="AR61" s="138"/>
      <c r="AS61" s="138"/>
      <c r="AT61" s="8">
        <v>10</v>
      </c>
      <c r="AU61" s="6">
        <f>AU53/100*AT61</f>
        <v>35.52020159999999</v>
      </c>
      <c r="AV61" s="7">
        <f>FLOOR(AU61,0.01)</f>
        <v>35.52</v>
      </c>
    </row>
    <row r="62" spans="1:48" ht="12.75" hidden="1">
      <c r="A62" s="131" t="s">
        <v>12</v>
      </c>
      <c r="B62" s="132"/>
      <c r="C62" s="133"/>
      <c r="D62" s="9">
        <f>SUM(D54:D61)</f>
        <v>35.2</v>
      </c>
      <c r="E62" s="6">
        <f>SUM(E54:E61)</f>
        <v>108.3104</v>
      </c>
      <c r="F62" s="22">
        <f>SUM(F54:F61)</f>
        <v>107.97</v>
      </c>
      <c r="H62" s="131" t="s">
        <v>12</v>
      </c>
      <c r="I62" s="132"/>
      <c r="J62" s="133"/>
      <c r="K62" s="9">
        <f>SUM(K54:K61)</f>
        <v>35.2</v>
      </c>
      <c r="L62" s="6">
        <f>SUM(L54:L61)</f>
        <v>111.584</v>
      </c>
      <c r="M62" s="22">
        <f>SUM(M54:M61)</f>
        <v>111.2</v>
      </c>
      <c r="N62" s="2"/>
      <c r="O62" s="131" t="s">
        <v>12</v>
      </c>
      <c r="P62" s="132"/>
      <c r="Q62" s="133"/>
      <c r="R62" s="9">
        <f>SUM(R54:R61)</f>
        <v>35.2</v>
      </c>
      <c r="S62" s="6">
        <f>SUM(S54:S61)</f>
        <v>115.73760000000001</v>
      </c>
      <c r="T62" s="22">
        <f>SUM(T54:T61)</f>
        <v>115.47999999999999</v>
      </c>
      <c r="V62" s="131" t="s">
        <v>12</v>
      </c>
      <c r="W62" s="132"/>
      <c r="X62" s="133"/>
      <c r="Y62" s="9">
        <f>SUM(Y54:Y61)</f>
        <v>35.2</v>
      </c>
      <c r="Z62" s="6">
        <f>SUM(Z54:Z61)</f>
        <v>115.82419200000001</v>
      </c>
      <c r="AA62" s="22">
        <f>SUM(AA54:AA61)</f>
        <v>115.5</v>
      </c>
      <c r="AC62" s="131" t="s">
        <v>12</v>
      </c>
      <c r="AD62" s="132"/>
      <c r="AE62" s="133"/>
      <c r="AF62" s="9">
        <f>SUM(AF54:AF61)</f>
        <v>35.2</v>
      </c>
      <c r="AG62" s="6">
        <f>SUM(AG54:AG61)</f>
        <v>120.22222079999999</v>
      </c>
      <c r="AH62" s="22">
        <f>SUM(AH54:AH61)</f>
        <v>119.95000000000002</v>
      </c>
      <c r="AJ62" s="131" t="s">
        <v>12</v>
      </c>
      <c r="AK62" s="132"/>
      <c r="AL62" s="133"/>
      <c r="AM62" s="9">
        <f>SUM(AM54:AM61)</f>
        <v>35.2</v>
      </c>
      <c r="AN62" s="6">
        <f>SUM(AN54:AN61)</f>
        <v>120.45715967999998</v>
      </c>
      <c r="AO62" s="22">
        <f>SUM(AO54:AO61)</f>
        <v>120.12</v>
      </c>
      <c r="AQ62" s="131" t="s">
        <v>12</v>
      </c>
      <c r="AR62" s="132"/>
      <c r="AS62" s="133"/>
      <c r="AT62" s="9">
        <f>SUM(AT54:AT61)</f>
        <v>35.2</v>
      </c>
      <c r="AU62" s="6">
        <f>SUM(AU54:AU61)</f>
        <v>125.03110963199997</v>
      </c>
      <c r="AV62" s="22">
        <f>SUM(AV54:AV61)</f>
        <v>124.62</v>
      </c>
    </row>
    <row r="63" ht="12.75" hidden="1">
      <c r="N63" s="2"/>
    </row>
    <row r="64" spans="1:48" ht="12.75" hidden="1">
      <c r="A64" s="134" t="s">
        <v>13</v>
      </c>
      <c r="B64" s="134"/>
      <c r="C64" s="134"/>
      <c r="E64" s="10">
        <f>E53+E62</f>
        <v>416.0104</v>
      </c>
      <c r="F64" s="11">
        <f>F53+F62</f>
        <v>415.66999999999996</v>
      </c>
      <c r="H64" s="134" t="s">
        <v>13</v>
      </c>
      <c r="I64" s="134"/>
      <c r="J64" s="134"/>
      <c r="L64" s="10">
        <f>L53+L62</f>
        <v>428.584</v>
      </c>
      <c r="M64" s="11">
        <f>M53+M62</f>
        <v>428.2</v>
      </c>
      <c r="N64" s="2"/>
      <c r="O64" s="134" t="s">
        <v>13</v>
      </c>
      <c r="P64" s="134"/>
      <c r="Q64" s="134"/>
      <c r="S64" s="10">
        <f>S53+S62</f>
        <v>444.5376</v>
      </c>
      <c r="T64" s="11">
        <f>T53+T62</f>
        <v>444.28</v>
      </c>
      <c r="V64" s="134" t="s">
        <v>13</v>
      </c>
      <c r="W64" s="134"/>
      <c r="X64" s="134"/>
      <c r="Z64" s="10">
        <f>Z53+Z62</f>
        <v>444.870192</v>
      </c>
      <c r="AA64" s="11">
        <f>AA53+AA62</f>
        <v>444.546</v>
      </c>
      <c r="AC64" s="134" t="s">
        <v>13</v>
      </c>
      <c r="AD64" s="134"/>
      <c r="AE64" s="134"/>
      <c r="AG64" s="10">
        <f>AG53+AG62</f>
        <v>461.7626208</v>
      </c>
      <c r="AH64" s="11">
        <f>AH53+AH62</f>
        <v>461.4904</v>
      </c>
      <c r="AJ64" s="134" t="s">
        <v>13</v>
      </c>
      <c r="AK64" s="134"/>
      <c r="AL64" s="134"/>
      <c r="AN64" s="10">
        <f>AN53+AN62</f>
        <v>462.66499967999994</v>
      </c>
      <c r="AO64" s="11">
        <f>AO53+AO62</f>
        <v>462.32784</v>
      </c>
      <c r="AQ64" s="134" t="s">
        <v>13</v>
      </c>
      <c r="AR64" s="134"/>
      <c r="AS64" s="134"/>
      <c r="AU64" s="10">
        <f>AU53+AU62</f>
        <v>480.23312563199994</v>
      </c>
      <c r="AV64" s="11">
        <f>AV53+AV62</f>
        <v>479.82201599999996</v>
      </c>
    </row>
    <row r="65" spans="9:14" ht="13.5" hidden="1" thickBot="1">
      <c r="I65" s="2"/>
      <c r="J65" s="2"/>
      <c r="K65" s="2"/>
      <c r="L65" s="2"/>
      <c r="M65" s="2"/>
      <c r="N65" s="2"/>
    </row>
    <row r="66" spans="8:48" ht="13.5" hidden="1" thickBot="1">
      <c r="H66" s="135" t="s">
        <v>52</v>
      </c>
      <c r="I66" s="136"/>
      <c r="J66" s="136"/>
      <c r="K66" s="136"/>
      <c r="L66" s="136"/>
      <c r="M66" s="136"/>
      <c r="N66" s="136"/>
      <c r="O66" s="137"/>
      <c r="P66" s="139">
        <f>(M64+T64)/2</f>
        <v>436.24</v>
      </c>
      <c r="Q66" s="140"/>
      <c r="R66" s="140"/>
      <c r="S66" s="140"/>
      <c r="T66" s="141"/>
      <c r="V66" s="135" t="s">
        <v>52</v>
      </c>
      <c r="W66" s="136"/>
      <c r="X66" s="136"/>
      <c r="Y66" s="136"/>
      <c r="Z66" s="136"/>
      <c r="AA66" s="136"/>
      <c r="AB66" s="136"/>
      <c r="AC66" s="137"/>
      <c r="AD66" s="157">
        <f>(AA64+AH64)/2</f>
        <v>453.0182</v>
      </c>
      <c r="AE66" s="158"/>
      <c r="AF66" s="158"/>
      <c r="AG66" s="158"/>
      <c r="AH66" s="159"/>
      <c r="AJ66" s="135" t="s">
        <v>52</v>
      </c>
      <c r="AK66" s="136"/>
      <c r="AL66" s="136"/>
      <c r="AM66" s="136"/>
      <c r="AN66" s="136"/>
      <c r="AO66" s="136"/>
      <c r="AP66" s="136"/>
      <c r="AQ66" s="137"/>
      <c r="AR66" s="157">
        <f>(AO64+AV64)/2</f>
        <v>471.074928</v>
      </c>
      <c r="AS66" s="158"/>
      <c r="AT66" s="158"/>
      <c r="AU66" s="158"/>
      <c r="AV66" s="159"/>
    </row>
    <row r="67" spans="9:20" ht="12.75" hidden="1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9:14" ht="12.75" hidden="1">
      <c r="I68" s="2"/>
      <c r="J68" s="2"/>
      <c r="K68" s="2"/>
      <c r="L68" s="2"/>
      <c r="M68" s="2"/>
      <c r="N68" s="2"/>
    </row>
    <row r="69" ht="12.75">
      <c r="A69" s="16" t="s">
        <v>59</v>
      </c>
    </row>
    <row r="70" ht="12.75">
      <c r="A70" s="16"/>
    </row>
    <row r="71" spans="2:15" ht="12.75">
      <c r="B71" s="160" t="s">
        <v>40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O71" s="52"/>
    </row>
    <row r="72" spans="11:12" ht="12.75">
      <c r="K72" s="52"/>
      <c r="L72" s="52"/>
    </row>
    <row r="73" spans="1:12" s="12" customFormat="1" ht="12.75">
      <c r="A73" s="3"/>
      <c r="B73" s="3"/>
      <c r="C73" s="3"/>
      <c r="D73" s="3"/>
      <c r="E73" s="3"/>
      <c r="F73" s="13"/>
      <c r="G73" s="3"/>
      <c r="H73" s="13"/>
      <c r="I73" s="3"/>
      <c r="J73" s="13"/>
      <c r="K73" s="14"/>
      <c r="L73" s="13"/>
    </row>
    <row r="74" spans="1:16" s="35" customFormat="1" ht="77.25" customHeight="1">
      <c r="A74" s="126"/>
      <c r="B74" s="126"/>
      <c r="C74" s="82" t="s">
        <v>108</v>
      </c>
      <c r="D74" s="37" t="s">
        <v>82</v>
      </c>
      <c r="E74" s="37" t="s">
        <v>91</v>
      </c>
      <c r="F74" s="38" t="s">
        <v>83</v>
      </c>
      <c r="G74" s="38" t="s">
        <v>92</v>
      </c>
      <c r="H74" s="39" t="s">
        <v>94</v>
      </c>
      <c r="I74" s="83" t="s">
        <v>110</v>
      </c>
      <c r="J74" s="79" t="s">
        <v>93</v>
      </c>
      <c r="K74" s="41" t="s">
        <v>26</v>
      </c>
      <c r="L74" s="84" t="s">
        <v>112</v>
      </c>
      <c r="M74" s="162" t="s">
        <v>109</v>
      </c>
      <c r="N74" s="162"/>
      <c r="O74" s="80" t="s">
        <v>95</v>
      </c>
      <c r="P74" s="54"/>
    </row>
    <row r="75" spans="1:16" s="50" customFormat="1" ht="34.5" thickBot="1">
      <c r="A75" s="127"/>
      <c r="B75" s="128"/>
      <c r="C75" s="34" t="s">
        <v>17</v>
      </c>
      <c r="D75" s="34" t="s">
        <v>18</v>
      </c>
      <c r="E75" s="34" t="s">
        <v>19</v>
      </c>
      <c r="F75" s="34" t="s">
        <v>20</v>
      </c>
      <c r="G75" s="34" t="s">
        <v>21</v>
      </c>
      <c r="H75" s="34" t="s">
        <v>86</v>
      </c>
      <c r="I75" s="34" t="s">
        <v>18</v>
      </c>
      <c r="J75" s="74" t="s">
        <v>19</v>
      </c>
      <c r="K75" s="34" t="s">
        <v>88</v>
      </c>
      <c r="L75" s="49" t="s">
        <v>116</v>
      </c>
      <c r="M75" s="124" t="s">
        <v>21</v>
      </c>
      <c r="N75" s="124"/>
      <c r="O75" s="42" t="s">
        <v>115</v>
      </c>
      <c r="P75" s="54"/>
    </row>
    <row r="76" spans="1:17" s="35" customFormat="1" ht="25.5" customHeight="1" thickBot="1">
      <c r="A76" s="108" t="s">
        <v>14</v>
      </c>
      <c r="B76" s="68" t="s">
        <v>98</v>
      </c>
      <c r="C76" s="63" t="s">
        <v>80</v>
      </c>
      <c r="D76" s="64">
        <f>F49</f>
        <v>500.72</v>
      </c>
      <c r="E76" s="64">
        <f>D76*2</f>
        <v>1001.44</v>
      </c>
      <c r="F76" s="64">
        <f>F64</f>
        <v>415.66999999999996</v>
      </c>
      <c r="G76" s="64">
        <f>F76*2</f>
        <v>831.3399999999999</v>
      </c>
      <c r="H76" s="65">
        <f aca="true" t="shared" si="11" ref="H76:I78">AVERAGE(D76,F76)</f>
        <v>458.195</v>
      </c>
      <c r="I76" s="71">
        <f t="shared" si="11"/>
        <v>916.39</v>
      </c>
      <c r="J76" s="111">
        <v>500</v>
      </c>
      <c r="K76" s="72">
        <f>H76*J76</f>
        <v>229097.5</v>
      </c>
      <c r="L76" s="65">
        <f>I76*J76</f>
        <v>458195</v>
      </c>
      <c r="M76" s="130">
        <f>300*40</f>
        <v>12000</v>
      </c>
      <c r="N76" s="130"/>
      <c r="O76" s="88">
        <f>L76+M76</f>
        <v>470195</v>
      </c>
      <c r="P76" s="56"/>
      <c r="Q76" s="53">
        <f>L77+L78+L79</f>
        <v>458195</v>
      </c>
    </row>
    <row r="77" spans="1:16" s="35" customFormat="1" ht="25.5" customHeight="1" thickBot="1">
      <c r="A77" s="109"/>
      <c r="B77" s="75" t="s">
        <v>99</v>
      </c>
      <c r="C77" s="76" t="s">
        <v>79</v>
      </c>
      <c r="D77" s="70">
        <f>F49*95%</f>
        <v>475.684</v>
      </c>
      <c r="E77" s="70">
        <f>D77*2</f>
        <v>951.368</v>
      </c>
      <c r="F77" s="70">
        <f>F64*95%</f>
        <v>394.88649999999996</v>
      </c>
      <c r="G77" s="70">
        <f>F77*2</f>
        <v>789.7729999999999</v>
      </c>
      <c r="H77" s="70">
        <f t="shared" si="11"/>
        <v>435.28525</v>
      </c>
      <c r="I77" s="78">
        <f t="shared" si="11"/>
        <v>870.5705</v>
      </c>
      <c r="J77" s="117"/>
      <c r="K77" s="73">
        <f>H77*J76</f>
        <v>217642.625</v>
      </c>
      <c r="L77" s="77">
        <f>I77*J76</f>
        <v>435285.25</v>
      </c>
      <c r="M77" s="125">
        <f>40*300*95%</f>
        <v>11400</v>
      </c>
      <c r="N77" s="125"/>
      <c r="O77" s="89">
        <f>L77+M77</f>
        <v>446685.25</v>
      </c>
      <c r="P77" s="55"/>
    </row>
    <row r="78" spans="1:17" s="35" customFormat="1" ht="25.5" customHeight="1">
      <c r="A78" s="109"/>
      <c r="B78" s="91" t="s">
        <v>100</v>
      </c>
      <c r="C78" s="118" t="s">
        <v>101</v>
      </c>
      <c r="D78" s="92">
        <f>F49*5%</f>
        <v>25.036</v>
      </c>
      <c r="E78" s="92">
        <f>D78*2</f>
        <v>50.072</v>
      </c>
      <c r="F78" s="92">
        <f>F64*5%</f>
        <v>20.7835</v>
      </c>
      <c r="G78" s="92">
        <f>F78*2</f>
        <v>41.567</v>
      </c>
      <c r="H78" s="93">
        <f t="shared" si="11"/>
        <v>22.909750000000003</v>
      </c>
      <c r="I78" s="115">
        <f t="shared" si="11"/>
        <v>45.819500000000005</v>
      </c>
      <c r="J78" s="99">
        <v>200</v>
      </c>
      <c r="K78" s="94">
        <f>H78*J76</f>
        <v>11454.875000000002</v>
      </c>
      <c r="L78" s="93">
        <f>I78*J78</f>
        <v>9163.900000000001</v>
      </c>
      <c r="M78" s="101">
        <v>0</v>
      </c>
      <c r="O78" s="95">
        <f>L78</f>
        <v>9163.900000000001</v>
      </c>
      <c r="P78" s="56">
        <f>O78+O77</f>
        <v>455849.15</v>
      </c>
      <c r="Q78" s="53">
        <f>P78-O76</f>
        <v>-14345.849999999977</v>
      </c>
    </row>
    <row r="79" spans="1:17" s="35" customFormat="1" ht="25.5" customHeight="1" thickBot="1">
      <c r="A79" s="110"/>
      <c r="B79" s="96" t="s">
        <v>118</v>
      </c>
      <c r="C79" s="119"/>
      <c r="D79" s="45"/>
      <c r="E79" s="45"/>
      <c r="F79" s="45"/>
      <c r="G79" s="45"/>
      <c r="H79" s="46"/>
      <c r="I79" s="116"/>
      <c r="J79" s="100">
        <v>300</v>
      </c>
      <c r="K79" s="46"/>
      <c r="L79" s="46">
        <f>I78*J79</f>
        <v>13745.850000000002</v>
      </c>
      <c r="M79" s="120">
        <f>40*300*5%</f>
        <v>600</v>
      </c>
      <c r="N79" s="120"/>
      <c r="O79" s="97">
        <f>M79+L79</f>
        <v>14345.850000000002</v>
      </c>
      <c r="P79" s="56"/>
      <c r="Q79" s="53">
        <f>O79+O78</f>
        <v>23509.750000000004</v>
      </c>
    </row>
    <row r="80" spans="1:17" s="58" customFormat="1" ht="25.5" customHeight="1">
      <c r="A80" s="59"/>
      <c r="B80" s="60"/>
      <c r="C80" s="59"/>
      <c r="D80" s="56"/>
      <c r="E80" s="56"/>
      <c r="F80" s="56"/>
      <c r="G80" s="56"/>
      <c r="H80" s="56"/>
      <c r="I80" s="56"/>
      <c r="J80" s="61"/>
      <c r="K80" s="56"/>
      <c r="L80" s="56"/>
      <c r="M80" s="62"/>
      <c r="N80" s="62"/>
      <c r="O80" s="55"/>
      <c r="P80" s="56"/>
      <c r="Q80" s="57"/>
    </row>
    <row r="81" spans="1:16" s="35" customFormat="1" ht="77.25" customHeight="1">
      <c r="A81" s="126"/>
      <c r="B81" s="126"/>
      <c r="C81" s="82" t="s">
        <v>108</v>
      </c>
      <c r="D81" s="37" t="s">
        <v>82</v>
      </c>
      <c r="E81" s="37" t="s">
        <v>84</v>
      </c>
      <c r="F81" s="38" t="s">
        <v>83</v>
      </c>
      <c r="G81" s="38" t="s">
        <v>85</v>
      </c>
      <c r="H81" s="39" t="s">
        <v>94</v>
      </c>
      <c r="I81" s="83" t="s">
        <v>111</v>
      </c>
      <c r="J81" s="79" t="s">
        <v>93</v>
      </c>
      <c r="K81" s="41" t="s">
        <v>26</v>
      </c>
      <c r="L81" s="84" t="s">
        <v>113</v>
      </c>
      <c r="M81" s="162" t="s">
        <v>114</v>
      </c>
      <c r="N81" s="162"/>
      <c r="O81" s="80" t="s">
        <v>95</v>
      </c>
      <c r="P81" s="54"/>
    </row>
    <row r="82" spans="1:16" s="51" customFormat="1" ht="34.5" thickBot="1">
      <c r="A82" s="129"/>
      <c r="B82" s="124"/>
      <c r="C82" s="34" t="s">
        <v>17</v>
      </c>
      <c r="D82" s="34" t="s">
        <v>18</v>
      </c>
      <c r="E82" s="34" t="s">
        <v>19</v>
      </c>
      <c r="F82" s="34" t="s">
        <v>20</v>
      </c>
      <c r="G82" s="34" t="s">
        <v>21</v>
      </c>
      <c r="H82" s="34" t="s">
        <v>86</v>
      </c>
      <c r="I82" s="34" t="s">
        <v>18</v>
      </c>
      <c r="J82" s="74" t="s">
        <v>19</v>
      </c>
      <c r="K82" s="34" t="s">
        <v>88</v>
      </c>
      <c r="L82" s="49" t="s">
        <v>116</v>
      </c>
      <c r="M82" s="124" t="s">
        <v>21</v>
      </c>
      <c r="N82" s="124"/>
      <c r="O82" s="42" t="s">
        <v>115</v>
      </c>
      <c r="P82" s="54"/>
    </row>
    <row r="83" spans="1:16" s="35" customFormat="1" ht="25.5" customHeight="1" thickBot="1">
      <c r="A83" s="108" t="s">
        <v>15</v>
      </c>
      <c r="B83" s="68" t="s">
        <v>98</v>
      </c>
      <c r="C83" s="63" t="s">
        <v>80</v>
      </c>
      <c r="D83" s="64">
        <f>M49</f>
        <v>509.26</v>
      </c>
      <c r="E83" s="64">
        <f>D83*6</f>
        <v>3055.56</v>
      </c>
      <c r="F83" s="64">
        <f>P66</f>
        <v>436.24</v>
      </c>
      <c r="G83" s="64">
        <f>F83*6</f>
        <v>2617.44</v>
      </c>
      <c r="H83" s="65">
        <f aca="true" t="shared" si="12" ref="H83:I85">AVERAGE(D83,F83)</f>
        <v>472.75</v>
      </c>
      <c r="I83" s="71">
        <f t="shared" si="12"/>
        <v>2836.5</v>
      </c>
      <c r="J83" s="111">
        <v>5000</v>
      </c>
      <c r="K83" s="81">
        <f>H83*J83</f>
        <v>2363750</v>
      </c>
      <c r="L83" s="65">
        <f>I83*J83</f>
        <v>14182500</v>
      </c>
      <c r="M83" s="130">
        <v>40000</v>
      </c>
      <c r="N83" s="130"/>
      <c r="O83" s="88">
        <f>L83+M83</f>
        <v>14222500</v>
      </c>
      <c r="P83" s="56"/>
    </row>
    <row r="84" spans="1:16" s="35" customFormat="1" ht="25.5" customHeight="1" thickBot="1">
      <c r="A84" s="109"/>
      <c r="B84" s="75" t="s">
        <v>99</v>
      </c>
      <c r="C84" s="76" t="s">
        <v>79</v>
      </c>
      <c r="D84" s="70">
        <f>M49*95%</f>
        <v>483.79699999999997</v>
      </c>
      <c r="E84" s="70">
        <f aca="true" t="shared" si="13" ref="E84:E95">D84*6</f>
        <v>2902.7819999999997</v>
      </c>
      <c r="F84" s="70">
        <f>P66*95%</f>
        <v>414.428</v>
      </c>
      <c r="G84" s="70">
        <f aca="true" t="shared" si="14" ref="G84:G95">F84*6</f>
        <v>2486.568</v>
      </c>
      <c r="H84" s="70">
        <f t="shared" si="12"/>
        <v>449.11249999999995</v>
      </c>
      <c r="I84" s="86">
        <f t="shared" si="12"/>
        <v>2694.675</v>
      </c>
      <c r="J84" s="112"/>
      <c r="K84" s="85">
        <f>H84*J83</f>
        <v>2245562.5</v>
      </c>
      <c r="L84" s="87">
        <f>I84*J83</f>
        <v>13473375</v>
      </c>
      <c r="M84" s="125">
        <f>40000*95%</f>
        <v>38000</v>
      </c>
      <c r="N84" s="125"/>
      <c r="O84" s="89">
        <f>L84+M84</f>
        <v>13511375</v>
      </c>
      <c r="P84" s="55"/>
    </row>
    <row r="85" spans="1:17" ht="23.25" customHeight="1">
      <c r="A85" s="109"/>
      <c r="B85" s="69" t="s">
        <v>100</v>
      </c>
      <c r="C85" s="113" t="s">
        <v>101</v>
      </c>
      <c r="D85" s="66">
        <f>M49*5%</f>
        <v>25.463</v>
      </c>
      <c r="E85" s="66">
        <f t="shared" si="13"/>
        <v>152.77800000000002</v>
      </c>
      <c r="F85" s="66">
        <f>P66*5%</f>
        <v>21.812</v>
      </c>
      <c r="G85" s="66">
        <f t="shared" si="14"/>
        <v>130.872</v>
      </c>
      <c r="H85" s="67">
        <f t="shared" si="12"/>
        <v>23.637500000000003</v>
      </c>
      <c r="I85" s="106">
        <f t="shared" si="12"/>
        <v>141.82500000000002</v>
      </c>
      <c r="J85" s="102">
        <v>4000</v>
      </c>
      <c r="K85" s="81">
        <f>H85*J83</f>
        <v>118187.50000000001</v>
      </c>
      <c r="L85" s="67">
        <f>I85*J85</f>
        <v>567300.0000000001</v>
      </c>
      <c r="M85" s="104">
        <v>0</v>
      </c>
      <c r="O85" s="90">
        <f>L85</f>
        <v>567300.0000000001</v>
      </c>
      <c r="P85" s="52">
        <f>O85+O84</f>
        <v>14078675</v>
      </c>
      <c r="Q85" s="52"/>
    </row>
    <row r="86" spans="1:19" ht="13.5" thickBot="1">
      <c r="A86" s="110"/>
      <c r="B86" s="69" t="s">
        <v>118</v>
      </c>
      <c r="C86" s="114"/>
      <c r="D86" s="66"/>
      <c r="E86" s="66"/>
      <c r="F86" s="66"/>
      <c r="G86" s="66"/>
      <c r="H86" s="67"/>
      <c r="I86" s="107"/>
      <c r="J86" s="98">
        <v>1000</v>
      </c>
      <c r="K86" s="81"/>
      <c r="L86" s="67">
        <f>I85*J86</f>
        <v>141825.00000000003</v>
      </c>
      <c r="M86" s="121">
        <f>40000*5%</f>
        <v>2000</v>
      </c>
      <c r="N86" s="121"/>
      <c r="O86" s="90">
        <f>L86+M86</f>
        <v>143825.00000000003</v>
      </c>
      <c r="P86" s="52"/>
      <c r="Q86" s="52">
        <f>O85+O86</f>
        <v>711125.0000000001</v>
      </c>
      <c r="R86" s="52">
        <f>L86+L85+L84</f>
        <v>14182500</v>
      </c>
      <c r="S86" s="52">
        <f>O86+O85+O84</f>
        <v>14222500</v>
      </c>
    </row>
    <row r="87" spans="1:17" ht="13.5" thickBot="1">
      <c r="A87" s="122"/>
      <c r="B87" s="123"/>
      <c r="C87" s="123"/>
      <c r="D87" s="123"/>
      <c r="E87" s="123"/>
      <c r="F87" s="123"/>
      <c r="G87" s="123"/>
      <c r="H87" s="123"/>
      <c r="I87" s="123"/>
      <c r="J87" s="122"/>
      <c r="K87" s="123"/>
      <c r="L87" s="123"/>
      <c r="M87" s="123"/>
      <c r="N87" s="123"/>
      <c r="O87" s="123"/>
      <c r="Q87" s="52">
        <f>L86+L85</f>
        <v>709125.0000000001</v>
      </c>
    </row>
    <row r="88" spans="1:16" s="35" customFormat="1" ht="25.5" customHeight="1" thickBot="1">
      <c r="A88" s="108" t="s">
        <v>28</v>
      </c>
      <c r="B88" s="68" t="s">
        <v>98</v>
      </c>
      <c r="C88" s="63" t="s">
        <v>80</v>
      </c>
      <c r="D88" s="64">
        <f>AA49</f>
        <v>527.39</v>
      </c>
      <c r="E88" s="64">
        <f>D88*6</f>
        <v>3164.34</v>
      </c>
      <c r="F88" s="64">
        <f>AD66</f>
        <v>453.0182</v>
      </c>
      <c r="G88" s="64">
        <f>F88*6</f>
        <v>2718.1092</v>
      </c>
      <c r="H88" s="65">
        <f aca="true" t="shared" si="15" ref="H88:I90">AVERAGE(D88,F88)</f>
        <v>490.2041</v>
      </c>
      <c r="I88" s="71">
        <f t="shared" si="15"/>
        <v>2941.2246</v>
      </c>
      <c r="J88" s="111">
        <v>5000</v>
      </c>
      <c r="K88" s="81">
        <f>H88*J88</f>
        <v>2451020.5</v>
      </c>
      <c r="L88" s="65">
        <f>I88*J88</f>
        <v>14706123</v>
      </c>
      <c r="M88" s="130">
        <f>40*1000</f>
        <v>40000</v>
      </c>
      <c r="N88" s="130"/>
      <c r="O88" s="88">
        <f>L88+M88</f>
        <v>14746123</v>
      </c>
      <c r="P88" s="56"/>
    </row>
    <row r="89" spans="1:18" s="35" customFormat="1" ht="25.5" customHeight="1" thickBot="1">
      <c r="A89" s="109"/>
      <c r="B89" s="75" t="s">
        <v>99</v>
      </c>
      <c r="C89" s="76" t="s">
        <v>79</v>
      </c>
      <c r="D89" s="70">
        <f>AA49*0.95</f>
        <v>501.02049999999997</v>
      </c>
      <c r="E89" s="70">
        <f t="shared" si="13"/>
        <v>3006.1229999999996</v>
      </c>
      <c r="F89" s="70">
        <f>AD66*95%</f>
        <v>430.36728999999997</v>
      </c>
      <c r="G89" s="70">
        <f t="shared" si="14"/>
        <v>2582.20374</v>
      </c>
      <c r="H89" s="70">
        <f t="shared" si="15"/>
        <v>465.693895</v>
      </c>
      <c r="I89" s="86">
        <f t="shared" si="15"/>
        <v>2794.1633699999998</v>
      </c>
      <c r="J89" s="112"/>
      <c r="K89" s="85">
        <f>H89*J88</f>
        <v>2328469.475</v>
      </c>
      <c r="L89" s="87">
        <f>I89*J88</f>
        <v>13970816.85</v>
      </c>
      <c r="M89" s="125">
        <f>40*1000*95%</f>
        <v>38000</v>
      </c>
      <c r="N89" s="125"/>
      <c r="O89" s="89">
        <f>L89+M89</f>
        <v>14008816.85</v>
      </c>
      <c r="P89" s="55"/>
      <c r="R89" s="53">
        <f>O91+O90+O89</f>
        <v>14746123</v>
      </c>
    </row>
    <row r="90" spans="1:17" ht="23.25" customHeight="1">
      <c r="A90" s="109"/>
      <c r="B90" s="69" t="s">
        <v>100</v>
      </c>
      <c r="C90" s="113" t="s">
        <v>101</v>
      </c>
      <c r="D90" s="66">
        <f>AA49*5%</f>
        <v>26.369500000000002</v>
      </c>
      <c r="E90" s="66">
        <f t="shared" si="13"/>
        <v>158.217</v>
      </c>
      <c r="F90" s="66">
        <f>AD66*5%</f>
        <v>22.65091</v>
      </c>
      <c r="G90" s="66">
        <f t="shared" si="14"/>
        <v>135.90546</v>
      </c>
      <c r="H90" s="67">
        <f t="shared" si="15"/>
        <v>24.510205</v>
      </c>
      <c r="I90" s="106">
        <f t="shared" si="15"/>
        <v>147.06123000000002</v>
      </c>
      <c r="J90" s="102">
        <v>4000</v>
      </c>
      <c r="K90" s="81">
        <f>H90*J88</f>
        <v>122551.025</v>
      </c>
      <c r="L90" s="67">
        <f>I90*J90</f>
        <v>588244.92</v>
      </c>
      <c r="M90" s="104">
        <v>0</v>
      </c>
      <c r="O90" s="90">
        <f>L90</f>
        <v>588244.92</v>
      </c>
      <c r="P90" s="52">
        <f>O90+O89</f>
        <v>14597061.77</v>
      </c>
      <c r="Q90" s="52">
        <f>P90-O88</f>
        <v>-149061.23000000045</v>
      </c>
    </row>
    <row r="91" spans="1:18" ht="13.5" thickBot="1">
      <c r="A91" s="110"/>
      <c r="B91" s="69" t="s">
        <v>118</v>
      </c>
      <c r="C91" s="114"/>
      <c r="D91" s="66"/>
      <c r="E91" s="66"/>
      <c r="F91" s="66"/>
      <c r="G91" s="66"/>
      <c r="H91" s="67"/>
      <c r="I91" s="107"/>
      <c r="J91" s="98">
        <v>1000</v>
      </c>
      <c r="K91" s="81"/>
      <c r="L91" s="67">
        <f>I90*J91</f>
        <v>147061.23</v>
      </c>
      <c r="M91" s="121">
        <f>40*1000*5%</f>
        <v>2000</v>
      </c>
      <c r="N91" s="121"/>
      <c r="O91" s="90">
        <f>L91+M91</f>
        <v>149061.23</v>
      </c>
      <c r="P91" s="52"/>
      <c r="Q91" s="52">
        <f>L91+L90</f>
        <v>735306.15</v>
      </c>
      <c r="R91" s="52">
        <f>O91+O90</f>
        <v>737306.15</v>
      </c>
    </row>
    <row r="92" spans="1:17" ht="13.5" thickBot="1">
      <c r="A92" s="122"/>
      <c r="B92" s="123"/>
      <c r="C92" s="123"/>
      <c r="D92" s="123"/>
      <c r="E92" s="123"/>
      <c r="F92" s="123"/>
      <c r="G92" s="123"/>
      <c r="H92" s="123"/>
      <c r="I92" s="123"/>
      <c r="J92" s="122"/>
      <c r="K92" s="123"/>
      <c r="L92" s="123"/>
      <c r="M92" s="123"/>
      <c r="N92" s="123"/>
      <c r="O92" s="123"/>
      <c r="P92" s="52"/>
      <c r="Q92" s="52"/>
    </row>
    <row r="93" spans="1:17" s="35" customFormat="1" ht="25.5" customHeight="1" thickBot="1">
      <c r="A93" s="108" t="s">
        <v>29</v>
      </c>
      <c r="B93" s="68" t="s">
        <v>98</v>
      </c>
      <c r="C93" s="63" t="s">
        <v>80</v>
      </c>
      <c r="D93" s="64">
        <f>AO49</f>
        <v>547.85</v>
      </c>
      <c r="E93" s="64">
        <f>D93*6</f>
        <v>3287.1000000000004</v>
      </c>
      <c r="F93" s="64">
        <f>AR66</f>
        <v>471.074928</v>
      </c>
      <c r="G93" s="64">
        <f>F93*6</f>
        <v>2826.449568</v>
      </c>
      <c r="H93" s="65">
        <f>(D93+F93)/2</f>
        <v>509.462464</v>
      </c>
      <c r="I93" s="71">
        <f>AVERAGE(E93,G93)</f>
        <v>3056.774784</v>
      </c>
      <c r="J93" s="111">
        <v>5000</v>
      </c>
      <c r="K93" s="81">
        <f>H93*J93</f>
        <v>2547312.32</v>
      </c>
      <c r="L93" s="65">
        <f>I93*J93</f>
        <v>15283873.920000002</v>
      </c>
      <c r="M93" s="130">
        <f>40*1000</f>
        <v>40000</v>
      </c>
      <c r="N93" s="130"/>
      <c r="O93" s="88">
        <f>L93+M93</f>
        <v>15323873.920000002</v>
      </c>
      <c r="P93" s="56"/>
      <c r="Q93" s="53"/>
    </row>
    <row r="94" spans="1:16" s="35" customFormat="1" ht="25.5" customHeight="1" thickBot="1">
      <c r="A94" s="109"/>
      <c r="B94" s="75" t="s">
        <v>99</v>
      </c>
      <c r="C94" s="76" t="s">
        <v>79</v>
      </c>
      <c r="D94" s="70">
        <f>AO49*0.95</f>
        <v>520.4575</v>
      </c>
      <c r="E94" s="70">
        <f t="shared" si="13"/>
        <v>3122.745</v>
      </c>
      <c r="F94" s="70">
        <f>AR66*95%</f>
        <v>447.5211816</v>
      </c>
      <c r="G94" s="70">
        <f t="shared" si="14"/>
        <v>2685.1270895999996</v>
      </c>
      <c r="H94" s="70">
        <f>(D94+F94)/2</f>
        <v>483.9893408</v>
      </c>
      <c r="I94" s="86">
        <f>AVERAGE(E94,G94)</f>
        <v>2903.9360447999998</v>
      </c>
      <c r="J94" s="112"/>
      <c r="K94" s="85">
        <f>H94*J93</f>
        <v>2419946.704</v>
      </c>
      <c r="L94" s="87">
        <f>I94*J93</f>
        <v>14519680.224</v>
      </c>
      <c r="M94" s="125">
        <f>40*1000*95%</f>
        <v>38000</v>
      </c>
      <c r="N94" s="125"/>
      <c r="O94" s="89">
        <f>L94+M94</f>
        <v>14557680.224</v>
      </c>
      <c r="P94" s="55"/>
    </row>
    <row r="95" spans="1:18" ht="23.25" customHeight="1">
      <c r="A95" s="109"/>
      <c r="B95" s="69" t="s">
        <v>100</v>
      </c>
      <c r="C95" s="113" t="s">
        <v>101</v>
      </c>
      <c r="D95" s="66">
        <f>AO49*5%</f>
        <v>27.392500000000002</v>
      </c>
      <c r="E95" s="66">
        <f t="shared" si="13"/>
        <v>164.35500000000002</v>
      </c>
      <c r="F95" s="66">
        <f>AR66*5%</f>
        <v>23.5537464</v>
      </c>
      <c r="G95" s="66">
        <f t="shared" si="14"/>
        <v>141.32247840000002</v>
      </c>
      <c r="H95" s="67">
        <f>(D95+F95)/2</f>
        <v>25.473123200000003</v>
      </c>
      <c r="I95" s="115">
        <f>AVERAGE(E95,G95)</f>
        <v>152.83873920000002</v>
      </c>
      <c r="J95" s="102">
        <v>4000</v>
      </c>
      <c r="K95" s="46">
        <f>H95*J93</f>
        <v>127365.61600000002</v>
      </c>
      <c r="L95" s="67">
        <f>I95*J95</f>
        <v>611354.9568</v>
      </c>
      <c r="M95" s="105">
        <v>0</v>
      </c>
      <c r="N95" s="103"/>
      <c r="O95" s="90">
        <f>L95</f>
        <v>611354.9568</v>
      </c>
      <c r="P95" s="52">
        <f>O95+O94</f>
        <v>15169035.1808</v>
      </c>
      <c r="Q95" s="52">
        <f>P95-O93</f>
        <v>-154838.73920000158</v>
      </c>
      <c r="R95" s="52">
        <f>O96+O95+O94</f>
        <v>15323873.92</v>
      </c>
    </row>
    <row r="96" spans="1:18" ht="13.5" thickBot="1">
      <c r="A96" s="110"/>
      <c r="B96" s="69" t="s">
        <v>118</v>
      </c>
      <c r="C96" s="114"/>
      <c r="D96" s="66"/>
      <c r="E96" s="66"/>
      <c r="F96" s="66"/>
      <c r="G96" s="66"/>
      <c r="H96" s="67"/>
      <c r="I96" s="116"/>
      <c r="J96" s="98">
        <v>1000</v>
      </c>
      <c r="K96" s="67"/>
      <c r="L96" s="67">
        <f>I95*J96</f>
        <v>152838.7392</v>
      </c>
      <c r="M96" s="121">
        <f>40*1000*5%</f>
        <v>2000</v>
      </c>
      <c r="N96" s="121"/>
      <c r="O96" s="90">
        <f>L96+M96</f>
        <v>154838.7392</v>
      </c>
      <c r="P96" s="52"/>
      <c r="Q96" s="52">
        <f>L96+L95</f>
        <v>764193.696</v>
      </c>
      <c r="R96" s="52">
        <f>O96+O95</f>
        <v>766193.696</v>
      </c>
    </row>
    <row r="97" ht="12.75">
      <c r="A97" t="s">
        <v>107</v>
      </c>
    </row>
    <row r="98" spans="1:15" ht="12.75">
      <c r="A98" s="161" t="s">
        <v>117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</row>
    <row r="99" spans="1:15" ht="12.75">
      <c r="A99" s="161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</row>
  </sheetData>
  <sheetProtection/>
  <mergeCells count="184">
    <mergeCell ref="B71:M71"/>
    <mergeCell ref="A98:O99"/>
    <mergeCell ref="M88:N88"/>
    <mergeCell ref="M74:N74"/>
    <mergeCell ref="M81:N81"/>
    <mergeCell ref="M94:N94"/>
    <mergeCell ref="M77:N77"/>
    <mergeCell ref="M76:N76"/>
    <mergeCell ref="M84:N84"/>
    <mergeCell ref="M83:N83"/>
    <mergeCell ref="AJ64:AL64"/>
    <mergeCell ref="AQ64:AS64"/>
    <mergeCell ref="V66:AC66"/>
    <mergeCell ref="AD66:AH66"/>
    <mergeCell ref="AJ66:AQ66"/>
    <mergeCell ref="AR66:AV66"/>
    <mergeCell ref="AJ61:AL61"/>
    <mergeCell ref="AQ61:AS61"/>
    <mergeCell ref="AJ62:AL62"/>
    <mergeCell ref="AQ62:AS62"/>
    <mergeCell ref="AJ59:AL59"/>
    <mergeCell ref="AQ59:AS59"/>
    <mergeCell ref="AJ60:AL60"/>
    <mergeCell ref="AQ60:AS60"/>
    <mergeCell ref="AJ57:AL57"/>
    <mergeCell ref="AQ57:AS57"/>
    <mergeCell ref="AJ58:AL58"/>
    <mergeCell ref="AQ58:AS58"/>
    <mergeCell ref="AQ53:AS53"/>
    <mergeCell ref="AJ54:AL54"/>
    <mergeCell ref="AQ54:AS54"/>
    <mergeCell ref="AJ55:AL55"/>
    <mergeCell ref="AQ55:AS55"/>
    <mergeCell ref="AC60:AE60"/>
    <mergeCell ref="AC61:AE61"/>
    <mergeCell ref="AC62:AE62"/>
    <mergeCell ref="AC64:AE64"/>
    <mergeCell ref="AC55:AE55"/>
    <mergeCell ref="AC57:AE57"/>
    <mergeCell ref="AC58:AE58"/>
    <mergeCell ref="AC59:AE59"/>
    <mergeCell ref="AJ47:AL47"/>
    <mergeCell ref="AJ49:AL49"/>
    <mergeCell ref="AC53:AE53"/>
    <mergeCell ref="AC54:AE54"/>
    <mergeCell ref="AJ53:AL53"/>
    <mergeCell ref="AJ43:AL43"/>
    <mergeCell ref="AJ44:AL44"/>
    <mergeCell ref="AJ45:AL45"/>
    <mergeCell ref="AJ46:AL46"/>
    <mergeCell ref="I5:I8"/>
    <mergeCell ref="AJ40:AL40"/>
    <mergeCell ref="AJ42:AL42"/>
    <mergeCell ref="I24:K24"/>
    <mergeCell ref="I32:K32"/>
    <mergeCell ref="H38:J38"/>
    <mergeCell ref="H39:J39"/>
    <mergeCell ref="H40:J40"/>
    <mergeCell ref="AJ38:AL38"/>
    <mergeCell ref="AJ39:AL39"/>
    <mergeCell ref="I11:I14"/>
    <mergeCell ref="I18:I21"/>
    <mergeCell ref="V43:X43"/>
    <mergeCell ref="V44:X44"/>
    <mergeCell ref="O59:Q59"/>
    <mergeCell ref="O5:O8"/>
    <mergeCell ref="V38:X38"/>
    <mergeCell ref="V39:X39"/>
    <mergeCell ref="V40:X40"/>
    <mergeCell ref="V42:X42"/>
    <mergeCell ref="V53:X53"/>
    <mergeCell ref="V54:X54"/>
    <mergeCell ref="V45:X45"/>
    <mergeCell ref="V46:X46"/>
    <mergeCell ref="O58:Q58"/>
    <mergeCell ref="H53:J53"/>
    <mergeCell ref="A22:F22"/>
    <mergeCell ref="H54:J54"/>
    <mergeCell ref="H55:J55"/>
    <mergeCell ref="A58:C58"/>
    <mergeCell ref="H44:J44"/>
    <mergeCell ref="H58:J58"/>
    <mergeCell ref="H45:J45"/>
    <mergeCell ref="H42:J42"/>
    <mergeCell ref="O53:Q53"/>
    <mergeCell ref="O54:Q54"/>
    <mergeCell ref="O55:Q55"/>
    <mergeCell ref="O57:Q57"/>
    <mergeCell ref="V47:X47"/>
    <mergeCell ref="V49:X49"/>
    <mergeCell ref="A13:F13"/>
    <mergeCell ref="A14:F14"/>
    <mergeCell ref="A15:F15"/>
    <mergeCell ref="A20:F20"/>
    <mergeCell ref="A19:F19"/>
    <mergeCell ref="H46:J46"/>
    <mergeCell ref="H43:J43"/>
    <mergeCell ref="I26:I29"/>
    <mergeCell ref="A59:C59"/>
    <mergeCell ref="A62:C62"/>
    <mergeCell ref="A64:C64"/>
    <mergeCell ref="H64:J64"/>
    <mergeCell ref="H61:J61"/>
    <mergeCell ref="H62:J62"/>
    <mergeCell ref="H59:J59"/>
    <mergeCell ref="H60:J60"/>
    <mergeCell ref="A55:C55"/>
    <mergeCell ref="A57:C57"/>
    <mergeCell ref="A40:C40"/>
    <mergeCell ref="A43:C43"/>
    <mergeCell ref="A9:F9"/>
    <mergeCell ref="A37:F37"/>
    <mergeCell ref="A38:C38"/>
    <mergeCell ref="A39:C39"/>
    <mergeCell ref="A21:F21"/>
    <mergeCell ref="A10:F10"/>
    <mergeCell ref="A12:G12"/>
    <mergeCell ref="A17:G17"/>
    <mergeCell ref="A16:F16"/>
    <mergeCell ref="A18:F18"/>
    <mergeCell ref="A2:G3"/>
    <mergeCell ref="A52:F52"/>
    <mergeCell ref="A5:F5"/>
    <mergeCell ref="A6:F6"/>
    <mergeCell ref="A7:F7"/>
    <mergeCell ref="A8:F8"/>
    <mergeCell ref="A44:C44"/>
    <mergeCell ref="A45:C45"/>
    <mergeCell ref="A11:F11"/>
    <mergeCell ref="A42:C42"/>
    <mergeCell ref="V57:X57"/>
    <mergeCell ref="A46:C46"/>
    <mergeCell ref="A47:C47"/>
    <mergeCell ref="A53:C53"/>
    <mergeCell ref="A54:C54"/>
    <mergeCell ref="A49:C49"/>
    <mergeCell ref="H57:J57"/>
    <mergeCell ref="V55:X55"/>
    <mergeCell ref="H47:J47"/>
    <mergeCell ref="H49:J49"/>
    <mergeCell ref="V58:X58"/>
    <mergeCell ref="V59:X59"/>
    <mergeCell ref="V60:X60"/>
    <mergeCell ref="V61:X61"/>
    <mergeCell ref="V62:X62"/>
    <mergeCell ref="V64:X64"/>
    <mergeCell ref="H66:O66"/>
    <mergeCell ref="A60:C60"/>
    <mergeCell ref="A61:C61"/>
    <mergeCell ref="O60:Q60"/>
    <mergeCell ref="O61:Q61"/>
    <mergeCell ref="O62:Q62"/>
    <mergeCell ref="O64:Q64"/>
    <mergeCell ref="P66:T66"/>
    <mergeCell ref="M96:N96"/>
    <mergeCell ref="A92:O92"/>
    <mergeCell ref="M89:N89"/>
    <mergeCell ref="A74:B74"/>
    <mergeCell ref="A75:B75"/>
    <mergeCell ref="A81:B81"/>
    <mergeCell ref="A82:B82"/>
    <mergeCell ref="A76:A79"/>
    <mergeCell ref="M93:N93"/>
    <mergeCell ref="M75:N75"/>
    <mergeCell ref="M79:N79"/>
    <mergeCell ref="M86:N86"/>
    <mergeCell ref="A87:O87"/>
    <mergeCell ref="M91:N91"/>
    <mergeCell ref="M82:N82"/>
    <mergeCell ref="C85:C86"/>
    <mergeCell ref="I85:I86"/>
    <mergeCell ref="A83:A86"/>
    <mergeCell ref="A88:A91"/>
    <mergeCell ref="C90:C91"/>
    <mergeCell ref="J76:J77"/>
    <mergeCell ref="C78:C79"/>
    <mergeCell ref="I78:I79"/>
    <mergeCell ref="J83:J84"/>
    <mergeCell ref="I90:I91"/>
    <mergeCell ref="A93:A96"/>
    <mergeCell ref="J88:J89"/>
    <mergeCell ref="J93:J94"/>
    <mergeCell ref="C95:C96"/>
    <mergeCell ref="I95:I9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&amp;RTabuľka č. 1</oddHeader>
  </headerFooter>
  <rowBreaks count="1" manualBreakCount="1">
    <brk id="68" max="255" man="1"/>
  </rowBreaks>
  <colBreaks count="1" manualBreakCount="1">
    <brk id="17" min="68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92"/>
  <sheetViews>
    <sheetView view="pageBreakPreview" zoomScaleSheetLayoutView="100" zoomScalePageLayoutView="0" workbookViewId="0" topLeftCell="A57">
      <selection activeCell="Q94" sqref="Q94"/>
    </sheetView>
  </sheetViews>
  <sheetFormatPr defaultColWidth="9.140625" defaultRowHeight="12.75"/>
  <cols>
    <col min="1" max="1" width="4.140625" style="0" customWidth="1"/>
    <col min="2" max="2" width="11.7109375" style="0" customWidth="1"/>
    <col min="3" max="3" width="12.57421875" style="0" customWidth="1"/>
    <col min="4" max="4" width="10.00390625" style="0" customWidth="1"/>
    <col min="6" max="6" width="11.140625" style="0" customWidth="1"/>
    <col min="7" max="7" width="11.28125" style="0" customWidth="1"/>
    <col min="8" max="8" width="10.00390625" style="0" customWidth="1"/>
    <col min="9" max="9" width="9.421875" style="0" customWidth="1"/>
    <col min="10" max="10" width="11.421875" style="0" customWidth="1"/>
    <col min="11" max="11" width="11.00390625" style="0" customWidth="1"/>
    <col min="12" max="12" width="12.7109375" style="0" customWidth="1"/>
    <col min="13" max="13" width="8.421875" style="0" customWidth="1"/>
    <col min="14" max="14" width="2.7109375" style="0" customWidth="1"/>
    <col min="15" max="15" width="11.8515625" style="0" customWidth="1"/>
    <col min="16" max="16" width="15.140625" style="0" customWidth="1"/>
    <col min="17" max="17" width="10.7109375" style="0" bestFit="1" customWidth="1"/>
    <col min="19" max="19" width="10.8515625" style="0" customWidth="1"/>
    <col min="21" max="21" width="3.421875" style="0" customWidth="1"/>
    <col min="26" max="26" width="10.140625" style="0" customWidth="1"/>
    <col min="33" max="33" width="10.140625" style="0" bestFit="1" customWidth="1"/>
  </cols>
  <sheetData>
    <row r="1" spans="1:8" ht="12.7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2.75">
      <c r="A2" s="144" t="s">
        <v>1</v>
      </c>
      <c r="B2" s="144"/>
      <c r="C2" s="144"/>
      <c r="D2" s="144"/>
      <c r="E2" s="144"/>
      <c r="F2" s="144"/>
      <c r="G2" s="144"/>
      <c r="H2" s="15"/>
    </row>
    <row r="3" spans="1:8" ht="29.25" customHeight="1">
      <c r="A3" s="144"/>
      <c r="B3" s="144"/>
      <c r="C3" s="144"/>
      <c r="D3" s="144"/>
      <c r="E3" s="144"/>
      <c r="F3" s="144"/>
      <c r="G3" s="144"/>
      <c r="H3" s="15"/>
    </row>
    <row r="4" spans="1:11" ht="12.75">
      <c r="A4" s="15"/>
      <c r="B4" s="15"/>
      <c r="C4" s="15"/>
      <c r="D4" s="15"/>
      <c r="E4" s="15"/>
      <c r="F4" s="15"/>
      <c r="G4" s="26" t="s">
        <v>39</v>
      </c>
      <c r="H4" s="15"/>
      <c r="K4" s="26" t="s">
        <v>39</v>
      </c>
    </row>
    <row r="5" spans="1:17" ht="14.25">
      <c r="A5" s="146" t="s">
        <v>60</v>
      </c>
      <c r="B5" s="147"/>
      <c r="C5" s="147"/>
      <c r="D5" s="147"/>
      <c r="E5" s="147"/>
      <c r="F5" s="148"/>
      <c r="G5" s="4">
        <v>723.03</v>
      </c>
      <c r="H5" s="15"/>
      <c r="I5" s="152" t="s">
        <v>23</v>
      </c>
      <c r="J5" s="18" t="s">
        <v>44</v>
      </c>
      <c r="K5" s="4">
        <v>185.19</v>
      </c>
      <c r="O5" s="155"/>
      <c r="P5" s="17"/>
      <c r="Q5" s="24"/>
    </row>
    <row r="6" spans="1:17" ht="14.25">
      <c r="A6" s="146" t="s">
        <v>61</v>
      </c>
      <c r="B6" s="147"/>
      <c r="C6" s="147"/>
      <c r="D6" s="147"/>
      <c r="E6" s="147"/>
      <c r="F6" s="148"/>
      <c r="G6" s="7">
        <v>744.5</v>
      </c>
      <c r="H6" s="15"/>
      <c r="I6" s="153"/>
      <c r="J6" s="18" t="s">
        <v>45</v>
      </c>
      <c r="K6" s="4">
        <v>185.38</v>
      </c>
      <c r="O6" s="155"/>
      <c r="P6" s="17"/>
      <c r="Q6" s="24"/>
    </row>
    <row r="7" spans="1:17" ht="14.25">
      <c r="A7" s="146" t="s">
        <v>62</v>
      </c>
      <c r="B7" s="147"/>
      <c r="C7" s="147"/>
      <c r="D7" s="147"/>
      <c r="E7" s="147"/>
      <c r="F7" s="148"/>
      <c r="G7" s="4">
        <v>721.77</v>
      </c>
      <c r="H7" s="15"/>
      <c r="I7" s="153"/>
      <c r="J7" s="18" t="s">
        <v>24</v>
      </c>
      <c r="K7" s="4">
        <f>(K5+K6)/2</f>
        <v>185.285</v>
      </c>
      <c r="O7" s="155"/>
      <c r="P7" s="17"/>
      <c r="Q7" s="24"/>
    </row>
    <row r="8" spans="1:17" ht="14.25">
      <c r="A8" s="146" t="s">
        <v>63</v>
      </c>
      <c r="B8" s="147"/>
      <c r="C8" s="147"/>
      <c r="D8" s="147"/>
      <c r="E8" s="147"/>
      <c r="F8" s="148"/>
      <c r="G8" s="7">
        <v>735.48363</v>
      </c>
      <c r="H8" s="15"/>
      <c r="I8" s="154"/>
      <c r="J8" s="19" t="s">
        <v>25</v>
      </c>
      <c r="K8" s="4">
        <f>K7*2</f>
        <v>370.57</v>
      </c>
      <c r="O8" s="155"/>
      <c r="P8" s="17"/>
      <c r="Q8" s="2"/>
    </row>
    <row r="9" spans="1:17" ht="25.5">
      <c r="A9" s="146" t="s">
        <v>64</v>
      </c>
      <c r="B9" s="147"/>
      <c r="C9" s="147"/>
      <c r="D9" s="147"/>
      <c r="E9" s="147"/>
      <c r="F9" s="148"/>
      <c r="G9" s="7">
        <v>768.5803933499999</v>
      </c>
      <c r="H9" s="15"/>
      <c r="I9" s="20" t="s">
        <v>30</v>
      </c>
      <c r="J9" s="19" t="s">
        <v>31</v>
      </c>
      <c r="K9" s="7">
        <v>307.7</v>
      </c>
      <c r="O9" s="29"/>
      <c r="P9" s="17"/>
      <c r="Q9" s="24"/>
    </row>
    <row r="10" spans="1:17" ht="14.25">
      <c r="A10" s="146" t="s">
        <v>65</v>
      </c>
      <c r="B10" s="147"/>
      <c r="C10" s="147"/>
      <c r="D10" s="147"/>
      <c r="E10" s="147"/>
      <c r="F10" s="148"/>
      <c r="G10" s="7">
        <v>812.3894757709498</v>
      </c>
      <c r="H10" s="15"/>
      <c r="O10" s="29"/>
      <c r="P10" s="17"/>
      <c r="Q10" s="24"/>
    </row>
    <row r="11" spans="1:17" ht="14.25">
      <c r="A11" s="146" t="s">
        <v>66</v>
      </c>
      <c r="B11" s="147"/>
      <c r="C11" s="147"/>
      <c r="D11" s="147"/>
      <c r="E11" s="147"/>
      <c r="F11" s="148"/>
      <c r="G11" s="7">
        <v>862.7576232687487</v>
      </c>
      <c r="H11" s="15"/>
      <c r="I11" s="152" t="s">
        <v>23</v>
      </c>
      <c r="J11" s="18" t="s">
        <v>46</v>
      </c>
      <c r="K11" s="4">
        <f>G19</f>
        <v>185.38</v>
      </c>
      <c r="O11" s="29"/>
      <c r="P11" s="2"/>
      <c r="Q11" s="2"/>
    </row>
    <row r="12" spans="1:11" ht="12.75">
      <c r="A12" s="149"/>
      <c r="B12" s="150"/>
      <c r="C12" s="150"/>
      <c r="D12" s="150"/>
      <c r="E12" s="150"/>
      <c r="F12" s="150"/>
      <c r="G12" s="151"/>
      <c r="H12" s="15"/>
      <c r="I12" s="153"/>
      <c r="J12" s="18" t="s">
        <v>47</v>
      </c>
      <c r="K12" s="7">
        <f>G20</f>
        <v>191.5</v>
      </c>
    </row>
    <row r="13" spans="1:11" ht="12.75">
      <c r="A13" s="146" t="s">
        <v>32</v>
      </c>
      <c r="B13" s="147"/>
      <c r="C13" s="147"/>
      <c r="D13" s="147"/>
      <c r="E13" s="147"/>
      <c r="F13" s="148"/>
      <c r="G13" s="7">
        <v>307.7</v>
      </c>
      <c r="H13" s="15"/>
      <c r="I13" s="153"/>
      <c r="J13" s="18" t="s">
        <v>24</v>
      </c>
      <c r="K13" s="4">
        <f>(K11+K12)/2</f>
        <v>188.44</v>
      </c>
    </row>
    <row r="14" spans="1:11" ht="12.75">
      <c r="A14" s="146" t="s">
        <v>33</v>
      </c>
      <c r="B14" s="147"/>
      <c r="C14" s="147"/>
      <c r="D14" s="147"/>
      <c r="E14" s="147"/>
      <c r="F14" s="148"/>
      <c r="G14" s="4"/>
      <c r="H14" s="15"/>
      <c r="I14" s="154"/>
      <c r="J14" s="19" t="s">
        <v>25</v>
      </c>
      <c r="K14" s="4">
        <f>K13*2</f>
        <v>376.88</v>
      </c>
    </row>
    <row r="15" spans="1:11" ht="25.5">
      <c r="A15" s="146" t="s">
        <v>34</v>
      </c>
      <c r="B15" s="147"/>
      <c r="C15" s="147"/>
      <c r="D15" s="147"/>
      <c r="E15" s="147"/>
      <c r="F15" s="148"/>
      <c r="G15" s="7">
        <v>317</v>
      </c>
      <c r="H15" s="15"/>
      <c r="I15" s="20" t="s">
        <v>30</v>
      </c>
      <c r="J15" s="19" t="s">
        <v>48</v>
      </c>
      <c r="K15" s="7">
        <f>G15</f>
        <v>317</v>
      </c>
    </row>
    <row r="16" spans="1:11" ht="25.5">
      <c r="A16" s="146" t="s">
        <v>35</v>
      </c>
      <c r="B16" s="147"/>
      <c r="C16" s="147"/>
      <c r="D16" s="147"/>
      <c r="E16" s="147"/>
      <c r="F16" s="148"/>
      <c r="G16" s="7">
        <v>328.8</v>
      </c>
      <c r="H16" s="27"/>
      <c r="I16" s="20" t="s">
        <v>30</v>
      </c>
      <c r="J16" s="19" t="s">
        <v>49</v>
      </c>
      <c r="K16" s="7">
        <f>G16</f>
        <v>328.8</v>
      </c>
    </row>
    <row r="17" spans="1:8" ht="12.75">
      <c r="A17" s="149"/>
      <c r="B17" s="150"/>
      <c r="C17" s="150"/>
      <c r="D17" s="150"/>
      <c r="E17" s="150"/>
      <c r="F17" s="150"/>
      <c r="G17" s="151"/>
      <c r="H17" s="15"/>
    </row>
    <row r="18" spans="1:11" ht="12.75">
      <c r="A18" s="146" t="s">
        <v>36</v>
      </c>
      <c r="B18" s="147"/>
      <c r="C18" s="147"/>
      <c r="D18" s="147"/>
      <c r="E18" s="147"/>
      <c r="F18" s="148"/>
      <c r="G18" s="4">
        <v>185.19</v>
      </c>
      <c r="H18" s="15"/>
      <c r="I18" s="152" t="s">
        <v>23</v>
      </c>
      <c r="J18" s="18" t="s">
        <v>53</v>
      </c>
      <c r="K18" s="7">
        <f>G20</f>
        <v>191.5</v>
      </c>
    </row>
    <row r="19" spans="1:11" ht="12.75">
      <c r="A19" s="146" t="s">
        <v>37</v>
      </c>
      <c r="B19" s="147"/>
      <c r="C19" s="147"/>
      <c r="D19" s="147"/>
      <c r="E19" s="147"/>
      <c r="F19" s="148"/>
      <c r="G19" s="4">
        <v>185.38</v>
      </c>
      <c r="H19" s="15"/>
      <c r="I19" s="153"/>
      <c r="J19" s="18" t="s">
        <v>54</v>
      </c>
      <c r="K19" s="7">
        <f>G21</f>
        <v>198.77</v>
      </c>
    </row>
    <row r="20" spans="1:11" ht="14.25">
      <c r="A20" s="146" t="s">
        <v>67</v>
      </c>
      <c r="B20" s="147"/>
      <c r="C20" s="147"/>
      <c r="D20" s="147"/>
      <c r="E20" s="147"/>
      <c r="F20" s="148"/>
      <c r="G20" s="7">
        <v>191.5</v>
      </c>
      <c r="H20" s="15"/>
      <c r="I20" s="153"/>
      <c r="J20" s="18" t="s">
        <v>24</v>
      </c>
      <c r="K20" s="7">
        <f>(K18+K19)/2</f>
        <v>195.135</v>
      </c>
    </row>
    <row r="21" spans="1:11" ht="14.25">
      <c r="A21" s="146" t="s">
        <v>68</v>
      </c>
      <c r="B21" s="147"/>
      <c r="C21" s="147"/>
      <c r="D21" s="147"/>
      <c r="E21" s="147"/>
      <c r="F21" s="148"/>
      <c r="G21" s="4">
        <v>198.77</v>
      </c>
      <c r="H21" s="15"/>
      <c r="I21" s="154"/>
      <c r="J21" s="19" t="s">
        <v>25</v>
      </c>
      <c r="K21" s="4">
        <f>K20*2</f>
        <v>390.27</v>
      </c>
    </row>
    <row r="22" spans="1:11" ht="25.5">
      <c r="A22" s="146" t="s">
        <v>69</v>
      </c>
      <c r="B22" s="147"/>
      <c r="C22" s="147"/>
      <c r="D22" s="147"/>
      <c r="E22" s="147"/>
      <c r="F22" s="148"/>
      <c r="G22" s="4">
        <v>206.73</v>
      </c>
      <c r="H22" s="15"/>
      <c r="I22" s="30" t="s">
        <v>30</v>
      </c>
      <c r="J22" s="31" t="s">
        <v>75</v>
      </c>
      <c r="K22" s="32">
        <f>(K15*3.8%)+K15</f>
        <v>329.046</v>
      </c>
    </row>
    <row r="23" spans="1:11" ht="25.5">
      <c r="A23" s="15"/>
      <c r="B23" s="15"/>
      <c r="C23" s="15"/>
      <c r="D23" s="15"/>
      <c r="E23" s="15"/>
      <c r="F23" s="15"/>
      <c r="G23" s="15"/>
      <c r="H23" s="15"/>
      <c r="I23" s="30" t="s">
        <v>30</v>
      </c>
      <c r="J23" s="31" t="s">
        <v>76</v>
      </c>
      <c r="K23" s="32">
        <f>(K16*3.8%)+K22</f>
        <v>341.5404</v>
      </c>
    </row>
    <row r="24" spans="1:11" ht="12.75">
      <c r="A24" s="15" t="s">
        <v>2</v>
      </c>
      <c r="B24" s="15"/>
      <c r="C24" s="15"/>
      <c r="D24" s="15"/>
      <c r="E24" s="15"/>
      <c r="F24" s="15"/>
      <c r="G24" s="15"/>
      <c r="H24" s="15"/>
      <c r="I24" s="156" t="s">
        <v>70</v>
      </c>
      <c r="J24" s="156"/>
      <c r="K24" s="156"/>
    </row>
    <row r="25" spans="1:8" ht="12.75">
      <c r="A25" s="25" t="s">
        <v>38</v>
      </c>
      <c r="B25" s="15"/>
      <c r="C25" s="15"/>
      <c r="D25" s="15"/>
      <c r="E25" s="15"/>
      <c r="F25" s="15"/>
      <c r="G25" s="15"/>
      <c r="H25" s="15"/>
    </row>
    <row r="26" spans="1:11" ht="12.75">
      <c r="A26" s="25"/>
      <c r="B26" s="15"/>
      <c r="C26" s="15"/>
      <c r="D26" s="15"/>
      <c r="E26" s="15"/>
      <c r="F26" s="15"/>
      <c r="G26" s="15"/>
      <c r="H26" s="15"/>
      <c r="I26" s="152" t="s">
        <v>23</v>
      </c>
      <c r="J26" s="18" t="s">
        <v>56</v>
      </c>
      <c r="K26" s="7">
        <f>G21</f>
        <v>198.77</v>
      </c>
    </row>
    <row r="27" spans="1:11" ht="12.75">
      <c r="A27" s="25"/>
      <c r="B27" s="15"/>
      <c r="C27" s="15"/>
      <c r="D27" s="15"/>
      <c r="E27" s="15"/>
      <c r="F27" s="15"/>
      <c r="G27" s="15"/>
      <c r="H27" s="15"/>
      <c r="I27" s="153"/>
      <c r="J27" s="18" t="s">
        <v>57</v>
      </c>
      <c r="K27" s="7">
        <f>G22</f>
        <v>206.73</v>
      </c>
    </row>
    <row r="28" spans="1:11" ht="12.75">
      <c r="A28" s="25"/>
      <c r="B28" s="15"/>
      <c r="C28" s="15"/>
      <c r="D28" s="15"/>
      <c r="E28" s="15"/>
      <c r="F28" s="15"/>
      <c r="G28" s="15"/>
      <c r="H28" s="15"/>
      <c r="I28" s="153"/>
      <c r="J28" s="18" t="s">
        <v>24</v>
      </c>
      <c r="K28" s="7">
        <f>(K26+K27)/2</f>
        <v>202.75</v>
      </c>
    </row>
    <row r="29" spans="1:11" ht="12.75">
      <c r="A29" s="33"/>
      <c r="B29" s="15"/>
      <c r="C29" s="15"/>
      <c r="D29" s="15"/>
      <c r="E29" s="15"/>
      <c r="F29" s="15"/>
      <c r="G29" s="15"/>
      <c r="H29" s="15"/>
      <c r="I29" s="154"/>
      <c r="J29" s="19" t="s">
        <v>25</v>
      </c>
      <c r="K29" s="4">
        <f>K28*2</f>
        <v>405.5</v>
      </c>
    </row>
    <row r="30" spans="1:11" ht="25.5">
      <c r="A30" s="33"/>
      <c r="B30" s="15"/>
      <c r="C30" s="15"/>
      <c r="D30" s="15"/>
      <c r="E30" s="15"/>
      <c r="F30" s="15"/>
      <c r="G30" s="15"/>
      <c r="H30" s="15"/>
      <c r="I30" s="30" t="s">
        <v>30</v>
      </c>
      <c r="J30" s="31" t="s">
        <v>77</v>
      </c>
      <c r="K30" s="32">
        <f>(K22*4%)+K22</f>
        <v>342.20784</v>
      </c>
    </row>
    <row r="31" spans="1:11" ht="25.5">
      <c r="A31" s="25"/>
      <c r="B31" s="15"/>
      <c r="C31" s="15"/>
      <c r="D31" s="15"/>
      <c r="E31" s="15"/>
      <c r="F31" s="15"/>
      <c r="G31" s="15"/>
      <c r="H31" s="15"/>
      <c r="I31" s="30" t="s">
        <v>30</v>
      </c>
      <c r="J31" s="31" t="s">
        <v>78</v>
      </c>
      <c r="K31" s="32">
        <f>(K23*4%)+K23</f>
        <v>355.20201599999996</v>
      </c>
    </row>
    <row r="32" spans="1:11" ht="12.75" customHeight="1">
      <c r="A32" s="25"/>
      <c r="B32" s="15"/>
      <c r="C32" s="15"/>
      <c r="D32" s="15"/>
      <c r="E32" s="15"/>
      <c r="F32" s="15"/>
      <c r="G32" s="15"/>
      <c r="H32" s="15"/>
      <c r="I32" s="156" t="s">
        <v>70</v>
      </c>
      <c r="J32" s="156"/>
      <c r="K32" s="156"/>
    </row>
    <row r="33" spans="1:8" ht="12.75">
      <c r="A33" s="25"/>
      <c r="B33" s="15"/>
      <c r="C33" s="15"/>
      <c r="D33" s="15"/>
      <c r="E33" s="15"/>
      <c r="F33" s="15"/>
      <c r="G33" s="15"/>
      <c r="H33" s="15"/>
    </row>
    <row r="34" spans="1:8" ht="12.75">
      <c r="A34" s="25"/>
      <c r="B34" s="15"/>
      <c r="C34" s="15"/>
      <c r="D34" s="15"/>
      <c r="E34" s="15"/>
      <c r="F34" s="15"/>
      <c r="G34" s="15"/>
      <c r="H34" s="15"/>
    </row>
    <row r="35" spans="1:8" ht="12.75">
      <c r="A35" s="25"/>
      <c r="B35" s="15"/>
      <c r="C35" s="15"/>
      <c r="D35" s="15"/>
      <c r="E35" s="15"/>
      <c r="F35" s="15"/>
      <c r="G35" s="15"/>
      <c r="H35" s="15"/>
    </row>
    <row r="37" spans="1:36" ht="12.75" customHeight="1">
      <c r="A37" s="145" t="s">
        <v>42</v>
      </c>
      <c r="B37" s="145"/>
      <c r="C37" s="145"/>
      <c r="D37" s="145"/>
      <c r="E37" s="145"/>
      <c r="F37" s="145"/>
      <c r="H37" s="1" t="s">
        <v>41</v>
      </c>
      <c r="I37" s="28"/>
      <c r="J37" s="28"/>
      <c r="K37" s="28"/>
      <c r="L37" s="28"/>
      <c r="M37" s="28"/>
      <c r="N37" s="28"/>
      <c r="V37" s="1" t="s">
        <v>55</v>
      </c>
      <c r="AJ37" s="1" t="s">
        <v>58</v>
      </c>
    </row>
    <row r="38" spans="1:41" ht="12.75">
      <c r="A38" s="142"/>
      <c r="B38" s="142"/>
      <c r="C38" s="142"/>
      <c r="D38" s="4" t="s">
        <v>3</v>
      </c>
      <c r="E38" s="21">
        <f>K8</f>
        <v>370.57</v>
      </c>
      <c r="F38" s="21">
        <f>E38</f>
        <v>370.57</v>
      </c>
      <c r="H38" s="142"/>
      <c r="I38" s="142"/>
      <c r="J38" s="142"/>
      <c r="K38" s="4" t="s">
        <v>3</v>
      </c>
      <c r="L38" s="21">
        <f>K14</f>
        <v>376.88</v>
      </c>
      <c r="M38" s="21">
        <f>L38</f>
        <v>376.88</v>
      </c>
      <c r="N38" s="23"/>
      <c r="V38" s="142"/>
      <c r="W38" s="142"/>
      <c r="X38" s="142"/>
      <c r="Y38" s="4" t="s">
        <v>3</v>
      </c>
      <c r="Z38" s="21">
        <f>K21</f>
        <v>390.27</v>
      </c>
      <c r="AA38" s="21">
        <f>Z38</f>
        <v>390.27</v>
      </c>
      <c r="AJ38" s="142"/>
      <c r="AK38" s="142"/>
      <c r="AL38" s="142"/>
      <c r="AM38" s="4" t="s">
        <v>3</v>
      </c>
      <c r="AN38" s="21">
        <f>K29</f>
        <v>405.5</v>
      </c>
      <c r="AO38" s="21">
        <f>AN38</f>
        <v>405.5</v>
      </c>
    </row>
    <row r="39" spans="1:41" ht="12.75">
      <c r="A39" s="143" t="s">
        <v>4</v>
      </c>
      <c r="B39" s="143"/>
      <c r="C39" s="143"/>
      <c r="D39" s="5">
        <v>14</v>
      </c>
      <c r="E39" s="6">
        <f>E38/100*D39</f>
        <v>51.879799999999996</v>
      </c>
      <c r="F39" s="7">
        <f aca="true" t="shared" si="0" ref="F39:F45">FLOOR(E39,0.1)</f>
        <v>51.800000000000004</v>
      </c>
      <c r="H39" s="143" t="s">
        <v>4</v>
      </c>
      <c r="I39" s="143"/>
      <c r="J39" s="143"/>
      <c r="K39" s="5">
        <v>14</v>
      </c>
      <c r="L39" s="6">
        <f>L38/100*K39</f>
        <v>52.763200000000005</v>
      </c>
      <c r="M39" s="7">
        <f aca="true" t="shared" si="1" ref="M39:M45">FLOOR(L39,0.1)</f>
        <v>52.7</v>
      </c>
      <c r="N39" s="24"/>
      <c r="V39" s="143" t="s">
        <v>4</v>
      </c>
      <c r="W39" s="143"/>
      <c r="X39" s="143"/>
      <c r="Y39" s="5">
        <v>14</v>
      </c>
      <c r="Z39" s="6">
        <f>Z38/100*Y39</f>
        <v>54.6378</v>
      </c>
      <c r="AA39" s="7">
        <f aca="true" t="shared" si="2" ref="AA39:AA45">FLOOR(Z39,0.1)</f>
        <v>54.6</v>
      </c>
      <c r="AJ39" s="143" t="s">
        <v>4</v>
      </c>
      <c r="AK39" s="143"/>
      <c r="AL39" s="143"/>
      <c r="AM39" s="5">
        <v>14</v>
      </c>
      <c r="AN39" s="6">
        <f>AN38/100*AM39</f>
        <v>56.769999999999996</v>
      </c>
      <c r="AO39" s="7">
        <f aca="true" t="shared" si="3" ref="AO39:AO45">FLOOR(AN39,0.1)</f>
        <v>56.7</v>
      </c>
    </row>
    <row r="40" spans="1:41" ht="12.75">
      <c r="A40" s="138" t="s">
        <v>5</v>
      </c>
      <c r="B40" s="138"/>
      <c r="C40" s="138"/>
      <c r="D40" s="8">
        <v>1.4</v>
      </c>
      <c r="E40" s="6">
        <f>E38/100*D40</f>
        <v>5.18798</v>
      </c>
      <c r="F40" s="7">
        <f t="shared" si="0"/>
        <v>5.1000000000000005</v>
      </c>
      <c r="H40" s="138" t="s">
        <v>5</v>
      </c>
      <c r="I40" s="138"/>
      <c r="J40" s="138"/>
      <c r="K40" s="8">
        <v>1.4</v>
      </c>
      <c r="L40" s="6">
        <f>L38/100*K40</f>
        <v>5.27632</v>
      </c>
      <c r="M40" s="7">
        <f t="shared" si="1"/>
        <v>5.2</v>
      </c>
      <c r="N40" s="24"/>
      <c r="V40" s="138" t="s">
        <v>5</v>
      </c>
      <c r="W40" s="138"/>
      <c r="X40" s="138"/>
      <c r="Y40" s="8">
        <v>1.4</v>
      </c>
      <c r="Z40" s="6">
        <f>Z38/100*Y40</f>
        <v>5.46378</v>
      </c>
      <c r="AA40" s="7">
        <f t="shared" si="2"/>
        <v>5.4</v>
      </c>
      <c r="AJ40" s="138" t="s">
        <v>5</v>
      </c>
      <c r="AK40" s="138"/>
      <c r="AL40" s="138"/>
      <c r="AM40" s="8">
        <v>1.4</v>
      </c>
      <c r="AN40" s="6">
        <f>AN38/100*AM40</f>
        <v>5.677</v>
      </c>
      <c r="AO40" s="7">
        <f t="shared" si="3"/>
        <v>5.6000000000000005</v>
      </c>
    </row>
    <row r="41" spans="1:41" ht="12.75">
      <c r="A41" s="4" t="s">
        <v>6</v>
      </c>
      <c r="B41" s="4"/>
      <c r="C41" s="4"/>
      <c r="D41" s="8">
        <v>1</v>
      </c>
      <c r="E41" s="6">
        <f>E38/100*D41</f>
        <v>3.7056999999999998</v>
      </c>
      <c r="F41" s="7">
        <f t="shared" si="0"/>
        <v>3.7</v>
      </c>
      <c r="H41" s="4" t="s">
        <v>6</v>
      </c>
      <c r="I41" s="4"/>
      <c r="J41" s="4"/>
      <c r="K41" s="8">
        <v>1</v>
      </c>
      <c r="L41" s="6">
        <f>L38/100*K41</f>
        <v>3.7688</v>
      </c>
      <c r="M41" s="7">
        <f t="shared" si="1"/>
        <v>3.7</v>
      </c>
      <c r="N41" s="24"/>
      <c r="V41" s="4" t="s">
        <v>6</v>
      </c>
      <c r="W41" s="4"/>
      <c r="X41" s="4"/>
      <c r="Y41" s="8">
        <v>1</v>
      </c>
      <c r="Z41" s="6">
        <f>Z38/100*Y41</f>
        <v>3.9027</v>
      </c>
      <c r="AA41" s="7">
        <f t="shared" si="2"/>
        <v>3.9000000000000004</v>
      </c>
      <c r="AJ41" s="4" t="s">
        <v>6</v>
      </c>
      <c r="AK41" s="4"/>
      <c r="AL41" s="4"/>
      <c r="AM41" s="8">
        <v>1</v>
      </c>
      <c r="AN41" s="6">
        <f>AN38/100*AM41</f>
        <v>4.055</v>
      </c>
      <c r="AO41" s="7">
        <f t="shared" si="3"/>
        <v>4</v>
      </c>
    </row>
    <row r="42" spans="1:41" ht="12.75">
      <c r="A42" s="138" t="s">
        <v>7</v>
      </c>
      <c r="B42" s="138"/>
      <c r="C42" s="138"/>
      <c r="D42" s="8">
        <v>3</v>
      </c>
      <c r="E42" s="6">
        <f>E38/100*D42</f>
        <v>11.117099999999999</v>
      </c>
      <c r="F42" s="7">
        <f t="shared" si="0"/>
        <v>11.100000000000001</v>
      </c>
      <c r="H42" s="138" t="s">
        <v>7</v>
      </c>
      <c r="I42" s="138"/>
      <c r="J42" s="138"/>
      <c r="K42" s="8">
        <v>3</v>
      </c>
      <c r="L42" s="6">
        <f>L38/100*K42</f>
        <v>11.3064</v>
      </c>
      <c r="M42" s="7">
        <f t="shared" si="1"/>
        <v>11.3</v>
      </c>
      <c r="N42" s="24"/>
      <c r="V42" s="138" t="s">
        <v>7</v>
      </c>
      <c r="W42" s="138"/>
      <c r="X42" s="138"/>
      <c r="Y42" s="8">
        <v>3</v>
      </c>
      <c r="Z42" s="6">
        <f>Z38/100*Y42</f>
        <v>11.7081</v>
      </c>
      <c r="AA42" s="7">
        <f t="shared" si="2"/>
        <v>11.700000000000001</v>
      </c>
      <c r="AJ42" s="138" t="s">
        <v>7</v>
      </c>
      <c r="AK42" s="138"/>
      <c r="AL42" s="138"/>
      <c r="AM42" s="8">
        <v>3</v>
      </c>
      <c r="AN42" s="6">
        <f>AN38/100*AM42</f>
        <v>12.165</v>
      </c>
      <c r="AO42" s="7">
        <f t="shared" si="3"/>
        <v>12.100000000000001</v>
      </c>
    </row>
    <row r="43" spans="1:41" ht="12.75">
      <c r="A43" s="138" t="s">
        <v>8</v>
      </c>
      <c r="B43" s="138"/>
      <c r="C43" s="138"/>
      <c r="D43" s="8">
        <v>0.8</v>
      </c>
      <c r="E43" s="6">
        <f>E38/100*D43</f>
        <v>2.96456</v>
      </c>
      <c r="F43" s="7">
        <f t="shared" si="0"/>
        <v>2.9000000000000004</v>
      </c>
      <c r="H43" s="138" t="s">
        <v>8</v>
      </c>
      <c r="I43" s="138"/>
      <c r="J43" s="138"/>
      <c r="K43" s="8">
        <v>0.8</v>
      </c>
      <c r="L43" s="6">
        <f>L38/100*K43</f>
        <v>3.0150400000000004</v>
      </c>
      <c r="M43" s="7">
        <f t="shared" si="1"/>
        <v>3</v>
      </c>
      <c r="N43" s="24"/>
      <c r="V43" s="138" t="s">
        <v>8</v>
      </c>
      <c r="W43" s="138"/>
      <c r="X43" s="138"/>
      <c r="Y43" s="8">
        <v>0.8</v>
      </c>
      <c r="Z43" s="6">
        <f>Z38/100*Y43</f>
        <v>3.12216</v>
      </c>
      <c r="AA43" s="7">
        <f t="shared" si="2"/>
        <v>3.1</v>
      </c>
      <c r="AJ43" s="138" t="s">
        <v>8</v>
      </c>
      <c r="AK43" s="138"/>
      <c r="AL43" s="138"/>
      <c r="AM43" s="8">
        <v>0.8</v>
      </c>
      <c r="AN43" s="6">
        <f>AN38/100*AM43</f>
        <v>3.2439999999999998</v>
      </c>
      <c r="AO43" s="7">
        <f t="shared" si="3"/>
        <v>3.2</v>
      </c>
    </row>
    <row r="44" spans="1:41" ht="12.75">
      <c r="A44" s="138" t="s">
        <v>9</v>
      </c>
      <c r="B44" s="138"/>
      <c r="C44" s="138"/>
      <c r="D44" s="8">
        <v>0.25</v>
      </c>
      <c r="E44" s="6">
        <f>E38/100*D44</f>
        <v>0.9264249999999999</v>
      </c>
      <c r="F44" s="7">
        <f t="shared" si="0"/>
        <v>0.9</v>
      </c>
      <c r="H44" s="138" t="s">
        <v>9</v>
      </c>
      <c r="I44" s="138"/>
      <c r="J44" s="138"/>
      <c r="K44" s="8">
        <v>0.25</v>
      </c>
      <c r="L44" s="6">
        <f>L38/100*K44</f>
        <v>0.9422</v>
      </c>
      <c r="M44" s="7">
        <f t="shared" si="1"/>
        <v>0.9</v>
      </c>
      <c r="N44" s="24"/>
      <c r="V44" s="138" t="s">
        <v>9</v>
      </c>
      <c r="W44" s="138"/>
      <c r="X44" s="138"/>
      <c r="Y44" s="8">
        <v>0.25</v>
      </c>
      <c r="Z44" s="6">
        <f>Z38/100*Y44</f>
        <v>0.975675</v>
      </c>
      <c r="AA44" s="7">
        <f t="shared" si="2"/>
        <v>0.9</v>
      </c>
      <c r="AJ44" s="138" t="s">
        <v>9</v>
      </c>
      <c r="AK44" s="138"/>
      <c r="AL44" s="138"/>
      <c r="AM44" s="8">
        <v>0.25</v>
      </c>
      <c r="AN44" s="6">
        <f>AN38/100*AM44</f>
        <v>1.01375</v>
      </c>
      <c r="AO44" s="7">
        <f t="shared" si="3"/>
        <v>1</v>
      </c>
    </row>
    <row r="45" spans="1:41" ht="12.75">
      <c r="A45" s="138" t="s">
        <v>10</v>
      </c>
      <c r="B45" s="138"/>
      <c r="C45" s="138"/>
      <c r="D45" s="8">
        <v>4.75</v>
      </c>
      <c r="E45" s="6">
        <f>E38/100*D45</f>
        <v>17.602075</v>
      </c>
      <c r="F45" s="7">
        <f t="shared" si="0"/>
        <v>17.6</v>
      </c>
      <c r="H45" s="138" t="s">
        <v>10</v>
      </c>
      <c r="I45" s="138"/>
      <c r="J45" s="138"/>
      <c r="K45" s="8">
        <v>4.75</v>
      </c>
      <c r="L45" s="6">
        <f>L38/100*K45</f>
        <v>17.9018</v>
      </c>
      <c r="M45" s="7">
        <f t="shared" si="1"/>
        <v>17.900000000000002</v>
      </c>
      <c r="N45" s="24"/>
      <c r="V45" s="138" t="s">
        <v>10</v>
      </c>
      <c r="W45" s="138"/>
      <c r="X45" s="138"/>
      <c r="Y45" s="8">
        <v>4.75</v>
      </c>
      <c r="Z45" s="6">
        <f>Z38/100*Y45</f>
        <v>18.537824999999998</v>
      </c>
      <c r="AA45" s="7">
        <f t="shared" si="2"/>
        <v>18.5</v>
      </c>
      <c r="AJ45" s="138" t="s">
        <v>10</v>
      </c>
      <c r="AK45" s="138"/>
      <c r="AL45" s="138"/>
      <c r="AM45" s="8">
        <v>4.75</v>
      </c>
      <c r="AN45" s="6">
        <f>AN38/100*AM45</f>
        <v>19.261249999999997</v>
      </c>
      <c r="AO45" s="7">
        <f t="shared" si="3"/>
        <v>19.200000000000003</v>
      </c>
    </row>
    <row r="46" spans="1:41" ht="12.75">
      <c r="A46" s="138" t="s">
        <v>11</v>
      </c>
      <c r="B46" s="138"/>
      <c r="C46" s="138"/>
      <c r="D46" s="8">
        <v>10</v>
      </c>
      <c r="E46" s="6">
        <f>E38/100*D46</f>
        <v>37.056999999999995</v>
      </c>
      <c r="F46" s="7">
        <f>FLOOR(E46,0.01)</f>
        <v>37.050000000000004</v>
      </c>
      <c r="H46" s="138" t="s">
        <v>11</v>
      </c>
      <c r="I46" s="138"/>
      <c r="J46" s="138"/>
      <c r="K46" s="8">
        <v>10</v>
      </c>
      <c r="L46" s="6">
        <f>L38/100*K46</f>
        <v>37.688</v>
      </c>
      <c r="M46" s="7">
        <f>FLOOR(L46,0.01)</f>
        <v>37.68</v>
      </c>
      <c r="N46" s="24"/>
      <c r="V46" s="138" t="s">
        <v>11</v>
      </c>
      <c r="W46" s="138"/>
      <c r="X46" s="138"/>
      <c r="Y46" s="8">
        <v>10</v>
      </c>
      <c r="Z46" s="6">
        <f>Z38/100*Y46</f>
        <v>39.027</v>
      </c>
      <c r="AA46" s="7">
        <f>FLOOR(Z46,0.01)</f>
        <v>39.02</v>
      </c>
      <c r="AJ46" s="138" t="s">
        <v>11</v>
      </c>
      <c r="AK46" s="138"/>
      <c r="AL46" s="138"/>
      <c r="AM46" s="8">
        <v>10</v>
      </c>
      <c r="AN46" s="6">
        <f>AN38/100*AM46</f>
        <v>40.55</v>
      </c>
      <c r="AO46" s="7">
        <f>FLOOR(AN46,0.01)</f>
        <v>40.550000000000004</v>
      </c>
    </row>
    <row r="47" spans="1:41" ht="12.75">
      <c r="A47" s="131" t="s">
        <v>12</v>
      </c>
      <c r="B47" s="132"/>
      <c r="C47" s="133"/>
      <c r="D47" s="9">
        <f>SUM(D39:D46)</f>
        <v>35.2</v>
      </c>
      <c r="E47" s="6">
        <f>SUM(E39:E46)</f>
        <v>130.44064</v>
      </c>
      <c r="F47" s="22">
        <f>SUM(F39:F46)</f>
        <v>130.15000000000003</v>
      </c>
      <c r="H47" s="131" t="s">
        <v>12</v>
      </c>
      <c r="I47" s="132"/>
      <c r="J47" s="133"/>
      <c r="K47" s="9">
        <f>SUM(K39:K46)</f>
        <v>35.2</v>
      </c>
      <c r="L47" s="6">
        <f>SUM(L39:L46)</f>
        <v>132.66176000000002</v>
      </c>
      <c r="M47" s="22">
        <f>SUM(M39:M46)</f>
        <v>132.38000000000002</v>
      </c>
      <c r="N47" s="24"/>
      <c r="V47" s="131" t="s">
        <v>12</v>
      </c>
      <c r="W47" s="132"/>
      <c r="X47" s="133"/>
      <c r="Y47" s="9">
        <f>SUM(Y39:Y46)</f>
        <v>35.2</v>
      </c>
      <c r="Z47" s="6">
        <f>SUM(Z39:Z46)</f>
        <v>137.37503999999998</v>
      </c>
      <c r="AA47" s="22">
        <f>SUM(AA39:AA46)</f>
        <v>137.12</v>
      </c>
      <c r="AJ47" s="131" t="s">
        <v>12</v>
      </c>
      <c r="AK47" s="132"/>
      <c r="AL47" s="133"/>
      <c r="AM47" s="9">
        <f>SUM(AM39:AM46)</f>
        <v>35.2</v>
      </c>
      <c r="AN47" s="6">
        <f>SUM(AN39:AN46)</f>
        <v>142.736</v>
      </c>
      <c r="AO47" s="22">
        <f>SUM(AO39:AO46)</f>
        <v>142.35000000000002</v>
      </c>
    </row>
    <row r="48" ht="12.75">
      <c r="N48" s="2"/>
    </row>
    <row r="49" spans="1:41" ht="12.75">
      <c r="A49" s="134" t="s">
        <v>13</v>
      </c>
      <c r="B49" s="134"/>
      <c r="C49" s="134"/>
      <c r="E49" s="10">
        <f>E38+E47</f>
        <v>501.01063999999997</v>
      </c>
      <c r="F49" s="11">
        <f>F38+F47</f>
        <v>500.72</v>
      </c>
      <c r="H49" s="134" t="s">
        <v>13</v>
      </c>
      <c r="I49" s="134"/>
      <c r="J49" s="134"/>
      <c r="L49" s="10">
        <f>L38+L47</f>
        <v>509.54176</v>
      </c>
      <c r="M49" s="11">
        <f>M38+M47</f>
        <v>509.26</v>
      </c>
      <c r="N49" s="23"/>
      <c r="V49" s="134" t="s">
        <v>13</v>
      </c>
      <c r="W49" s="134"/>
      <c r="X49" s="134"/>
      <c r="Z49" s="10">
        <f>Z38+Z47</f>
        <v>527.64504</v>
      </c>
      <c r="AA49" s="11">
        <f>AA38+AA47</f>
        <v>527.39</v>
      </c>
      <c r="AJ49" s="134" t="s">
        <v>13</v>
      </c>
      <c r="AK49" s="134"/>
      <c r="AL49" s="134"/>
      <c r="AN49" s="10">
        <f>AN38+AN47</f>
        <v>548.236</v>
      </c>
      <c r="AO49" s="11">
        <f>AO38+AO47</f>
        <v>547.85</v>
      </c>
    </row>
    <row r="50" spans="9:14" ht="12.75">
      <c r="I50" s="2"/>
      <c r="J50" s="2"/>
      <c r="K50" s="2"/>
      <c r="L50" s="2"/>
      <c r="M50" s="2"/>
      <c r="N50" s="2"/>
    </row>
    <row r="51" spans="9:14" ht="12.75">
      <c r="I51" s="2"/>
      <c r="J51" s="2"/>
      <c r="K51" s="2"/>
      <c r="L51" s="2"/>
      <c r="M51" s="2"/>
      <c r="N51" s="2"/>
    </row>
    <row r="52" spans="1:43" ht="12.75">
      <c r="A52" s="145" t="s">
        <v>43</v>
      </c>
      <c r="B52" s="145"/>
      <c r="C52" s="145"/>
      <c r="D52" s="145"/>
      <c r="E52" s="145"/>
      <c r="F52" s="145"/>
      <c r="H52" s="1" t="s">
        <v>50</v>
      </c>
      <c r="I52" s="2"/>
      <c r="J52" s="2"/>
      <c r="K52" s="2"/>
      <c r="L52" s="2"/>
      <c r="M52" s="2"/>
      <c r="N52" s="2"/>
      <c r="O52" s="1" t="s">
        <v>51</v>
      </c>
      <c r="P52" s="2"/>
      <c r="Q52" s="2"/>
      <c r="R52" s="2"/>
      <c r="S52" s="2"/>
      <c r="T52" s="2"/>
      <c r="V52" s="1" t="s">
        <v>71</v>
      </c>
      <c r="AC52" s="1" t="s">
        <v>72</v>
      </c>
      <c r="AJ52" s="1" t="s">
        <v>73</v>
      </c>
      <c r="AQ52" s="1" t="s">
        <v>74</v>
      </c>
    </row>
    <row r="53" spans="1:48" ht="12.75">
      <c r="A53" s="142"/>
      <c r="B53" s="142"/>
      <c r="C53" s="142"/>
      <c r="D53" s="4" t="s">
        <v>3</v>
      </c>
      <c r="E53" s="21">
        <f>K9</f>
        <v>307.7</v>
      </c>
      <c r="F53" s="21">
        <f>E53</f>
        <v>307.7</v>
      </c>
      <c r="H53" s="142"/>
      <c r="I53" s="142"/>
      <c r="J53" s="142"/>
      <c r="K53" s="4" t="s">
        <v>3</v>
      </c>
      <c r="L53" s="21">
        <f>K15</f>
        <v>317</v>
      </c>
      <c r="M53" s="21">
        <f>L53</f>
        <v>317</v>
      </c>
      <c r="N53" s="2"/>
      <c r="O53" s="142"/>
      <c r="P53" s="142"/>
      <c r="Q53" s="142"/>
      <c r="R53" s="4" t="s">
        <v>3</v>
      </c>
      <c r="S53" s="21">
        <f>K16</f>
        <v>328.8</v>
      </c>
      <c r="T53" s="21">
        <f>S53</f>
        <v>328.8</v>
      </c>
      <c r="V53" s="142"/>
      <c r="W53" s="142"/>
      <c r="X53" s="142"/>
      <c r="Y53" s="4" t="s">
        <v>3</v>
      </c>
      <c r="Z53" s="21">
        <f>K22</f>
        <v>329.046</v>
      </c>
      <c r="AA53" s="21">
        <f>Z53</f>
        <v>329.046</v>
      </c>
      <c r="AC53" s="142"/>
      <c r="AD53" s="142"/>
      <c r="AE53" s="142"/>
      <c r="AF53" s="4" t="s">
        <v>3</v>
      </c>
      <c r="AG53" s="21">
        <f>K23</f>
        <v>341.5404</v>
      </c>
      <c r="AH53" s="21">
        <f>AG53</f>
        <v>341.5404</v>
      </c>
      <c r="AJ53" s="142"/>
      <c r="AK53" s="142"/>
      <c r="AL53" s="142"/>
      <c r="AM53" s="4" t="s">
        <v>3</v>
      </c>
      <c r="AN53" s="21">
        <f>K30</f>
        <v>342.20784</v>
      </c>
      <c r="AO53" s="21">
        <f>AN53</f>
        <v>342.20784</v>
      </c>
      <c r="AQ53" s="142"/>
      <c r="AR53" s="142"/>
      <c r="AS53" s="142"/>
      <c r="AT53" s="4" t="s">
        <v>3</v>
      </c>
      <c r="AU53" s="21">
        <f>K31</f>
        <v>355.20201599999996</v>
      </c>
      <c r="AV53" s="21">
        <f>AU53</f>
        <v>355.20201599999996</v>
      </c>
    </row>
    <row r="54" spans="1:48" ht="12.75">
      <c r="A54" s="143" t="s">
        <v>4</v>
      </c>
      <c r="B54" s="143"/>
      <c r="C54" s="143"/>
      <c r="D54" s="5">
        <v>14</v>
      </c>
      <c r="E54" s="6">
        <f>E53/100*D54</f>
        <v>43.078</v>
      </c>
      <c r="F54" s="7">
        <f aca="true" t="shared" si="4" ref="F54:F60">FLOOR(E54,0.1)</f>
        <v>43</v>
      </c>
      <c r="H54" s="143" t="s">
        <v>4</v>
      </c>
      <c r="I54" s="143"/>
      <c r="J54" s="143"/>
      <c r="K54" s="5">
        <v>14</v>
      </c>
      <c r="L54" s="6">
        <f>L53/100*K54</f>
        <v>44.379999999999995</v>
      </c>
      <c r="M54" s="7">
        <f aca="true" t="shared" si="5" ref="M54:M60">FLOOR(L54,0.1)</f>
        <v>44.300000000000004</v>
      </c>
      <c r="N54" s="2"/>
      <c r="O54" s="143" t="s">
        <v>4</v>
      </c>
      <c r="P54" s="143"/>
      <c r="Q54" s="143"/>
      <c r="R54" s="5">
        <v>14</v>
      </c>
      <c r="S54" s="6">
        <f>S53/100*R54</f>
        <v>46.032000000000004</v>
      </c>
      <c r="T54" s="7">
        <f aca="true" t="shared" si="6" ref="T54:T60">FLOOR(S54,0.1)</f>
        <v>46</v>
      </c>
      <c r="V54" s="143" t="s">
        <v>4</v>
      </c>
      <c r="W54" s="143"/>
      <c r="X54" s="143"/>
      <c r="Y54" s="5">
        <v>14</v>
      </c>
      <c r="Z54" s="6">
        <f>Z53/100*Y54</f>
        <v>46.06644</v>
      </c>
      <c r="AA54" s="7">
        <f aca="true" t="shared" si="7" ref="AA54:AA60">FLOOR(Z54,0.1)</f>
        <v>46</v>
      </c>
      <c r="AC54" s="143" t="s">
        <v>4</v>
      </c>
      <c r="AD54" s="143"/>
      <c r="AE54" s="143"/>
      <c r="AF54" s="5">
        <v>14</v>
      </c>
      <c r="AG54" s="6">
        <f>AG53/100*AF54</f>
        <v>47.815656</v>
      </c>
      <c r="AH54" s="7">
        <f aca="true" t="shared" si="8" ref="AH54:AH60">FLOOR(AG54,0.1)</f>
        <v>47.800000000000004</v>
      </c>
      <c r="AJ54" s="143" t="s">
        <v>4</v>
      </c>
      <c r="AK54" s="143"/>
      <c r="AL54" s="143"/>
      <c r="AM54" s="5">
        <v>14</v>
      </c>
      <c r="AN54" s="6">
        <f>AN53/100*AM54</f>
        <v>47.909097599999996</v>
      </c>
      <c r="AO54" s="7">
        <f aca="true" t="shared" si="9" ref="AO54:AO60">FLOOR(AN54,0.1)</f>
        <v>47.900000000000006</v>
      </c>
      <c r="AQ54" s="143" t="s">
        <v>4</v>
      </c>
      <c r="AR54" s="143"/>
      <c r="AS54" s="143"/>
      <c r="AT54" s="5">
        <v>14</v>
      </c>
      <c r="AU54" s="6">
        <f>AU53/100*AT54</f>
        <v>49.72828224</v>
      </c>
      <c r="AV54" s="7">
        <f aca="true" t="shared" si="10" ref="AV54:AV60">FLOOR(AU54,0.1)</f>
        <v>49.7</v>
      </c>
    </row>
    <row r="55" spans="1:48" ht="12.75">
      <c r="A55" s="138" t="s">
        <v>5</v>
      </c>
      <c r="B55" s="138"/>
      <c r="C55" s="138"/>
      <c r="D55" s="8">
        <v>1.4</v>
      </c>
      <c r="E55" s="6">
        <f>E53/100*D55</f>
        <v>4.307799999999999</v>
      </c>
      <c r="F55" s="7">
        <f t="shared" si="4"/>
        <v>4.3</v>
      </c>
      <c r="H55" s="138" t="s">
        <v>5</v>
      </c>
      <c r="I55" s="138"/>
      <c r="J55" s="138"/>
      <c r="K55" s="8">
        <v>1.4</v>
      </c>
      <c r="L55" s="6">
        <f>L53/100*K55</f>
        <v>4.438</v>
      </c>
      <c r="M55" s="7">
        <f t="shared" si="5"/>
        <v>4.4</v>
      </c>
      <c r="N55" s="2"/>
      <c r="O55" s="138" t="s">
        <v>5</v>
      </c>
      <c r="P55" s="138"/>
      <c r="Q55" s="138"/>
      <c r="R55" s="8">
        <v>1.4</v>
      </c>
      <c r="S55" s="6">
        <f>S53/100*R55</f>
        <v>4.6032</v>
      </c>
      <c r="T55" s="7">
        <f t="shared" si="6"/>
        <v>4.6000000000000005</v>
      </c>
      <c r="V55" s="138" t="s">
        <v>5</v>
      </c>
      <c r="W55" s="138"/>
      <c r="X55" s="138"/>
      <c r="Y55" s="8">
        <v>1.4</v>
      </c>
      <c r="Z55" s="6">
        <f>Z53/100*Y55</f>
        <v>4.606643999999999</v>
      </c>
      <c r="AA55" s="7">
        <f t="shared" si="7"/>
        <v>4.6000000000000005</v>
      </c>
      <c r="AC55" s="138" t="s">
        <v>5</v>
      </c>
      <c r="AD55" s="138"/>
      <c r="AE55" s="138"/>
      <c r="AF55" s="8">
        <v>1.4</v>
      </c>
      <c r="AG55" s="6">
        <f>AG53/100*AF55</f>
        <v>4.7815655999999995</v>
      </c>
      <c r="AH55" s="7">
        <f t="shared" si="8"/>
        <v>4.7</v>
      </c>
      <c r="AJ55" s="138" t="s">
        <v>5</v>
      </c>
      <c r="AK55" s="138"/>
      <c r="AL55" s="138"/>
      <c r="AM55" s="8">
        <v>1.4</v>
      </c>
      <c r="AN55" s="6">
        <f>AN53/100*AM55</f>
        <v>4.790909759999999</v>
      </c>
      <c r="AO55" s="7">
        <f t="shared" si="9"/>
        <v>4.7</v>
      </c>
      <c r="AQ55" s="138" t="s">
        <v>5</v>
      </c>
      <c r="AR55" s="138"/>
      <c r="AS55" s="138"/>
      <c r="AT55" s="8">
        <v>1.4</v>
      </c>
      <c r="AU55" s="6">
        <f>AU53/100*AT55</f>
        <v>4.972828223999999</v>
      </c>
      <c r="AV55" s="7">
        <f t="shared" si="10"/>
        <v>4.9</v>
      </c>
    </row>
    <row r="56" spans="1:48" ht="12.75">
      <c r="A56" s="4" t="s">
        <v>6</v>
      </c>
      <c r="B56" s="4"/>
      <c r="C56" s="4"/>
      <c r="D56" s="8">
        <v>1</v>
      </c>
      <c r="E56" s="6">
        <f>E53/100*D56</f>
        <v>3.077</v>
      </c>
      <c r="F56" s="7">
        <f t="shared" si="4"/>
        <v>3</v>
      </c>
      <c r="H56" s="4" t="s">
        <v>6</v>
      </c>
      <c r="I56" s="4"/>
      <c r="J56" s="4"/>
      <c r="K56" s="8">
        <v>1</v>
      </c>
      <c r="L56" s="6">
        <f>L53/100*K56</f>
        <v>3.17</v>
      </c>
      <c r="M56" s="7">
        <f t="shared" si="5"/>
        <v>3.1</v>
      </c>
      <c r="N56" s="2"/>
      <c r="O56" s="4" t="s">
        <v>6</v>
      </c>
      <c r="P56" s="4"/>
      <c r="Q56" s="4"/>
      <c r="R56" s="8">
        <v>1</v>
      </c>
      <c r="S56" s="6">
        <f>S53/100*R56</f>
        <v>3.2880000000000003</v>
      </c>
      <c r="T56" s="7">
        <f t="shared" si="6"/>
        <v>3.2</v>
      </c>
      <c r="V56" s="4" t="s">
        <v>6</v>
      </c>
      <c r="W56" s="4"/>
      <c r="X56" s="4"/>
      <c r="Y56" s="8">
        <v>1</v>
      </c>
      <c r="Z56" s="6">
        <f>Z53/100*Y56</f>
        <v>3.29046</v>
      </c>
      <c r="AA56" s="7">
        <f t="shared" si="7"/>
        <v>3.2</v>
      </c>
      <c r="AC56" s="4" t="s">
        <v>6</v>
      </c>
      <c r="AD56" s="4"/>
      <c r="AE56" s="4"/>
      <c r="AF56" s="8">
        <v>1</v>
      </c>
      <c r="AG56" s="6">
        <f>AG53/100*AF56</f>
        <v>3.4154039999999997</v>
      </c>
      <c r="AH56" s="7">
        <f t="shared" si="8"/>
        <v>3.4000000000000004</v>
      </c>
      <c r="AJ56" s="4" t="s">
        <v>6</v>
      </c>
      <c r="AK56" s="4"/>
      <c r="AL56" s="4"/>
      <c r="AM56" s="8">
        <v>1</v>
      </c>
      <c r="AN56" s="6">
        <f>AN53/100*AM56</f>
        <v>3.4220783999999997</v>
      </c>
      <c r="AO56" s="7">
        <f t="shared" si="9"/>
        <v>3.4000000000000004</v>
      </c>
      <c r="AQ56" s="4" t="s">
        <v>6</v>
      </c>
      <c r="AR56" s="4"/>
      <c r="AS56" s="4"/>
      <c r="AT56" s="8">
        <v>1</v>
      </c>
      <c r="AU56" s="6">
        <f>AU53/100*AT56</f>
        <v>3.5520201599999996</v>
      </c>
      <c r="AV56" s="7">
        <f t="shared" si="10"/>
        <v>3.5</v>
      </c>
    </row>
    <row r="57" spans="1:48" ht="12.75">
      <c r="A57" s="138" t="s">
        <v>7</v>
      </c>
      <c r="B57" s="138"/>
      <c r="C57" s="138"/>
      <c r="D57" s="8">
        <v>3</v>
      </c>
      <c r="E57" s="6">
        <f>E53/100*D57</f>
        <v>9.231</v>
      </c>
      <c r="F57" s="7">
        <f t="shared" si="4"/>
        <v>9.200000000000001</v>
      </c>
      <c r="H57" s="138" t="s">
        <v>7</v>
      </c>
      <c r="I57" s="138"/>
      <c r="J57" s="138"/>
      <c r="K57" s="8">
        <v>3</v>
      </c>
      <c r="L57" s="6">
        <f>L53/100*K57</f>
        <v>9.51</v>
      </c>
      <c r="M57" s="7">
        <f t="shared" si="5"/>
        <v>9.5</v>
      </c>
      <c r="N57" s="2"/>
      <c r="O57" s="138" t="s">
        <v>7</v>
      </c>
      <c r="P57" s="138"/>
      <c r="Q57" s="138"/>
      <c r="R57" s="8">
        <v>3</v>
      </c>
      <c r="S57" s="6">
        <f>S53/100*R57</f>
        <v>9.864</v>
      </c>
      <c r="T57" s="7">
        <f t="shared" si="6"/>
        <v>9.8</v>
      </c>
      <c r="V57" s="138" t="s">
        <v>7</v>
      </c>
      <c r="W57" s="138"/>
      <c r="X57" s="138"/>
      <c r="Y57" s="8">
        <v>3</v>
      </c>
      <c r="Z57" s="6">
        <f>Z53/100*Y57</f>
        <v>9.87138</v>
      </c>
      <c r="AA57" s="7">
        <f t="shared" si="7"/>
        <v>9.8</v>
      </c>
      <c r="AC57" s="138" t="s">
        <v>7</v>
      </c>
      <c r="AD57" s="138"/>
      <c r="AE57" s="138"/>
      <c r="AF57" s="8">
        <v>3</v>
      </c>
      <c r="AG57" s="6">
        <f>AG53/100*AF57</f>
        <v>10.246212</v>
      </c>
      <c r="AH57" s="7">
        <f t="shared" si="8"/>
        <v>10.200000000000001</v>
      </c>
      <c r="AJ57" s="138" t="s">
        <v>7</v>
      </c>
      <c r="AK57" s="138"/>
      <c r="AL57" s="138"/>
      <c r="AM57" s="8">
        <v>3</v>
      </c>
      <c r="AN57" s="6">
        <f>AN53/100*AM57</f>
        <v>10.266235199999999</v>
      </c>
      <c r="AO57" s="7">
        <f t="shared" si="9"/>
        <v>10.200000000000001</v>
      </c>
      <c r="AQ57" s="138" t="s">
        <v>7</v>
      </c>
      <c r="AR57" s="138"/>
      <c r="AS57" s="138"/>
      <c r="AT57" s="8">
        <v>3</v>
      </c>
      <c r="AU57" s="6">
        <f>AU53/100*AT57</f>
        <v>10.656060479999999</v>
      </c>
      <c r="AV57" s="7">
        <f t="shared" si="10"/>
        <v>10.600000000000001</v>
      </c>
    </row>
    <row r="58" spans="1:48" ht="12.75">
      <c r="A58" s="138" t="s">
        <v>8</v>
      </c>
      <c r="B58" s="138"/>
      <c r="C58" s="138"/>
      <c r="D58" s="8">
        <v>0.8</v>
      </c>
      <c r="E58" s="6">
        <f>E53/100*D58</f>
        <v>2.4616000000000002</v>
      </c>
      <c r="F58" s="7">
        <f t="shared" si="4"/>
        <v>2.4000000000000004</v>
      </c>
      <c r="H58" s="138" t="s">
        <v>8</v>
      </c>
      <c r="I58" s="138"/>
      <c r="J58" s="138"/>
      <c r="K58" s="8">
        <v>0.8</v>
      </c>
      <c r="L58" s="6">
        <f>L53/100*K58</f>
        <v>2.536</v>
      </c>
      <c r="M58" s="7">
        <f t="shared" si="5"/>
        <v>2.5</v>
      </c>
      <c r="N58" s="2"/>
      <c r="O58" s="138" t="s">
        <v>8</v>
      </c>
      <c r="P58" s="138"/>
      <c r="Q58" s="138"/>
      <c r="R58" s="8">
        <v>0.8</v>
      </c>
      <c r="S58" s="6">
        <f>S53/100*R58</f>
        <v>2.6304000000000003</v>
      </c>
      <c r="T58" s="7">
        <f t="shared" si="6"/>
        <v>2.6</v>
      </c>
      <c r="V58" s="138" t="s">
        <v>8</v>
      </c>
      <c r="W58" s="138"/>
      <c r="X58" s="138"/>
      <c r="Y58" s="8">
        <v>0.8</v>
      </c>
      <c r="Z58" s="6">
        <f>Z53/100*Y58</f>
        <v>2.632368</v>
      </c>
      <c r="AA58" s="7">
        <f t="shared" si="7"/>
        <v>2.6</v>
      </c>
      <c r="AC58" s="138" t="s">
        <v>8</v>
      </c>
      <c r="AD58" s="138"/>
      <c r="AE58" s="138"/>
      <c r="AF58" s="8">
        <v>0.8</v>
      </c>
      <c r="AG58" s="6">
        <f>AG53/100*AF58</f>
        <v>2.7323231999999997</v>
      </c>
      <c r="AH58" s="7">
        <f t="shared" si="8"/>
        <v>2.7</v>
      </c>
      <c r="AJ58" s="138" t="s">
        <v>8</v>
      </c>
      <c r="AK58" s="138"/>
      <c r="AL58" s="138"/>
      <c r="AM58" s="8">
        <v>0.8</v>
      </c>
      <c r="AN58" s="6">
        <f>AN53/100*AM58</f>
        <v>2.73766272</v>
      </c>
      <c r="AO58" s="7">
        <f t="shared" si="9"/>
        <v>2.7</v>
      </c>
      <c r="AQ58" s="138" t="s">
        <v>8</v>
      </c>
      <c r="AR58" s="138"/>
      <c r="AS58" s="138"/>
      <c r="AT58" s="8">
        <v>0.8</v>
      </c>
      <c r="AU58" s="6">
        <f>AU53/100*AT58</f>
        <v>2.841616128</v>
      </c>
      <c r="AV58" s="7">
        <f t="shared" si="10"/>
        <v>2.8000000000000003</v>
      </c>
    </row>
    <row r="59" spans="1:48" ht="12.75">
      <c r="A59" s="138" t="s">
        <v>9</v>
      </c>
      <c r="B59" s="138"/>
      <c r="C59" s="138"/>
      <c r="D59" s="8">
        <v>0.25</v>
      </c>
      <c r="E59" s="6">
        <f>E53/100*D59</f>
        <v>0.76925</v>
      </c>
      <c r="F59" s="7">
        <f t="shared" si="4"/>
        <v>0.7000000000000001</v>
      </c>
      <c r="H59" s="138" t="s">
        <v>9</v>
      </c>
      <c r="I59" s="138"/>
      <c r="J59" s="138"/>
      <c r="K59" s="8">
        <v>0.25</v>
      </c>
      <c r="L59" s="6">
        <f>L53/100*K59</f>
        <v>0.7925</v>
      </c>
      <c r="M59" s="7">
        <f t="shared" si="5"/>
        <v>0.7000000000000001</v>
      </c>
      <c r="N59" s="2"/>
      <c r="O59" s="138" t="s">
        <v>9</v>
      </c>
      <c r="P59" s="138"/>
      <c r="Q59" s="138"/>
      <c r="R59" s="8">
        <v>0.25</v>
      </c>
      <c r="S59" s="6">
        <f>S53/100*R59</f>
        <v>0.8220000000000001</v>
      </c>
      <c r="T59" s="7">
        <f t="shared" si="6"/>
        <v>0.8</v>
      </c>
      <c r="V59" s="138" t="s">
        <v>9</v>
      </c>
      <c r="W59" s="138"/>
      <c r="X59" s="138"/>
      <c r="Y59" s="8">
        <v>0.25</v>
      </c>
      <c r="Z59" s="6">
        <f>Z53/100*Y59</f>
        <v>0.822615</v>
      </c>
      <c r="AA59" s="7">
        <f t="shared" si="7"/>
        <v>0.8</v>
      </c>
      <c r="AC59" s="138" t="s">
        <v>9</v>
      </c>
      <c r="AD59" s="138"/>
      <c r="AE59" s="138"/>
      <c r="AF59" s="8">
        <v>0.25</v>
      </c>
      <c r="AG59" s="6">
        <f>AG53/100*AF59</f>
        <v>0.8538509999999999</v>
      </c>
      <c r="AH59" s="7">
        <f t="shared" si="8"/>
        <v>0.8</v>
      </c>
      <c r="AJ59" s="138" t="s">
        <v>9</v>
      </c>
      <c r="AK59" s="138"/>
      <c r="AL59" s="138"/>
      <c r="AM59" s="8">
        <v>0.25</v>
      </c>
      <c r="AN59" s="6">
        <f>AN53/100*AM59</f>
        <v>0.8555195999999999</v>
      </c>
      <c r="AO59" s="7">
        <f t="shared" si="9"/>
        <v>0.8</v>
      </c>
      <c r="AQ59" s="138" t="s">
        <v>9</v>
      </c>
      <c r="AR59" s="138"/>
      <c r="AS59" s="138"/>
      <c r="AT59" s="8">
        <v>0.25</v>
      </c>
      <c r="AU59" s="6">
        <f>AU53/100*AT59</f>
        <v>0.8880050399999999</v>
      </c>
      <c r="AV59" s="7">
        <f t="shared" si="10"/>
        <v>0.8</v>
      </c>
    </row>
    <row r="60" spans="1:48" ht="12.75">
      <c r="A60" s="138" t="s">
        <v>10</v>
      </c>
      <c r="B60" s="138"/>
      <c r="C60" s="138"/>
      <c r="D60" s="8">
        <v>4.75</v>
      </c>
      <c r="E60" s="6">
        <f>E53/100*D60</f>
        <v>14.61575</v>
      </c>
      <c r="F60" s="7">
        <f t="shared" si="4"/>
        <v>14.600000000000001</v>
      </c>
      <c r="H60" s="138" t="s">
        <v>10</v>
      </c>
      <c r="I60" s="138"/>
      <c r="J60" s="138"/>
      <c r="K60" s="8">
        <v>4.75</v>
      </c>
      <c r="L60" s="6">
        <f>L53/100*K60</f>
        <v>15.0575</v>
      </c>
      <c r="M60" s="7">
        <f t="shared" si="5"/>
        <v>15</v>
      </c>
      <c r="N60" s="2"/>
      <c r="O60" s="138" t="s">
        <v>10</v>
      </c>
      <c r="P60" s="138"/>
      <c r="Q60" s="138"/>
      <c r="R60" s="8">
        <v>4.75</v>
      </c>
      <c r="S60" s="6">
        <f>S53/100*R60</f>
        <v>15.618000000000002</v>
      </c>
      <c r="T60" s="7">
        <f t="shared" si="6"/>
        <v>15.600000000000001</v>
      </c>
      <c r="V60" s="138" t="s">
        <v>10</v>
      </c>
      <c r="W60" s="138"/>
      <c r="X60" s="138"/>
      <c r="Y60" s="8">
        <v>4.75</v>
      </c>
      <c r="Z60" s="6">
        <f>Z53/100*Y60</f>
        <v>15.629685</v>
      </c>
      <c r="AA60" s="7">
        <f t="shared" si="7"/>
        <v>15.600000000000001</v>
      </c>
      <c r="AC60" s="138" t="s">
        <v>10</v>
      </c>
      <c r="AD60" s="138"/>
      <c r="AE60" s="138"/>
      <c r="AF60" s="8">
        <v>4.75</v>
      </c>
      <c r="AG60" s="6">
        <f>AG53/100*AF60</f>
        <v>16.223169</v>
      </c>
      <c r="AH60" s="7">
        <f t="shared" si="8"/>
        <v>16.2</v>
      </c>
      <c r="AJ60" s="138" t="s">
        <v>10</v>
      </c>
      <c r="AK60" s="138"/>
      <c r="AL60" s="138"/>
      <c r="AM60" s="8">
        <v>4.75</v>
      </c>
      <c r="AN60" s="6">
        <f>AN53/100*AM60</f>
        <v>16.2548724</v>
      </c>
      <c r="AO60" s="7">
        <f t="shared" si="9"/>
        <v>16.2</v>
      </c>
      <c r="AQ60" s="138" t="s">
        <v>10</v>
      </c>
      <c r="AR60" s="138"/>
      <c r="AS60" s="138"/>
      <c r="AT60" s="8">
        <v>4.75</v>
      </c>
      <c r="AU60" s="6">
        <f>AU53/100*AT60</f>
        <v>16.872095759999997</v>
      </c>
      <c r="AV60" s="7">
        <f t="shared" si="10"/>
        <v>16.8</v>
      </c>
    </row>
    <row r="61" spans="1:48" ht="12.75">
      <c r="A61" s="138" t="s">
        <v>11</v>
      </c>
      <c r="B61" s="138"/>
      <c r="C61" s="138"/>
      <c r="D61" s="8">
        <v>10</v>
      </c>
      <c r="E61" s="6">
        <f>E53/100*D61</f>
        <v>30.77</v>
      </c>
      <c r="F61" s="7">
        <f>FLOOR(E61,0.01)</f>
        <v>30.77</v>
      </c>
      <c r="H61" s="138" t="s">
        <v>11</v>
      </c>
      <c r="I61" s="138"/>
      <c r="J61" s="138"/>
      <c r="K61" s="8">
        <v>10</v>
      </c>
      <c r="L61" s="6">
        <f>L53/100*K61</f>
        <v>31.7</v>
      </c>
      <c r="M61" s="7">
        <f>FLOOR(L61,0.01)</f>
        <v>31.7</v>
      </c>
      <c r="N61" s="2"/>
      <c r="O61" s="138" t="s">
        <v>11</v>
      </c>
      <c r="P61" s="138"/>
      <c r="Q61" s="138"/>
      <c r="R61" s="8">
        <v>10</v>
      </c>
      <c r="S61" s="6">
        <f>S53/100*R61</f>
        <v>32.88</v>
      </c>
      <c r="T61" s="7">
        <f>FLOOR(S61,0.01)</f>
        <v>32.88</v>
      </c>
      <c r="V61" s="138" t="s">
        <v>11</v>
      </c>
      <c r="W61" s="138"/>
      <c r="X61" s="138"/>
      <c r="Y61" s="8">
        <v>10</v>
      </c>
      <c r="Z61" s="6">
        <f>Z53/100*Y61</f>
        <v>32.9046</v>
      </c>
      <c r="AA61" s="7">
        <f>FLOOR(Z61,0.01)</f>
        <v>32.9</v>
      </c>
      <c r="AC61" s="138" t="s">
        <v>11</v>
      </c>
      <c r="AD61" s="138"/>
      <c r="AE61" s="138"/>
      <c r="AF61" s="8">
        <v>10</v>
      </c>
      <c r="AG61" s="6">
        <f>AG53/100*AF61</f>
        <v>34.154039999999995</v>
      </c>
      <c r="AH61" s="7">
        <f>FLOOR(AG61,0.01)</f>
        <v>34.15</v>
      </c>
      <c r="AJ61" s="138" t="s">
        <v>11</v>
      </c>
      <c r="AK61" s="138"/>
      <c r="AL61" s="138"/>
      <c r="AM61" s="8">
        <v>10</v>
      </c>
      <c r="AN61" s="6">
        <f>AN53/100*AM61</f>
        <v>34.220783999999995</v>
      </c>
      <c r="AO61" s="7">
        <f>FLOOR(AN61,0.01)</f>
        <v>34.22</v>
      </c>
      <c r="AQ61" s="138" t="s">
        <v>11</v>
      </c>
      <c r="AR61" s="138"/>
      <c r="AS61" s="138"/>
      <c r="AT61" s="8">
        <v>10</v>
      </c>
      <c r="AU61" s="6">
        <f>AU53/100*AT61</f>
        <v>35.52020159999999</v>
      </c>
      <c r="AV61" s="7">
        <f>FLOOR(AU61,0.01)</f>
        <v>35.52</v>
      </c>
    </row>
    <row r="62" spans="1:48" ht="12.75">
      <c r="A62" s="131" t="s">
        <v>12</v>
      </c>
      <c r="B62" s="132"/>
      <c r="C62" s="133"/>
      <c r="D62" s="9">
        <f>SUM(D54:D61)</f>
        <v>35.2</v>
      </c>
      <c r="E62" s="6">
        <f>SUM(E54:E61)</f>
        <v>108.3104</v>
      </c>
      <c r="F62" s="22">
        <f>SUM(F54:F61)</f>
        <v>107.97</v>
      </c>
      <c r="H62" s="131" t="s">
        <v>12</v>
      </c>
      <c r="I62" s="132"/>
      <c r="J62" s="133"/>
      <c r="K62" s="9">
        <f>SUM(K54:K61)</f>
        <v>35.2</v>
      </c>
      <c r="L62" s="6">
        <f>SUM(L54:L61)</f>
        <v>111.584</v>
      </c>
      <c r="M62" s="22">
        <f>SUM(M54:M61)</f>
        <v>111.2</v>
      </c>
      <c r="N62" s="2"/>
      <c r="O62" s="131" t="s">
        <v>12</v>
      </c>
      <c r="P62" s="132"/>
      <c r="Q62" s="133"/>
      <c r="R62" s="9">
        <f>SUM(R54:R61)</f>
        <v>35.2</v>
      </c>
      <c r="S62" s="6">
        <f>SUM(S54:S61)</f>
        <v>115.73760000000001</v>
      </c>
      <c r="T62" s="22">
        <f>SUM(T54:T61)</f>
        <v>115.47999999999999</v>
      </c>
      <c r="V62" s="131" t="s">
        <v>12</v>
      </c>
      <c r="W62" s="132"/>
      <c r="X62" s="133"/>
      <c r="Y62" s="9">
        <f>SUM(Y54:Y61)</f>
        <v>35.2</v>
      </c>
      <c r="Z62" s="6">
        <f>SUM(Z54:Z61)</f>
        <v>115.82419200000001</v>
      </c>
      <c r="AA62" s="22">
        <f>SUM(AA54:AA61)</f>
        <v>115.5</v>
      </c>
      <c r="AC62" s="131" t="s">
        <v>12</v>
      </c>
      <c r="AD62" s="132"/>
      <c r="AE62" s="133"/>
      <c r="AF62" s="9">
        <f>SUM(AF54:AF61)</f>
        <v>35.2</v>
      </c>
      <c r="AG62" s="6">
        <f>SUM(AG54:AG61)</f>
        <v>120.22222079999999</v>
      </c>
      <c r="AH62" s="22">
        <f>SUM(AH54:AH61)</f>
        <v>119.95000000000002</v>
      </c>
      <c r="AJ62" s="131" t="s">
        <v>12</v>
      </c>
      <c r="AK62" s="132"/>
      <c r="AL62" s="133"/>
      <c r="AM62" s="9">
        <f>SUM(AM54:AM61)</f>
        <v>35.2</v>
      </c>
      <c r="AN62" s="6">
        <f>SUM(AN54:AN61)</f>
        <v>120.45715967999998</v>
      </c>
      <c r="AO62" s="22">
        <f>SUM(AO54:AO61)</f>
        <v>120.12</v>
      </c>
      <c r="AQ62" s="131" t="s">
        <v>12</v>
      </c>
      <c r="AR62" s="132"/>
      <c r="AS62" s="133"/>
      <c r="AT62" s="9">
        <f>SUM(AT54:AT61)</f>
        <v>35.2</v>
      </c>
      <c r="AU62" s="6">
        <f>SUM(AU54:AU61)</f>
        <v>125.03110963199997</v>
      </c>
      <c r="AV62" s="22">
        <f>SUM(AV54:AV61)</f>
        <v>124.62</v>
      </c>
    </row>
    <row r="63" ht="12.75">
      <c r="N63" s="2"/>
    </row>
    <row r="64" spans="1:48" ht="12.75">
      <c r="A64" s="134" t="s">
        <v>13</v>
      </c>
      <c r="B64" s="134"/>
      <c r="C64" s="134"/>
      <c r="E64" s="10">
        <f>E53+E62</f>
        <v>416.0104</v>
      </c>
      <c r="F64" s="11">
        <f>F53+F62</f>
        <v>415.66999999999996</v>
      </c>
      <c r="H64" s="134" t="s">
        <v>13</v>
      </c>
      <c r="I64" s="134"/>
      <c r="J64" s="134"/>
      <c r="L64" s="10">
        <f>L53+L62</f>
        <v>428.584</v>
      </c>
      <c r="M64" s="11">
        <f>M53+M62</f>
        <v>428.2</v>
      </c>
      <c r="N64" s="2"/>
      <c r="O64" s="134" t="s">
        <v>13</v>
      </c>
      <c r="P64" s="134"/>
      <c r="Q64" s="134"/>
      <c r="S64" s="10">
        <f>S53+S62</f>
        <v>444.5376</v>
      </c>
      <c r="T64" s="11">
        <f>T53+T62</f>
        <v>444.28</v>
      </c>
      <c r="V64" s="134" t="s">
        <v>13</v>
      </c>
      <c r="W64" s="134"/>
      <c r="X64" s="134"/>
      <c r="Z64" s="10">
        <f>Z53+Z62</f>
        <v>444.870192</v>
      </c>
      <c r="AA64" s="11">
        <f>AA53+AA62</f>
        <v>444.546</v>
      </c>
      <c r="AC64" s="134" t="s">
        <v>13</v>
      </c>
      <c r="AD64" s="134"/>
      <c r="AE64" s="134"/>
      <c r="AG64" s="10">
        <f>AG53+AG62</f>
        <v>461.7626208</v>
      </c>
      <c r="AH64" s="11">
        <f>AH53+AH62</f>
        <v>461.4904</v>
      </c>
      <c r="AJ64" s="134" t="s">
        <v>13</v>
      </c>
      <c r="AK64" s="134"/>
      <c r="AL64" s="134"/>
      <c r="AN64" s="10">
        <f>AN53+AN62</f>
        <v>462.66499967999994</v>
      </c>
      <c r="AO64" s="11">
        <f>AO53+AO62</f>
        <v>462.32784</v>
      </c>
      <c r="AQ64" s="134" t="s">
        <v>13</v>
      </c>
      <c r="AR64" s="134"/>
      <c r="AS64" s="134"/>
      <c r="AU64" s="10">
        <f>AU53+AU62</f>
        <v>480.23312563199994</v>
      </c>
      <c r="AV64" s="11">
        <f>AV53+AV62</f>
        <v>479.82201599999996</v>
      </c>
    </row>
    <row r="65" spans="9:14" ht="13.5" thickBot="1">
      <c r="I65" s="2"/>
      <c r="J65" s="2"/>
      <c r="K65" s="2"/>
      <c r="L65" s="2"/>
      <c r="M65" s="2"/>
      <c r="N65" s="2"/>
    </row>
    <row r="66" spans="8:48" ht="13.5" thickBot="1">
      <c r="H66" s="135" t="s">
        <v>52</v>
      </c>
      <c r="I66" s="136"/>
      <c r="J66" s="136"/>
      <c r="K66" s="136"/>
      <c r="L66" s="136"/>
      <c r="M66" s="136"/>
      <c r="N66" s="136"/>
      <c r="O66" s="137"/>
      <c r="P66" s="139">
        <f>(M64+T64)/2</f>
        <v>436.24</v>
      </c>
      <c r="Q66" s="140"/>
      <c r="R66" s="140"/>
      <c r="S66" s="140"/>
      <c r="T66" s="141"/>
      <c r="V66" s="135" t="s">
        <v>52</v>
      </c>
      <c r="W66" s="136"/>
      <c r="X66" s="136"/>
      <c r="Y66" s="136"/>
      <c r="Z66" s="136"/>
      <c r="AA66" s="136"/>
      <c r="AB66" s="136"/>
      <c r="AC66" s="137"/>
      <c r="AD66" s="157">
        <f>(AA64+AH64)/2</f>
        <v>453.0182</v>
      </c>
      <c r="AE66" s="158"/>
      <c r="AF66" s="158"/>
      <c r="AG66" s="158"/>
      <c r="AH66" s="159"/>
      <c r="AJ66" s="135" t="s">
        <v>52</v>
      </c>
      <c r="AK66" s="136"/>
      <c r="AL66" s="136"/>
      <c r="AM66" s="136"/>
      <c r="AN66" s="136"/>
      <c r="AO66" s="136"/>
      <c r="AP66" s="136"/>
      <c r="AQ66" s="137"/>
      <c r="AR66" s="157">
        <f>(AO64+AV64)/2</f>
        <v>471.074928</v>
      </c>
      <c r="AS66" s="158"/>
      <c r="AT66" s="158"/>
      <c r="AU66" s="158"/>
      <c r="AV66" s="159"/>
    </row>
    <row r="67" spans="9:20" ht="12.75"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9:14" ht="12.75">
      <c r="I68" s="2"/>
      <c r="J68" s="2"/>
      <c r="K68" s="2"/>
      <c r="L68" s="2"/>
      <c r="M68" s="2"/>
      <c r="N68" s="2"/>
    </row>
    <row r="69" ht="12.75">
      <c r="A69" s="16" t="s">
        <v>59</v>
      </c>
    </row>
    <row r="70" ht="12.75">
      <c r="A70" s="16"/>
    </row>
    <row r="71" spans="1:15" ht="12.75">
      <c r="A71" s="160" t="s">
        <v>40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</row>
    <row r="72" spans="11:12" ht="12.75">
      <c r="K72" s="52"/>
      <c r="L72" s="52"/>
    </row>
    <row r="73" spans="1:12" s="12" customFormat="1" ht="12.75">
      <c r="A73" s="3"/>
      <c r="B73" s="3"/>
      <c r="C73" s="3"/>
      <c r="D73" s="3"/>
      <c r="E73" s="3"/>
      <c r="F73" s="13"/>
      <c r="G73" s="3"/>
      <c r="H73" s="13"/>
      <c r="I73" s="3"/>
      <c r="J73" s="13"/>
      <c r="K73" s="14"/>
      <c r="L73" s="13"/>
    </row>
    <row r="74" spans="1:16" s="35" customFormat="1" ht="77.25" customHeight="1">
      <c r="A74" s="126"/>
      <c r="B74" s="126"/>
      <c r="C74" s="36" t="s">
        <v>16</v>
      </c>
      <c r="D74" s="37" t="s">
        <v>82</v>
      </c>
      <c r="E74" s="37" t="s">
        <v>102</v>
      </c>
      <c r="F74" s="38" t="s">
        <v>83</v>
      </c>
      <c r="G74" s="38" t="s">
        <v>103</v>
      </c>
      <c r="H74" s="39" t="s">
        <v>94</v>
      </c>
      <c r="I74" s="39" t="s">
        <v>104</v>
      </c>
      <c r="J74" s="40" t="s">
        <v>93</v>
      </c>
      <c r="K74" s="41" t="s">
        <v>26</v>
      </c>
      <c r="L74" s="41" t="s">
        <v>105</v>
      </c>
      <c r="M74" s="163" t="s">
        <v>106</v>
      </c>
      <c r="N74" s="163"/>
      <c r="O74" s="42" t="s">
        <v>95</v>
      </c>
      <c r="P74" s="54"/>
    </row>
    <row r="75" spans="1:16" s="50" customFormat="1" ht="33.75">
      <c r="A75" s="128"/>
      <c r="B75" s="128"/>
      <c r="C75" s="34" t="s">
        <v>17</v>
      </c>
      <c r="D75" s="34" t="s">
        <v>18</v>
      </c>
      <c r="E75" s="34" t="s">
        <v>19</v>
      </c>
      <c r="F75" s="34" t="s">
        <v>20</v>
      </c>
      <c r="G75" s="34" t="s">
        <v>21</v>
      </c>
      <c r="H75" s="34" t="s">
        <v>86</v>
      </c>
      <c r="I75" s="34" t="s">
        <v>87</v>
      </c>
      <c r="J75" s="34" t="s">
        <v>22</v>
      </c>
      <c r="K75" s="34" t="s">
        <v>88</v>
      </c>
      <c r="L75" s="49" t="s">
        <v>89</v>
      </c>
      <c r="M75" s="124" t="s">
        <v>81</v>
      </c>
      <c r="N75" s="124"/>
      <c r="O75" s="42" t="s">
        <v>90</v>
      </c>
      <c r="P75" s="54"/>
    </row>
    <row r="76" spans="1:17" s="35" customFormat="1" ht="25.5" customHeight="1">
      <c r="A76" s="123" t="s">
        <v>14</v>
      </c>
      <c r="B76" s="43" t="s">
        <v>98</v>
      </c>
      <c r="C76" s="44" t="s">
        <v>80</v>
      </c>
      <c r="D76" s="45">
        <f>F49</f>
        <v>500.72</v>
      </c>
      <c r="E76" s="45">
        <f>D76*3</f>
        <v>1502.16</v>
      </c>
      <c r="F76" s="45">
        <f>F64</f>
        <v>415.66999999999996</v>
      </c>
      <c r="G76" s="45">
        <f>F76*3</f>
        <v>1247.0099999999998</v>
      </c>
      <c r="H76" s="46">
        <f aca="true" t="shared" si="11" ref="H76:I78">AVERAGE(D76,F76)</f>
        <v>458.195</v>
      </c>
      <c r="I76" s="46">
        <f t="shared" si="11"/>
        <v>1374.585</v>
      </c>
      <c r="J76" s="47">
        <f>5000/6*3</f>
        <v>2500</v>
      </c>
      <c r="K76" s="46">
        <f>H76*J76</f>
        <v>1145487.5</v>
      </c>
      <c r="L76" s="46">
        <f>I76*J76</f>
        <v>3436462.5</v>
      </c>
      <c r="M76" s="120">
        <f>750*40</f>
        <v>30000</v>
      </c>
      <c r="N76" s="120"/>
      <c r="O76" s="48">
        <f>L76+M76</f>
        <v>3466462.5</v>
      </c>
      <c r="P76" s="56"/>
      <c r="Q76" s="53"/>
    </row>
    <row r="77" spans="1:16" s="35" customFormat="1" ht="25.5" customHeight="1">
      <c r="A77" s="123"/>
      <c r="B77" s="43" t="s">
        <v>99</v>
      </c>
      <c r="C77" s="44" t="s">
        <v>79</v>
      </c>
      <c r="D77" s="45">
        <f>F49*95%</f>
        <v>475.684</v>
      </c>
      <c r="E77" s="45">
        <f>D77*3</f>
        <v>1427.0520000000001</v>
      </c>
      <c r="F77" s="45">
        <f>F64*95%</f>
        <v>394.88649999999996</v>
      </c>
      <c r="G77" s="45">
        <f>F77*3</f>
        <v>1184.6594999999998</v>
      </c>
      <c r="H77" s="46">
        <f t="shared" si="11"/>
        <v>435.28525</v>
      </c>
      <c r="I77" s="46">
        <f t="shared" si="11"/>
        <v>1305.85575</v>
      </c>
      <c r="J77" s="47">
        <f>5000/6*3</f>
        <v>2500</v>
      </c>
      <c r="K77" s="46">
        <f>H77*J77</f>
        <v>1088213.125</v>
      </c>
      <c r="L77" s="46">
        <f>I77*J77</f>
        <v>3264639.375</v>
      </c>
      <c r="M77" s="120">
        <f>40*750*95%</f>
        <v>28500</v>
      </c>
      <c r="N77" s="120"/>
      <c r="O77" s="48">
        <f>L77+M77</f>
        <v>3293139.375</v>
      </c>
      <c r="P77" s="55"/>
    </row>
    <row r="78" spans="1:17" s="35" customFormat="1" ht="25.5" customHeight="1">
      <c r="A78" s="123"/>
      <c r="B78" s="43" t="s">
        <v>100</v>
      </c>
      <c r="C78" s="44" t="s">
        <v>101</v>
      </c>
      <c r="D78" s="45">
        <f>F49*5%</f>
        <v>25.036</v>
      </c>
      <c r="E78" s="45">
        <f>D78*3</f>
        <v>75.108</v>
      </c>
      <c r="F78" s="45">
        <f>F64*5%</f>
        <v>20.7835</v>
      </c>
      <c r="G78" s="45">
        <f>F78*3</f>
        <v>62.3505</v>
      </c>
      <c r="H78" s="46">
        <f t="shared" si="11"/>
        <v>22.909750000000003</v>
      </c>
      <c r="I78" s="46">
        <f t="shared" si="11"/>
        <v>68.72925000000001</v>
      </c>
      <c r="J78" s="47">
        <f>5000/6*3</f>
        <v>2500</v>
      </c>
      <c r="K78" s="46">
        <f>H78*J78</f>
        <v>57274.37500000001</v>
      </c>
      <c r="L78" s="46">
        <f>I78*J78</f>
        <v>171823.12500000003</v>
      </c>
      <c r="M78" s="120">
        <f>40*750*5%</f>
        <v>1500</v>
      </c>
      <c r="N78" s="120"/>
      <c r="O78" s="48">
        <f>L78+M78</f>
        <v>173323.12500000003</v>
      </c>
      <c r="P78" s="56">
        <f>O78+O77</f>
        <v>3466462.5</v>
      </c>
      <c r="Q78" s="53">
        <f>P78-O76</f>
        <v>0</v>
      </c>
    </row>
    <row r="79" spans="1:17" s="58" customFormat="1" ht="25.5" customHeight="1">
      <c r="A79" s="59"/>
      <c r="B79" s="60"/>
      <c r="C79" s="59"/>
      <c r="D79" s="56"/>
      <c r="E79" s="56"/>
      <c r="F79" s="56"/>
      <c r="G79" s="56"/>
      <c r="H79" s="56"/>
      <c r="I79" s="56"/>
      <c r="J79" s="61"/>
      <c r="K79" s="56"/>
      <c r="L79" s="56"/>
      <c r="M79" s="62"/>
      <c r="N79" s="62"/>
      <c r="O79" s="55"/>
      <c r="P79" s="56"/>
      <c r="Q79" s="57"/>
    </row>
    <row r="80" spans="1:16" s="35" customFormat="1" ht="77.25" customHeight="1">
      <c r="A80" s="126"/>
      <c r="B80" s="126"/>
      <c r="C80" s="36" t="s">
        <v>16</v>
      </c>
      <c r="D80" s="37" t="s">
        <v>82</v>
      </c>
      <c r="E80" s="37" t="s">
        <v>84</v>
      </c>
      <c r="F80" s="38" t="s">
        <v>83</v>
      </c>
      <c r="G80" s="38" t="s">
        <v>85</v>
      </c>
      <c r="H80" s="39" t="s">
        <v>94</v>
      </c>
      <c r="I80" s="39" t="s">
        <v>96</v>
      </c>
      <c r="J80" s="40" t="s">
        <v>93</v>
      </c>
      <c r="K80" s="41" t="s">
        <v>26</v>
      </c>
      <c r="L80" s="41" t="s">
        <v>27</v>
      </c>
      <c r="M80" s="163" t="s">
        <v>97</v>
      </c>
      <c r="N80" s="163"/>
      <c r="O80" s="42" t="s">
        <v>95</v>
      </c>
      <c r="P80" s="54"/>
    </row>
    <row r="81" spans="1:16" s="51" customFormat="1" ht="33.75">
      <c r="A81" s="124"/>
      <c r="B81" s="124"/>
      <c r="C81" s="34" t="s">
        <v>17</v>
      </c>
      <c r="D81" s="34" t="s">
        <v>18</v>
      </c>
      <c r="E81" s="34" t="s">
        <v>19</v>
      </c>
      <c r="F81" s="34" t="s">
        <v>20</v>
      </c>
      <c r="G81" s="34" t="s">
        <v>21</v>
      </c>
      <c r="H81" s="34" t="s">
        <v>86</v>
      </c>
      <c r="I81" s="34" t="s">
        <v>87</v>
      </c>
      <c r="J81" s="34" t="s">
        <v>22</v>
      </c>
      <c r="K81" s="34" t="s">
        <v>88</v>
      </c>
      <c r="L81" s="49" t="s">
        <v>89</v>
      </c>
      <c r="M81" s="124" t="s">
        <v>81</v>
      </c>
      <c r="N81" s="124"/>
      <c r="O81" s="42" t="s">
        <v>90</v>
      </c>
      <c r="P81" s="54"/>
    </row>
    <row r="82" spans="1:16" s="35" customFormat="1" ht="25.5" customHeight="1">
      <c r="A82" s="123" t="s">
        <v>15</v>
      </c>
      <c r="B82" s="43" t="s">
        <v>98</v>
      </c>
      <c r="C82" s="44" t="s">
        <v>80</v>
      </c>
      <c r="D82" s="45">
        <f>M49</f>
        <v>509.26</v>
      </c>
      <c r="E82" s="45">
        <f>D82*6</f>
        <v>3055.56</v>
      </c>
      <c r="F82" s="45">
        <f>P66</f>
        <v>436.24</v>
      </c>
      <c r="G82" s="45">
        <f>F82*6</f>
        <v>2617.44</v>
      </c>
      <c r="H82" s="46">
        <f aca="true" t="shared" si="12" ref="H82:I84">AVERAGE(D82,F82)</f>
        <v>472.75</v>
      </c>
      <c r="I82" s="46">
        <f t="shared" si="12"/>
        <v>2836.5</v>
      </c>
      <c r="J82" s="47">
        <v>5000</v>
      </c>
      <c r="K82" s="46">
        <f>H82*J82</f>
        <v>2363750</v>
      </c>
      <c r="L82" s="46">
        <f>I82*J82</f>
        <v>14182500</v>
      </c>
      <c r="M82" s="120">
        <v>40000</v>
      </c>
      <c r="N82" s="120"/>
      <c r="O82" s="48">
        <f>L82+M82</f>
        <v>14222500</v>
      </c>
      <c r="P82" s="56"/>
    </row>
    <row r="83" spans="1:16" s="35" customFormat="1" ht="25.5" customHeight="1">
      <c r="A83" s="123"/>
      <c r="B83" s="43" t="s">
        <v>99</v>
      </c>
      <c r="C83" s="44" t="s">
        <v>79</v>
      </c>
      <c r="D83" s="45">
        <f>M49*95%</f>
        <v>483.79699999999997</v>
      </c>
      <c r="E83" s="45">
        <f aca="true" t="shared" si="13" ref="E83:E92">D83*6</f>
        <v>2902.7819999999997</v>
      </c>
      <c r="F83" s="45">
        <f>P66*95%</f>
        <v>414.428</v>
      </c>
      <c r="G83" s="45">
        <f aca="true" t="shared" si="14" ref="G83:G92">F83*6</f>
        <v>2486.568</v>
      </c>
      <c r="H83" s="46">
        <f t="shared" si="12"/>
        <v>449.11249999999995</v>
      </c>
      <c r="I83" s="46">
        <f t="shared" si="12"/>
        <v>2694.675</v>
      </c>
      <c r="J83" s="47">
        <v>5000</v>
      </c>
      <c r="K83" s="46">
        <f aca="true" t="shared" si="15" ref="K83:K92">H83*J83</f>
        <v>2245562.5</v>
      </c>
      <c r="L83" s="46">
        <f aca="true" t="shared" si="16" ref="L83:L92">I83*J83</f>
        <v>13473375</v>
      </c>
      <c r="M83" s="120">
        <f>40000*95%</f>
        <v>38000</v>
      </c>
      <c r="N83" s="120"/>
      <c r="O83" s="48">
        <f aca="true" t="shared" si="17" ref="O83:O92">L83+M83</f>
        <v>13511375</v>
      </c>
      <c r="P83" s="55"/>
    </row>
    <row r="84" spans="1:17" ht="22.5">
      <c r="A84" s="123"/>
      <c r="B84" s="43" t="s">
        <v>100</v>
      </c>
      <c r="C84" s="44" t="s">
        <v>101</v>
      </c>
      <c r="D84" s="45">
        <f>M49*5%</f>
        <v>25.463</v>
      </c>
      <c r="E84" s="45">
        <f t="shared" si="13"/>
        <v>152.77800000000002</v>
      </c>
      <c r="F84" s="45">
        <f>P66*5%</f>
        <v>21.812</v>
      </c>
      <c r="G84" s="45">
        <f t="shared" si="14"/>
        <v>130.872</v>
      </c>
      <c r="H84" s="46">
        <f t="shared" si="12"/>
        <v>23.637500000000003</v>
      </c>
      <c r="I84" s="46">
        <f t="shared" si="12"/>
        <v>141.82500000000002</v>
      </c>
      <c r="J84" s="47">
        <v>5000</v>
      </c>
      <c r="K84" s="46">
        <f t="shared" si="15"/>
        <v>118187.50000000001</v>
      </c>
      <c r="L84" s="46">
        <f t="shared" si="16"/>
        <v>709125.0000000001</v>
      </c>
      <c r="M84" s="120">
        <f>40000*5%</f>
        <v>2000</v>
      </c>
      <c r="N84" s="120"/>
      <c r="O84" s="48">
        <f>L84+M84</f>
        <v>711125.0000000001</v>
      </c>
      <c r="P84" s="52">
        <f>O84+O83</f>
        <v>14222500</v>
      </c>
      <c r="Q84" s="52">
        <f>P84-O82</f>
        <v>0</v>
      </c>
    </row>
    <row r="85" spans="1:15" ht="12.7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</row>
    <row r="86" spans="1:16" s="35" customFormat="1" ht="25.5" customHeight="1">
      <c r="A86" s="123" t="s">
        <v>28</v>
      </c>
      <c r="B86" s="43" t="s">
        <v>98</v>
      </c>
      <c r="C86" s="44" t="s">
        <v>80</v>
      </c>
      <c r="D86" s="45">
        <f>AA49</f>
        <v>527.39</v>
      </c>
      <c r="E86" s="45">
        <f>D86*6</f>
        <v>3164.34</v>
      </c>
      <c r="F86" s="45">
        <f>AD66</f>
        <v>453.0182</v>
      </c>
      <c r="G86" s="45">
        <f>F86*6</f>
        <v>2718.1092</v>
      </c>
      <c r="H86" s="46">
        <f aca="true" t="shared" si="18" ref="H86:I88">AVERAGE(D86,F86)</f>
        <v>490.2041</v>
      </c>
      <c r="I86" s="46">
        <f t="shared" si="18"/>
        <v>2941.2246</v>
      </c>
      <c r="J86" s="47">
        <v>5000</v>
      </c>
      <c r="K86" s="46">
        <f>H86*J86</f>
        <v>2451020.5</v>
      </c>
      <c r="L86" s="46">
        <f>I86*J86</f>
        <v>14706123</v>
      </c>
      <c r="M86" s="120">
        <f>40*1000</f>
        <v>40000</v>
      </c>
      <c r="N86" s="120"/>
      <c r="O86" s="48">
        <f>L86+M86</f>
        <v>14746123</v>
      </c>
      <c r="P86" s="56"/>
    </row>
    <row r="87" spans="1:16" s="35" customFormat="1" ht="25.5" customHeight="1">
      <c r="A87" s="123"/>
      <c r="B87" s="43" t="s">
        <v>99</v>
      </c>
      <c r="C87" s="44" t="s">
        <v>79</v>
      </c>
      <c r="D87" s="45">
        <f>AA49*0.95</f>
        <v>501.02049999999997</v>
      </c>
      <c r="E87" s="45">
        <f t="shared" si="13"/>
        <v>3006.1229999999996</v>
      </c>
      <c r="F87" s="45">
        <f>AD66*95%</f>
        <v>430.36728999999997</v>
      </c>
      <c r="G87" s="45">
        <f t="shared" si="14"/>
        <v>2582.20374</v>
      </c>
      <c r="H87" s="46">
        <f t="shared" si="18"/>
        <v>465.693895</v>
      </c>
      <c r="I87" s="46">
        <f t="shared" si="18"/>
        <v>2794.1633699999998</v>
      </c>
      <c r="J87" s="47">
        <v>5000</v>
      </c>
      <c r="K87" s="46">
        <f t="shared" si="15"/>
        <v>2328469.475</v>
      </c>
      <c r="L87" s="46">
        <f t="shared" si="16"/>
        <v>13970816.85</v>
      </c>
      <c r="M87" s="120">
        <f>40*1000*95%</f>
        <v>38000</v>
      </c>
      <c r="N87" s="120"/>
      <c r="O87" s="48">
        <f t="shared" si="17"/>
        <v>14008816.85</v>
      </c>
      <c r="P87" s="55"/>
    </row>
    <row r="88" spans="1:17" ht="22.5">
      <c r="A88" s="123"/>
      <c r="B88" s="43" t="s">
        <v>100</v>
      </c>
      <c r="C88" s="44" t="s">
        <v>101</v>
      </c>
      <c r="D88" s="45">
        <f>AA49*5%</f>
        <v>26.369500000000002</v>
      </c>
      <c r="E88" s="45">
        <f t="shared" si="13"/>
        <v>158.217</v>
      </c>
      <c r="F88" s="45">
        <f>AD66*5%</f>
        <v>22.65091</v>
      </c>
      <c r="G88" s="45">
        <f t="shared" si="14"/>
        <v>135.90546</v>
      </c>
      <c r="H88" s="46">
        <f t="shared" si="18"/>
        <v>24.510205</v>
      </c>
      <c r="I88" s="46">
        <f t="shared" si="18"/>
        <v>147.06123000000002</v>
      </c>
      <c r="J88" s="47">
        <v>5000</v>
      </c>
      <c r="K88" s="46">
        <f t="shared" si="15"/>
        <v>122551.025</v>
      </c>
      <c r="L88" s="46">
        <f t="shared" si="16"/>
        <v>735306.1500000001</v>
      </c>
      <c r="M88" s="120">
        <f>40*1000*5%</f>
        <v>2000</v>
      </c>
      <c r="N88" s="120"/>
      <c r="O88" s="48">
        <f t="shared" si="17"/>
        <v>737306.1500000001</v>
      </c>
      <c r="P88" s="52">
        <f>O88+O87</f>
        <v>14746123</v>
      </c>
      <c r="Q88" s="52">
        <f>P88-O86</f>
        <v>0</v>
      </c>
    </row>
    <row r="89" spans="1:17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52"/>
      <c r="Q89" s="52"/>
    </row>
    <row r="90" spans="1:17" s="35" customFormat="1" ht="25.5" customHeight="1">
      <c r="A90" s="123" t="s">
        <v>29</v>
      </c>
      <c r="B90" s="43" t="s">
        <v>98</v>
      </c>
      <c r="C90" s="44" t="s">
        <v>80</v>
      </c>
      <c r="D90" s="45">
        <f>AO49</f>
        <v>547.85</v>
      </c>
      <c r="E90" s="45">
        <f>D90*6</f>
        <v>3287.1000000000004</v>
      </c>
      <c r="F90" s="45">
        <f>AR66</f>
        <v>471.074928</v>
      </c>
      <c r="G90" s="45">
        <f>F90*6</f>
        <v>2826.449568</v>
      </c>
      <c r="H90" s="46">
        <f>(D90+F90)/2</f>
        <v>509.462464</v>
      </c>
      <c r="I90" s="46">
        <f>AVERAGE(E90,G90)</f>
        <v>3056.774784</v>
      </c>
      <c r="J90" s="47">
        <v>5000</v>
      </c>
      <c r="K90" s="46">
        <f>H90*J90</f>
        <v>2547312.32</v>
      </c>
      <c r="L90" s="46">
        <f>I90*J90</f>
        <v>15283873.920000002</v>
      </c>
      <c r="M90" s="120">
        <f>40*1000</f>
        <v>40000</v>
      </c>
      <c r="N90" s="120"/>
      <c r="O90" s="48">
        <f>L90+M90</f>
        <v>15323873.920000002</v>
      </c>
      <c r="P90" s="56"/>
      <c r="Q90" s="53"/>
    </row>
    <row r="91" spans="1:16" s="35" customFormat="1" ht="25.5" customHeight="1">
      <c r="A91" s="123"/>
      <c r="B91" s="43" t="s">
        <v>99</v>
      </c>
      <c r="C91" s="44" t="s">
        <v>79</v>
      </c>
      <c r="D91" s="45">
        <f>AO49*0.95</f>
        <v>520.4575</v>
      </c>
      <c r="E91" s="45">
        <f t="shared" si="13"/>
        <v>3122.745</v>
      </c>
      <c r="F91" s="45">
        <f>AR66*95%</f>
        <v>447.5211816</v>
      </c>
      <c r="G91" s="45">
        <f t="shared" si="14"/>
        <v>2685.1270895999996</v>
      </c>
      <c r="H91" s="46">
        <f>(D91+F91)/2</f>
        <v>483.9893408</v>
      </c>
      <c r="I91" s="46">
        <f>AVERAGE(E91,G91)</f>
        <v>2903.9360447999998</v>
      </c>
      <c r="J91" s="47">
        <v>5000</v>
      </c>
      <c r="K91" s="46">
        <f t="shared" si="15"/>
        <v>2419946.704</v>
      </c>
      <c r="L91" s="46">
        <f t="shared" si="16"/>
        <v>14519680.224</v>
      </c>
      <c r="M91" s="120">
        <f>40*1000*95%</f>
        <v>38000</v>
      </c>
      <c r="N91" s="120"/>
      <c r="O91" s="48">
        <f t="shared" si="17"/>
        <v>14557680.224</v>
      </c>
      <c r="P91" s="55"/>
    </row>
    <row r="92" spans="1:17" ht="22.5">
      <c r="A92" s="123"/>
      <c r="B92" s="43" t="s">
        <v>100</v>
      </c>
      <c r="C92" s="44" t="s">
        <v>101</v>
      </c>
      <c r="D92" s="45">
        <f>AO49*5%</f>
        <v>27.392500000000002</v>
      </c>
      <c r="E92" s="45">
        <f t="shared" si="13"/>
        <v>164.35500000000002</v>
      </c>
      <c r="F92" s="45">
        <f>AR66*5%</f>
        <v>23.5537464</v>
      </c>
      <c r="G92" s="45">
        <f t="shared" si="14"/>
        <v>141.32247840000002</v>
      </c>
      <c r="H92" s="46">
        <f>(D92+F92)/2</f>
        <v>25.473123200000003</v>
      </c>
      <c r="I92" s="46">
        <f>AVERAGE(E92,G92)</f>
        <v>152.83873920000002</v>
      </c>
      <c r="J92" s="47">
        <v>5000</v>
      </c>
      <c r="K92" s="46">
        <f t="shared" si="15"/>
        <v>127365.61600000002</v>
      </c>
      <c r="L92" s="46">
        <f t="shared" si="16"/>
        <v>764193.6960000001</v>
      </c>
      <c r="M92" s="120">
        <f>40*1000*5%</f>
        <v>2000</v>
      </c>
      <c r="N92" s="120"/>
      <c r="O92" s="48">
        <f t="shared" si="17"/>
        <v>766193.6960000001</v>
      </c>
      <c r="P92" s="52">
        <f>O92+O91</f>
        <v>15323873.92</v>
      </c>
      <c r="Q92" s="52">
        <f>P92-O90</f>
        <v>0</v>
      </c>
    </row>
  </sheetData>
  <sheetProtection/>
  <mergeCells count="171">
    <mergeCell ref="A2:G3"/>
    <mergeCell ref="A5:F5"/>
    <mergeCell ref="I5:I8"/>
    <mergeCell ref="O5:O8"/>
    <mergeCell ref="A6:F6"/>
    <mergeCell ref="A7:F7"/>
    <mergeCell ref="A8:F8"/>
    <mergeCell ref="I11:I14"/>
    <mergeCell ref="A12:G12"/>
    <mergeCell ref="A13:F13"/>
    <mergeCell ref="A14:F14"/>
    <mergeCell ref="A21:F21"/>
    <mergeCell ref="A9:F9"/>
    <mergeCell ref="A10:F10"/>
    <mergeCell ref="A11:F11"/>
    <mergeCell ref="A37:F37"/>
    <mergeCell ref="A38:C38"/>
    <mergeCell ref="H38:J38"/>
    <mergeCell ref="A15:F15"/>
    <mergeCell ref="A16:F16"/>
    <mergeCell ref="A17:G17"/>
    <mergeCell ref="A18:F18"/>
    <mergeCell ref="I18:I21"/>
    <mergeCell ref="A19:F19"/>
    <mergeCell ref="A20:F20"/>
    <mergeCell ref="A22:F22"/>
    <mergeCell ref="I24:K24"/>
    <mergeCell ref="I26:I29"/>
    <mergeCell ref="I32:K32"/>
    <mergeCell ref="V38:X38"/>
    <mergeCell ref="AJ38:AL38"/>
    <mergeCell ref="A39:C39"/>
    <mergeCell ref="H39:J39"/>
    <mergeCell ref="V39:X39"/>
    <mergeCell ref="AJ39:AL39"/>
    <mergeCell ref="A42:C42"/>
    <mergeCell ref="H42:J42"/>
    <mergeCell ref="V42:X42"/>
    <mergeCell ref="AJ42:AL42"/>
    <mergeCell ref="A40:C40"/>
    <mergeCell ref="H40:J40"/>
    <mergeCell ref="V40:X40"/>
    <mergeCell ref="AJ40:AL40"/>
    <mergeCell ref="A44:C44"/>
    <mergeCell ref="H44:J44"/>
    <mergeCell ref="V44:X44"/>
    <mergeCell ref="AJ44:AL44"/>
    <mergeCell ref="A43:C43"/>
    <mergeCell ref="H43:J43"/>
    <mergeCell ref="V43:X43"/>
    <mergeCell ref="AJ43:AL43"/>
    <mergeCell ref="A46:C46"/>
    <mergeCell ref="H46:J46"/>
    <mergeCell ref="V46:X46"/>
    <mergeCell ref="AJ46:AL46"/>
    <mergeCell ref="A45:C45"/>
    <mergeCell ref="H45:J45"/>
    <mergeCell ref="V45:X45"/>
    <mergeCell ref="AJ45:AL45"/>
    <mergeCell ref="AJ47:AL47"/>
    <mergeCell ref="A49:C49"/>
    <mergeCell ref="H49:J49"/>
    <mergeCell ref="V49:X49"/>
    <mergeCell ref="AJ49:AL49"/>
    <mergeCell ref="V53:X53"/>
    <mergeCell ref="AC53:AE53"/>
    <mergeCell ref="A47:C47"/>
    <mergeCell ref="H47:J47"/>
    <mergeCell ref="V47:X47"/>
    <mergeCell ref="A52:F52"/>
    <mergeCell ref="A53:C53"/>
    <mergeCell ref="H53:J53"/>
    <mergeCell ref="O53:Q53"/>
    <mergeCell ref="A54:C54"/>
    <mergeCell ref="H54:J54"/>
    <mergeCell ref="O54:Q54"/>
    <mergeCell ref="V54:X54"/>
    <mergeCell ref="AC55:AE55"/>
    <mergeCell ref="AJ55:AL55"/>
    <mergeCell ref="AJ53:AL53"/>
    <mergeCell ref="AQ53:AS53"/>
    <mergeCell ref="AC54:AE54"/>
    <mergeCell ref="AJ54:AL54"/>
    <mergeCell ref="AQ54:AS54"/>
    <mergeCell ref="A55:C55"/>
    <mergeCell ref="H55:J55"/>
    <mergeCell ref="O55:Q55"/>
    <mergeCell ref="V55:X55"/>
    <mergeCell ref="AC58:AE58"/>
    <mergeCell ref="AJ58:AL58"/>
    <mergeCell ref="AQ55:AS55"/>
    <mergeCell ref="A57:C57"/>
    <mergeCell ref="H57:J57"/>
    <mergeCell ref="O57:Q57"/>
    <mergeCell ref="V57:X57"/>
    <mergeCell ref="AC57:AE57"/>
    <mergeCell ref="AJ57:AL57"/>
    <mergeCell ref="AQ57:AS57"/>
    <mergeCell ref="A58:C58"/>
    <mergeCell ref="H58:J58"/>
    <mergeCell ref="O58:Q58"/>
    <mergeCell ref="V58:X58"/>
    <mergeCell ref="AC60:AE60"/>
    <mergeCell ref="AJ60:AL60"/>
    <mergeCell ref="AQ58:AS58"/>
    <mergeCell ref="A59:C59"/>
    <mergeCell ref="H59:J59"/>
    <mergeCell ref="O59:Q59"/>
    <mergeCell ref="V59:X59"/>
    <mergeCell ref="AC59:AE59"/>
    <mergeCell ref="AJ59:AL59"/>
    <mergeCell ref="AQ59:AS59"/>
    <mergeCell ref="A60:C60"/>
    <mergeCell ref="H60:J60"/>
    <mergeCell ref="O60:Q60"/>
    <mergeCell ref="V60:X60"/>
    <mergeCell ref="AC62:AE62"/>
    <mergeCell ref="AJ62:AL62"/>
    <mergeCell ref="AQ60:AS60"/>
    <mergeCell ref="A61:C61"/>
    <mergeCell ref="H61:J61"/>
    <mergeCell ref="O61:Q61"/>
    <mergeCell ref="V61:X61"/>
    <mergeCell ref="AC61:AE61"/>
    <mergeCell ref="AJ61:AL61"/>
    <mergeCell ref="AQ61:AS61"/>
    <mergeCell ref="A62:C62"/>
    <mergeCell ref="H62:J62"/>
    <mergeCell ref="O62:Q62"/>
    <mergeCell ref="V62:X62"/>
    <mergeCell ref="AJ66:AQ66"/>
    <mergeCell ref="AR66:AV66"/>
    <mergeCell ref="AQ62:AS62"/>
    <mergeCell ref="A64:C64"/>
    <mergeCell ref="H64:J64"/>
    <mergeCell ref="O64:Q64"/>
    <mergeCell ref="V64:X64"/>
    <mergeCell ref="AC64:AE64"/>
    <mergeCell ref="AJ64:AL64"/>
    <mergeCell ref="AQ64:AS64"/>
    <mergeCell ref="H66:O66"/>
    <mergeCell ref="P66:T66"/>
    <mergeCell ref="V66:AC66"/>
    <mergeCell ref="AD66:AH66"/>
    <mergeCell ref="A76:A78"/>
    <mergeCell ref="M76:N76"/>
    <mergeCell ref="M77:N77"/>
    <mergeCell ref="M78:N78"/>
    <mergeCell ref="A89:O89"/>
    <mergeCell ref="A80:B80"/>
    <mergeCell ref="M80:N80"/>
    <mergeCell ref="A81:B81"/>
    <mergeCell ref="M81:N81"/>
    <mergeCell ref="A82:A84"/>
    <mergeCell ref="M82:N82"/>
    <mergeCell ref="M83:N83"/>
    <mergeCell ref="M84:N84"/>
    <mergeCell ref="A71:O71"/>
    <mergeCell ref="A85:O85"/>
    <mergeCell ref="A86:A88"/>
    <mergeCell ref="M86:N86"/>
    <mergeCell ref="M87:N87"/>
    <mergeCell ref="M88:N88"/>
    <mergeCell ref="A74:B74"/>
    <mergeCell ref="M74:N74"/>
    <mergeCell ref="A75:B75"/>
    <mergeCell ref="M75:N75"/>
    <mergeCell ref="A90:A92"/>
    <mergeCell ref="M90:N90"/>
    <mergeCell ref="M91:N91"/>
    <mergeCell ref="M92:N9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1"/>
  <headerFooter alignWithMargins="0">
    <oddHeader>&amp;RTabuľka č. 1</oddHeader>
  </headerFooter>
  <rowBreaks count="1" manualBreakCount="1">
    <brk id="68" max="255" man="1"/>
  </rowBreaks>
  <colBreaks count="1" manualBreakCount="1">
    <brk id="17" min="68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nup 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KanianskyB</dc:creator>
  <cp:keywords/>
  <dc:description/>
  <cp:lastModifiedBy>Administrator</cp:lastModifiedBy>
  <cp:lastPrinted>2010-08-11T05:01:21Z</cp:lastPrinted>
  <dcterms:created xsi:type="dcterms:W3CDTF">2004-01-28T14:53:25Z</dcterms:created>
  <dcterms:modified xsi:type="dcterms:W3CDTF">2010-08-13T06:53:58Z</dcterms:modified>
  <cp:category/>
  <cp:version/>
  <cp:contentType/>
  <cp:contentStatus/>
</cp:coreProperties>
</file>