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1"/>
  </bookViews>
  <sheets>
    <sheet name="§ 50j" sheetId="1" r:id="rId1"/>
    <sheet name="§ 52" sheetId="2" r:id="rId2"/>
    <sheet name="zakladné ukazovatele" sheetId="3" r:id="rId3"/>
  </sheets>
  <definedNames/>
  <calcPr fullCalcOnLoad="1"/>
</workbook>
</file>

<file path=xl/sharedStrings.xml><?xml version="1.0" encoding="utf-8"?>
<sst xmlns="http://schemas.openxmlformats.org/spreadsheetml/2006/main" count="165" uniqueCount="83">
  <si>
    <t>Celková cena práce:</t>
  </si>
  <si>
    <t>§ 49 ods. 4 zákona - súčet priemernej mzdy zamestnanca v hospodárstve Slovenskej republiky zverejnenej ŠÚ SR za príslušné obdobie a úhrady preddavku na poistenie, poistného na sociálne poistenie a príspevku na starobné dôchodkové sporenie, platených zames</t>
  </si>
  <si>
    <t>1) Zdroj: Štatistický úrad SR</t>
  </si>
  <si>
    <t xml:space="preserve">2) Zdroj: Prognóza vybraných indikátorov vývoja ekonomiky SR, IFP (MF SR), september 2009 </t>
  </si>
  <si>
    <t>CCP z 2-násobku ŽM (od 1.7.2009 do 30.6.2010)</t>
  </si>
  <si>
    <t>Odhad CCP z 2-násobku ŽM (od 1.7.2010 do 30.6.2011)</t>
  </si>
  <si>
    <t>sadzby</t>
  </si>
  <si>
    <t>starobné poistenie</t>
  </si>
  <si>
    <t>nemocenské poistenie</t>
  </si>
  <si>
    <t>poistenie v nezamestnanosti</t>
  </si>
  <si>
    <t>invalidné poistenie</t>
  </si>
  <si>
    <t>úrazové poistenie</t>
  </si>
  <si>
    <t>garančné poistenie</t>
  </si>
  <si>
    <t>rezervný fond solidarity</t>
  </si>
  <si>
    <t>zdravotné poistenie</t>
  </si>
  <si>
    <t>Odvody spolu</t>
  </si>
  <si>
    <t>CCP (mzda + odvody)</t>
  </si>
  <si>
    <t>CCP z 2-násobku ŽM (od 1.7.2011 do 30.6.2012)</t>
  </si>
  <si>
    <t>90 % z CCP z 2-násobku ŽM</t>
  </si>
  <si>
    <t>80 % z CCP z 2-násobku ŽM</t>
  </si>
  <si>
    <t>70 % z CCP z 2-násobku ŽM</t>
  </si>
  <si>
    <t>Predpokladaný počet vytvorených pracovných miest</t>
  </si>
  <si>
    <t>Predpokladaná suma finančných prostriedkov</t>
  </si>
  <si>
    <t>Rok 2010</t>
  </si>
  <si>
    <t>prvé tri mesiace</t>
  </si>
  <si>
    <t>ďalšie tri mesiace</t>
  </si>
  <si>
    <t>Spolu</t>
  </si>
  <si>
    <t>Rok 2011</t>
  </si>
  <si>
    <t>Maximálna mesačná výška príspevku do 30.6.2010</t>
  </si>
  <si>
    <t>Maximálna mesačná výška príspevku od 1.7.do 31.12.2010 (odhad)</t>
  </si>
  <si>
    <t>Priemerná maximálna mesačná výška príspevku v roku 2010 (odhad)</t>
  </si>
  <si>
    <t>Maximálna mesačná výška príspevku určená zákonom</t>
  </si>
  <si>
    <t>Maximálna mesačná výška príspevku od 1.1 do 30.6.2011 (odhad)</t>
  </si>
  <si>
    <t>Maximálna mesačná výška príspevku od 1.7.do 31.12.2011 (odhad)</t>
  </si>
  <si>
    <t>Priemerná maximálna mesačná výška príspevku v roku 2011 (odhad)</t>
  </si>
  <si>
    <t>§ 52</t>
  </si>
  <si>
    <t>na úhradu časti CCP zamestnanca, ktorý organizuje MOS</t>
  </si>
  <si>
    <t>Mesačná výška príspevku určená zákonom</t>
  </si>
  <si>
    <t>výška príspevku celkom</t>
  </si>
  <si>
    <t>Predpokladaná suma finančných prostriedkov celkom</t>
  </si>
  <si>
    <t>Kvantifikácia predpokladaných finančných prostriedkov na poskytovanie príspevku podľa § 52 v roku 2010</t>
  </si>
  <si>
    <t>Predpokladaná suma finančných prostriedkov / mesiac</t>
  </si>
  <si>
    <t>pozn.:</t>
  </si>
  <si>
    <t>najviac 4 % z CCP</t>
  </si>
  <si>
    <t>najviac 3 % z CCP</t>
  </si>
  <si>
    <t>najviac 7 % z CCP</t>
  </si>
  <si>
    <t>na úhradu časti nákladov súvisiacich s MOS</t>
  </si>
  <si>
    <t>2,5 % z CCP</t>
  </si>
  <si>
    <t>2 % z CCP</t>
  </si>
  <si>
    <t>4,5 % z CCP</t>
  </si>
  <si>
    <t xml:space="preserve">Maximálna mesačná výška príspevku stanovená IN Ústredia </t>
  </si>
  <si>
    <t>Kvantifikácia predpokladaných finančných prostriedkov na poskytovanie príspevku podľa § 50j</t>
  </si>
  <si>
    <t>stĺ. 1</t>
  </si>
  <si>
    <t>stĺ. 2</t>
  </si>
  <si>
    <t>stĺ. 3</t>
  </si>
  <si>
    <t>stĺ. 4</t>
  </si>
  <si>
    <t>stĺ. 5</t>
  </si>
  <si>
    <t>stĺ. 6</t>
  </si>
  <si>
    <t>stĺ. 7</t>
  </si>
  <si>
    <t>Priemerná výška príspevku (Ø stĺ. 5 a 7)</t>
  </si>
  <si>
    <t>stĺ. 8</t>
  </si>
  <si>
    <t>stĺ. 9</t>
  </si>
  <si>
    <t>stĺ. 10</t>
  </si>
  <si>
    <r>
      <t xml:space="preserve">Výška príspevku pri výške mzdy v sume </t>
    </r>
    <r>
      <rPr>
        <b/>
        <sz val="10"/>
        <rFont val="Arial"/>
        <family val="2"/>
      </rPr>
      <t>minimálnej mzdy</t>
    </r>
  </si>
  <si>
    <r>
      <t xml:space="preserve">Výška príspevku pri výške mzdy v sume </t>
    </r>
    <r>
      <rPr>
        <b/>
        <sz val="10"/>
        <rFont val="Arial"/>
        <family val="2"/>
      </rPr>
      <t>minimálnej mzdy za 3 mesiace</t>
    </r>
  </si>
  <si>
    <r>
      <t xml:space="preserve">Priemerná </t>
    </r>
    <r>
      <rPr>
        <b/>
        <sz val="10"/>
        <rFont val="Arial"/>
        <family val="2"/>
      </rPr>
      <t>maximálna</t>
    </r>
    <r>
      <rPr>
        <sz val="10"/>
        <rFont val="Arial"/>
        <family val="0"/>
      </rPr>
      <t xml:space="preserve"> výška príspevku </t>
    </r>
    <r>
      <rPr>
        <b/>
        <sz val="10"/>
        <rFont val="Arial"/>
        <family val="2"/>
      </rPr>
      <t>za 3 mesiace</t>
    </r>
    <r>
      <rPr>
        <sz val="10"/>
        <rFont val="Arial"/>
        <family val="0"/>
      </rPr>
      <t xml:space="preserve"> (odhad)</t>
    </r>
  </si>
  <si>
    <t>Predpokladaná výška minimálnej mzdy od 1. januára 2011 (zvýšenie o 4 %)</t>
  </si>
  <si>
    <r>
      <t>Minimálna mzda</t>
    </r>
    <r>
      <rPr>
        <sz val="10"/>
        <rFont val="Arial"/>
        <family val="0"/>
      </rPr>
      <t xml:space="preserve"> od 1. januára 2010</t>
    </r>
  </si>
  <si>
    <r>
      <t>Životné minimum</t>
    </r>
    <r>
      <rPr>
        <sz val="10"/>
        <rFont val="Arial"/>
        <family val="0"/>
      </rPr>
      <t xml:space="preserve"> pre jednu plnoletú fyzickú osobu od 1.7.2009</t>
    </r>
  </si>
  <si>
    <r>
      <t>Odhad výšky priemernej mesačnej mzdy zamestnanca za I. až III štvrťrok 2011 (index rastu 6,5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):</t>
    </r>
  </si>
  <si>
    <r>
      <t>Odhad sumy životného minima pre jednu plnoletú fyzickú osobu od 1.7.2010 (index rastu 3,6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</si>
  <si>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Odhad sumy životného minima pre jednu plnoletú fyzickú osobu od 1.7.2011 (index rastu 3,1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</si>
  <si>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Odhad sumy životného minima pre jednu plnoletú fyzickú osobu od 1.7.2012 (index rastu 3,8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</si>
  <si>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MCCP (od 1.1.2010) </t>
  </si>
  <si>
    <t xml:space="preserve">MCCP (od 1.1.2011) odhad </t>
  </si>
  <si>
    <t>MCCP (mzda + odvody)</t>
  </si>
  <si>
    <t>CCP - celková cena práce vypočítaná z výšky priemernej mzdy zamestnanca v hospodárstve za I. až III. štvrťrok 2009</t>
  </si>
  <si>
    <t>CCP - vypočítaná z odhadovanej výšky priemernej mzdy zamestnanca v hospodárstve SR za I. až III. štvrťrok 2009: 975,54 eur</t>
  </si>
  <si>
    <t>Výška priemernej mzdy zamestnanca v hospodárstve SR za I. až III. štvrťrok 2009: 721,77 eur (zdroj: ŠÚ SR)</t>
  </si>
  <si>
    <r>
      <t xml:space="preserve">Výška </t>
    </r>
    <r>
      <rPr>
        <b/>
        <sz val="10"/>
        <rFont val="Arial"/>
        <family val="2"/>
      </rPr>
      <t>priemernej mesačnej mzdy</t>
    </r>
    <r>
      <rPr>
        <sz val="10"/>
        <rFont val="Arial"/>
        <family val="0"/>
      </rPr>
      <t xml:space="preserve"> zamestnanca v hosopdárstve SR za I. až III štvrťrok 2009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:</t>
    </r>
  </si>
  <si>
    <r>
      <t>Odhad výšky priemernej mesačnej mzdy zamestnanca za I. až III štvrťrok 2010 (index rastu 2,6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):</t>
    </r>
  </si>
  <si>
    <r>
      <t>Odhad výšky priemernej mesačnej mzdy zamestnanca za I. až III štvrťrok 2011 (index rastu 3,4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):</t>
    </r>
  </si>
  <si>
    <t>Predpokladaný priemerný počet UoZ zaradených na MOS v roku 2010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</si>
</sst>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Áno&quot;;&quot;Áno&quot;;&quot;Nie&quot;"/>
    <numFmt numFmtId="172" formatCode="&quot;Pravda&quot;;&quot;Pravda&quot;;&quot;Nepravda&quot;"/>
    <numFmt numFmtId="173" formatCode="&quot;Zapnuté&quot;;&quot;Zapnuté&quot;;&quot;Vypnuté&quot;"/>
    <numFmt numFmtId="174" formatCode="#,##0.0"/>
    <numFmt numFmtId="175" formatCode="0.0%"/>
    <numFmt numFmtId="176" formatCode="000\ 00"/>
    <numFmt numFmtId="177" formatCode="#,##0.000"/>
    <numFmt numFmtId="178" formatCode="0.00_)"/>
    <numFmt numFmtId="179" formatCode="#,##0.00\ [$€-1];[Red]\-#,##0.00\ [$€-1]"/>
    <numFmt numFmtId="180" formatCode="#,##0.0000_ ;[Red]\-#,##0.0000\ "/>
    <numFmt numFmtId="181" formatCode="#,##0.0000\ [$€-1];[Red]\-#,##0.0000\ [$€-1]"/>
    <numFmt numFmtId="182" formatCode="#,##0.00\ [$€-1]"/>
    <numFmt numFmtId="183" formatCode="[$€-2]\ #\ ##,000_);[Red]\([$€-2]\ #\ ##,000\)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18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6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18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2" fontId="0" fillId="24" borderId="10" xfId="0" applyNumberFormat="1" applyFill="1" applyBorder="1" applyAlignment="1">
      <alignment/>
    </xf>
    <xf numFmtId="181" fontId="0" fillId="0" borderId="10" xfId="0" applyNumberFormat="1" applyBorder="1" applyAlignment="1">
      <alignment/>
    </xf>
    <xf numFmtId="179" fontId="1" fillId="24" borderId="10" xfId="0" applyNumberFormat="1" applyFont="1" applyFill="1" applyBorder="1" applyAlignment="1">
      <alignment/>
    </xf>
    <xf numFmtId="0" fontId="0" fillId="0" borderId="10" xfId="0" applyBorder="1" applyAlignment="1">
      <alignment wrapText="1" shrinkToFit="1"/>
    </xf>
    <xf numFmtId="182" fontId="1" fillId="4" borderId="10" xfId="0" applyNumberFormat="1" applyFont="1" applyFill="1" applyBorder="1" applyAlignment="1">
      <alignment/>
    </xf>
    <xf numFmtId="0" fontId="0" fillId="17" borderId="10" xfId="0" applyFill="1" applyBorder="1" applyAlignment="1">
      <alignment horizontal="center" vertical="center" wrapText="1" shrinkToFit="1"/>
    </xf>
    <xf numFmtId="0" fontId="1" fillId="17" borderId="10" xfId="0" applyFont="1" applyFill="1" applyBorder="1" applyAlignment="1">
      <alignment horizontal="center" vertical="center" wrapText="1" shrinkToFit="1"/>
    </xf>
    <xf numFmtId="0" fontId="0" fillId="25" borderId="10" xfId="0" applyFill="1" applyBorder="1" applyAlignment="1">
      <alignment horizontal="center" vertical="center" wrapText="1" shrinkToFit="1"/>
    </xf>
    <xf numFmtId="0" fontId="1" fillId="25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18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 shrinkToFit="1"/>
    </xf>
    <xf numFmtId="6" fontId="0" fillId="0" borderId="13" xfId="0" applyNumberForma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1" fillId="4" borderId="16" xfId="0" applyFont="1" applyFill="1" applyBorder="1" applyAlignment="1">
      <alignment horizontal="center" vertical="center" wrapText="1" shrinkToFit="1"/>
    </xf>
    <xf numFmtId="182" fontId="1" fillId="4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182" fontId="0" fillId="0" borderId="0" xfId="0" applyNumberForma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 shrinkToFit="1"/>
    </xf>
    <xf numFmtId="3" fontId="1" fillId="0" borderId="17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 wrapText="1" shrinkToFit="1"/>
    </xf>
    <xf numFmtId="182" fontId="0" fillId="0" borderId="12" xfId="0" applyNumberFormat="1" applyBorder="1" applyAlignment="1">
      <alignment/>
    </xf>
    <xf numFmtId="0" fontId="0" fillId="0" borderId="12" xfId="0" applyFont="1" applyBorder="1" applyAlignment="1">
      <alignment horizontal="center" vertical="center" wrapText="1" shrinkToFit="1"/>
    </xf>
    <xf numFmtId="3" fontId="0" fillId="0" borderId="12" xfId="0" applyNumberFormat="1" applyBorder="1" applyAlignment="1">
      <alignment/>
    </xf>
    <xf numFmtId="182" fontId="0" fillId="0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17" borderId="19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wrapText="1" shrinkToFit="1"/>
    </xf>
    <xf numFmtId="0" fontId="1" fillId="17" borderId="20" xfId="0" applyFont="1" applyFill="1" applyBorder="1" applyAlignment="1">
      <alignment/>
    </xf>
    <xf numFmtId="0" fontId="1" fillId="17" borderId="21" xfId="0" applyFont="1" applyFill="1" applyBorder="1" applyAlignment="1">
      <alignment/>
    </xf>
    <xf numFmtId="0" fontId="0" fillId="17" borderId="13" xfId="0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182" fontId="0" fillId="0" borderId="13" xfId="0" applyNumberFormat="1" applyBorder="1" applyAlignment="1">
      <alignment/>
    </xf>
    <xf numFmtId="182" fontId="1" fillId="17" borderId="22" xfId="0" applyNumberFormat="1" applyFont="1" applyFill="1" applyBorder="1" applyAlignment="1">
      <alignment/>
    </xf>
    <xf numFmtId="0" fontId="0" fillId="17" borderId="12" xfId="0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1" fillId="17" borderId="23" xfId="0" applyFont="1" applyFill="1" applyBorder="1" applyAlignment="1">
      <alignment/>
    </xf>
    <xf numFmtId="0" fontId="0" fillId="0" borderId="24" xfId="0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 shrinkToFit="1"/>
    </xf>
    <xf numFmtId="182" fontId="0" fillId="0" borderId="25" xfId="0" applyNumberForma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17" borderId="12" xfId="0" applyFont="1" applyFill="1" applyBorder="1" applyAlignment="1">
      <alignment horizontal="center" vertical="center" wrapText="1" shrinkToFit="1"/>
    </xf>
    <xf numFmtId="0" fontId="1" fillId="25" borderId="19" xfId="0" applyFont="1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/>
    </xf>
    <xf numFmtId="182" fontId="0" fillId="0" borderId="19" xfId="0" applyNumberFormat="1" applyBorder="1" applyAlignment="1">
      <alignment/>
    </xf>
    <xf numFmtId="0" fontId="1" fillId="25" borderId="20" xfId="0" applyFont="1" applyFill="1" applyBorder="1" applyAlignment="1">
      <alignment/>
    </xf>
    <xf numFmtId="0" fontId="1" fillId="25" borderId="21" xfId="0" applyFont="1" applyFill="1" applyBorder="1" applyAlignment="1">
      <alignment/>
    </xf>
    <xf numFmtId="0" fontId="0" fillId="25" borderId="13" xfId="0" applyFill="1" applyBorder="1" applyAlignment="1">
      <alignment horizontal="center" vertical="center" wrapText="1" shrinkToFit="1"/>
    </xf>
    <xf numFmtId="182" fontId="1" fillId="25" borderId="22" xfId="0" applyNumberFormat="1" applyFont="1" applyFill="1" applyBorder="1" applyAlignment="1">
      <alignment/>
    </xf>
    <xf numFmtId="0" fontId="0" fillId="25" borderId="12" xfId="0" applyFill="1" applyBorder="1" applyAlignment="1">
      <alignment horizontal="center" vertical="center" wrapText="1" shrinkToFit="1"/>
    </xf>
    <xf numFmtId="0" fontId="1" fillId="25" borderId="23" xfId="0" applyFont="1" applyFill="1" applyBorder="1" applyAlignment="1">
      <alignment/>
    </xf>
    <xf numFmtId="0" fontId="1" fillId="25" borderId="12" xfId="0" applyFont="1" applyFill="1" applyBorder="1" applyAlignment="1">
      <alignment horizontal="center" vertical="center" wrapText="1" shrinkToFit="1"/>
    </xf>
    <xf numFmtId="182" fontId="1" fillId="24" borderId="23" xfId="0" applyNumberFormat="1" applyFont="1" applyFill="1" applyBorder="1" applyAlignment="1">
      <alignment/>
    </xf>
    <xf numFmtId="182" fontId="1" fillId="24" borderId="27" xfId="0" applyNumberFormat="1" applyFont="1" applyFill="1" applyBorder="1" applyAlignment="1">
      <alignment/>
    </xf>
    <xf numFmtId="182" fontId="1" fillId="26" borderId="23" xfId="0" applyNumberFormat="1" applyFont="1" applyFill="1" applyBorder="1" applyAlignment="1">
      <alignment/>
    </xf>
    <xf numFmtId="182" fontId="1" fillId="26" borderId="2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182" fontId="0" fillId="0" borderId="12" xfId="0" applyNumberFormat="1" applyFill="1" applyBorder="1" applyAlignment="1">
      <alignment/>
    </xf>
    <xf numFmtId="182" fontId="0" fillId="0" borderId="19" xfId="0" applyNumberFormat="1" applyFill="1" applyBorder="1" applyAlignment="1">
      <alignment/>
    </xf>
    <xf numFmtId="3" fontId="1" fillId="17" borderId="28" xfId="0" applyNumberFormat="1" applyFont="1" applyFill="1" applyBorder="1" applyAlignment="1">
      <alignment horizontal="center" vertical="center"/>
    </xf>
    <xf numFmtId="3" fontId="1" fillId="17" borderId="29" xfId="0" applyNumberFormat="1" applyFont="1" applyFill="1" applyBorder="1" applyAlignment="1">
      <alignment horizontal="center" vertical="center"/>
    </xf>
    <xf numFmtId="3" fontId="1" fillId="17" borderId="3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 shrinkToFit="1"/>
    </xf>
    <xf numFmtId="3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0" fillId="4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1" fillId="24" borderId="34" xfId="0" applyFont="1" applyFill="1" applyBorder="1" applyAlignment="1">
      <alignment horizontal="center"/>
    </xf>
    <xf numFmtId="0" fontId="1" fillId="26" borderId="31" xfId="0" applyFont="1" applyFill="1" applyBorder="1" applyAlignment="1">
      <alignment horizontal="center"/>
    </xf>
    <xf numFmtId="0" fontId="1" fillId="26" borderId="32" xfId="0" applyFont="1" applyFill="1" applyBorder="1" applyAlignment="1">
      <alignment horizontal="center"/>
    </xf>
    <xf numFmtId="0" fontId="1" fillId="26" borderId="33" xfId="0" applyFont="1" applyFill="1" applyBorder="1" applyAlignment="1">
      <alignment horizontal="center"/>
    </xf>
    <xf numFmtId="0" fontId="1" fillId="26" borderId="34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1" fillId="25" borderId="28" xfId="0" applyNumberFormat="1" applyFont="1" applyFill="1" applyBorder="1" applyAlignment="1">
      <alignment horizontal="center" vertical="center"/>
    </xf>
    <xf numFmtId="3" fontId="1" fillId="25" borderId="29" xfId="0" applyNumberFormat="1" applyFont="1" applyFill="1" applyBorder="1" applyAlignment="1">
      <alignment horizontal="center" vertical="center"/>
    </xf>
    <xf numFmtId="3" fontId="1" fillId="25" borderId="30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4" borderId="13" xfId="0" applyFont="1" applyFill="1" applyBorder="1" applyAlignment="1">
      <alignment horizontal="center" vertical="center" wrapText="1" shrinkToFit="1"/>
    </xf>
    <xf numFmtId="0" fontId="1" fillId="4" borderId="14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L19" sqref="L19"/>
    </sheetView>
  </sheetViews>
  <sheetFormatPr defaultColWidth="9.140625" defaultRowHeight="12.75"/>
  <cols>
    <col min="2" max="2" width="15.00390625" style="0" customWidth="1"/>
    <col min="3" max="3" width="15.8515625" style="0" customWidth="1"/>
    <col min="4" max="4" width="16.7109375" style="0" customWidth="1"/>
    <col min="5" max="5" width="15.57421875" style="0" customWidth="1"/>
    <col min="6" max="6" width="16.00390625" style="0" customWidth="1"/>
    <col min="7" max="7" width="1.7109375" style="0" customWidth="1"/>
    <col min="8" max="9" width="16.00390625" style="0" customWidth="1"/>
    <col min="10" max="10" width="2.00390625" style="0" customWidth="1"/>
    <col min="11" max="11" width="15.00390625" style="0" customWidth="1"/>
    <col min="12" max="12" width="17.421875" style="0" customWidth="1"/>
    <col min="13" max="13" width="18.57421875" style="0" customWidth="1"/>
  </cols>
  <sheetData>
    <row r="1" spans="2:12" ht="12.75">
      <c r="B1" s="89" t="s">
        <v>51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ht="13.5" thickBot="1"/>
    <row r="3" spans="1:13" ht="13.5" thickBot="1">
      <c r="A3" s="90" t="s">
        <v>23</v>
      </c>
      <c r="B3" s="91"/>
      <c r="C3" s="91"/>
      <c r="D3" s="91"/>
      <c r="E3" s="91"/>
      <c r="F3" s="91"/>
      <c r="G3" s="92"/>
      <c r="H3" s="91"/>
      <c r="I3" s="91"/>
      <c r="J3" s="92"/>
      <c r="K3" s="91"/>
      <c r="L3" s="91"/>
      <c r="M3" s="93"/>
    </row>
    <row r="4" spans="1:13" ht="77.25" customHeight="1">
      <c r="A4" s="47"/>
      <c r="B4" s="18" t="s">
        <v>31</v>
      </c>
      <c r="C4" s="18" t="s">
        <v>28</v>
      </c>
      <c r="D4" s="18" t="s">
        <v>29</v>
      </c>
      <c r="E4" s="18" t="s">
        <v>30</v>
      </c>
      <c r="F4" s="53" t="s">
        <v>65</v>
      </c>
      <c r="G4" s="60"/>
      <c r="H4" s="57" t="s">
        <v>63</v>
      </c>
      <c r="I4" s="53" t="s">
        <v>64</v>
      </c>
      <c r="J4" s="60"/>
      <c r="K4" s="64" t="s">
        <v>59</v>
      </c>
      <c r="L4" s="19" t="s">
        <v>21</v>
      </c>
      <c r="M4" s="48" t="s">
        <v>22</v>
      </c>
    </row>
    <row r="5" spans="1:13" ht="14.25" customHeight="1">
      <c r="A5" s="47"/>
      <c r="B5" s="31" t="s">
        <v>52</v>
      </c>
      <c r="C5" s="31" t="s">
        <v>53</v>
      </c>
      <c r="D5" s="31" t="s">
        <v>54</v>
      </c>
      <c r="E5" s="31" t="s">
        <v>55</v>
      </c>
      <c r="F5" s="54" t="s">
        <v>56</v>
      </c>
      <c r="G5" s="61"/>
      <c r="H5" s="58" t="s">
        <v>57</v>
      </c>
      <c r="I5" s="54" t="s">
        <v>58</v>
      </c>
      <c r="J5" s="61"/>
      <c r="K5" s="58" t="s">
        <v>60</v>
      </c>
      <c r="L5" s="31" t="s">
        <v>61</v>
      </c>
      <c r="M5" s="49" t="s">
        <v>62</v>
      </c>
    </row>
    <row r="6" spans="1:13" ht="25.5" customHeight="1">
      <c r="A6" s="50" t="s">
        <v>24</v>
      </c>
      <c r="B6" s="16" t="s">
        <v>18</v>
      </c>
      <c r="C6" s="7">
        <f>500.41*0.9</f>
        <v>450.369</v>
      </c>
      <c r="D6" s="7">
        <f>518.48*0.9</f>
        <v>466.632</v>
      </c>
      <c r="E6" s="7">
        <f>AVERAGE(C6:D6)</f>
        <v>458.5005</v>
      </c>
      <c r="F6" s="55">
        <f>E6*3</f>
        <v>1375.5014999999999</v>
      </c>
      <c r="G6" s="62"/>
      <c r="H6" s="43">
        <f>415.47*0.9</f>
        <v>373.92300000000006</v>
      </c>
      <c r="I6" s="55">
        <f>H6*3</f>
        <v>1121.7690000000002</v>
      </c>
      <c r="J6" s="62"/>
      <c r="K6" s="80">
        <f>AVERAGE(F6,I6)</f>
        <v>1248.63525</v>
      </c>
      <c r="L6" s="82">
        <v>9000</v>
      </c>
      <c r="M6" s="81">
        <f>L6*K6</f>
        <v>11237717.25</v>
      </c>
    </row>
    <row r="7" spans="1:13" ht="25.5" customHeight="1">
      <c r="A7" s="50" t="s">
        <v>25</v>
      </c>
      <c r="B7" s="16" t="s">
        <v>19</v>
      </c>
      <c r="C7" s="7">
        <f>500.41*0.8</f>
        <v>400.32800000000003</v>
      </c>
      <c r="D7" s="7">
        <f>518.48*0.8</f>
        <v>414.78400000000005</v>
      </c>
      <c r="E7" s="7">
        <f>AVERAGE(C7:D7)</f>
        <v>407.55600000000004</v>
      </c>
      <c r="F7" s="55">
        <f>E7*3</f>
        <v>1222.6680000000001</v>
      </c>
      <c r="G7" s="62"/>
      <c r="H7" s="43">
        <f>415.47*0.8</f>
        <v>332.37600000000003</v>
      </c>
      <c r="I7" s="55">
        <f>H7*3</f>
        <v>997.1280000000002</v>
      </c>
      <c r="J7" s="62"/>
      <c r="K7" s="80">
        <f>AVERAGE(F7,I7)</f>
        <v>1109.8980000000001</v>
      </c>
      <c r="L7" s="83"/>
      <c r="M7" s="81">
        <f>L6*K7</f>
        <v>9989082.000000002</v>
      </c>
    </row>
    <row r="8" spans="1:13" ht="25.5" customHeight="1">
      <c r="A8" s="50" t="s">
        <v>25</v>
      </c>
      <c r="B8" s="16" t="s">
        <v>20</v>
      </c>
      <c r="C8" s="7">
        <f>500.41*0.7</f>
        <v>350.287</v>
      </c>
      <c r="D8" s="7">
        <f>518.48*0.7</f>
        <v>362.936</v>
      </c>
      <c r="E8" s="7">
        <f>AVERAGE(C8:D8)</f>
        <v>356.6115</v>
      </c>
      <c r="F8" s="55">
        <f>E8*3</f>
        <v>1069.8345</v>
      </c>
      <c r="G8" s="62"/>
      <c r="H8" s="43">
        <f>415.47*0.7</f>
        <v>290.829</v>
      </c>
      <c r="I8" s="55">
        <f>H8*3</f>
        <v>872.4870000000001</v>
      </c>
      <c r="J8" s="62"/>
      <c r="K8" s="80">
        <f>AVERAGE(F8,I8)</f>
        <v>971.16075</v>
      </c>
      <c r="L8" s="83"/>
      <c r="M8" s="81">
        <f>L6*K8</f>
        <v>8740446.75</v>
      </c>
    </row>
    <row r="9" spans="1:13" ht="13.5" thickBot="1">
      <c r="A9" s="51" t="s">
        <v>26</v>
      </c>
      <c r="B9" s="52"/>
      <c r="C9" s="52"/>
      <c r="D9" s="52"/>
      <c r="E9" s="52"/>
      <c r="F9" s="56">
        <f>F6+F7+F8</f>
        <v>3668.004</v>
      </c>
      <c r="G9" s="63"/>
      <c r="H9" s="59"/>
      <c r="I9" s="56">
        <f>I6+I7+I8</f>
        <v>2991.3840000000005</v>
      </c>
      <c r="J9" s="63"/>
      <c r="K9" s="75">
        <f>K6+K7+K8</f>
        <v>3329.6940000000004</v>
      </c>
      <c r="L9" s="84"/>
      <c r="M9" s="76">
        <f>M6+M7+M8</f>
        <v>29967246</v>
      </c>
    </row>
    <row r="10" spans="1:13" s="30" customFormat="1" ht="12.75">
      <c r="A10" s="3"/>
      <c r="B10" s="3"/>
      <c r="C10" s="3"/>
      <c r="D10" s="3"/>
      <c r="E10" s="3"/>
      <c r="F10" s="39"/>
      <c r="G10" s="3"/>
      <c r="H10" s="3"/>
      <c r="I10" s="39"/>
      <c r="J10" s="3"/>
      <c r="K10" s="39"/>
      <c r="L10" s="79"/>
      <c r="M10" s="39"/>
    </row>
    <row r="11" ht="13.5" thickBot="1"/>
    <row r="12" spans="1:13" ht="13.5" thickBot="1">
      <c r="A12" s="94" t="s">
        <v>27</v>
      </c>
      <c r="B12" s="95"/>
      <c r="C12" s="95"/>
      <c r="D12" s="95"/>
      <c r="E12" s="95"/>
      <c r="F12" s="95"/>
      <c r="G12" s="96"/>
      <c r="H12" s="95"/>
      <c r="I12" s="95"/>
      <c r="J12" s="96"/>
      <c r="K12" s="95"/>
      <c r="L12" s="95"/>
      <c r="M12" s="97"/>
    </row>
    <row r="13" spans="1:13" ht="78.75" customHeight="1">
      <c r="A13" s="47"/>
      <c r="B13" s="20" t="s">
        <v>31</v>
      </c>
      <c r="C13" s="20" t="s">
        <v>32</v>
      </c>
      <c r="D13" s="20" t="s">
        <v>33</v>
      </c>
      <c r="E13" s="20" t="s">
        <v>34</v>
      </c>
      <c r="F13" s="70" t="s">
        <v>65</v>
      </c>
      <c r="G13" s="60"/>
      <c r="H13" s="72" t="s">
        <v>63</v>
      </c>
      <c r="I13" s="70" t="s">
        <v>64</v>
      </c>
      <c r="J13" s="60"/>
      <c r="K13" s="74" t="s">
        <v>59</v>
      </c>
      <c r="L13" s="21" t="s">
        <v>21</v>
      </c>
      <c r="M13" s="65" t="s">
        <v>22</v>
      </c>
    </row>
    <row r="14" spans="1:13" s="30" customFormat="1" ht="15.75" customHeight="1">
      <c r="A14" s="66"/>
      <c r="B14" s="31" t="s">
        <v>52</v>
      </c>
      <c r="C14" s="31" t="s">
        <v>53</v>
      </c>
      <c r="D14" s="31" t="s">
        <v>54</v>
      </c>
      <c r="E14" s="31" t="s">
        <v>55</v>
      </c>
      <c r="F14" s="54" t="s">
        <v>56</v>
      </c>
      <c r="G14" s="61"/>
      <c r="H14" s="58" t="s">
        <v>57</v>
      </c>
      <c r="I14" s="54" t="s">
        <v>58</v>
      </c>
      <c r="J14" s="61"/>
      <c r="K14" s="58" t="s">
        <v>60</v>
      </c>
      <c r="L14" s="31" t="s">
        <v>61</v>
      </c>
      <c r="M14" s="49" t="s">
        <v>62</v>
      </c>
    </row>
    <row r="15" spans="1:13" ht="25.5">
      <c r="A15" s="50" t="s">
        <v>24</v>
      </c>
      <c r="B15" s="16" t="s">
        <v>18</v>
      </c>
      <c r="C15" s="7">
        <f>518.48*0.9</f>
        <v>466.632</v>
      </c>
      <c r="D15" s="7">
        <f>534.37*0.9</f>
        <v>480.933</v>
      </c>
      <c r="E15" s="7">
        <f>AVERAGE(C15:D15)</f>
        <v>473.7825</v>
      </c>
      <c r="F15" s="55">
        <f>E15*3</f>
        <v>1421.3475</v>
      </c>
      <c r="G15" s="62"/>
      <c r="H15" s="43">
        <f>432.5*0.9</f>
        <v>389.25</v>
      </c>
      <c r="I15" s="55">
        <f>H15*3</f>
        <v>1167.75</v>
      </c>
      <c r="J15" s="62"/>
      <c r="K15" s="43">
        <f>AVERAGE(F15,I15)</f>
        <v>1294.54875</v>
      </c>
      <c r="L15" s="99">
        <v>9000</v>
      </c>
      <c r="M15" s="67">
        <f>L15*K15</f>
        <v>11650938.75</v>
      </c>
    </row>
    <row r="16" spans="1:13" ht="25.5">
      <c r="A16" s="50" t="s">
        <v>25</v>
      </c>
      <c r="B16" s="16" t="s">
        <v>19</v>
      </c>
      <c r="C16" s="7">
        <f>518.48*0.8</f>
        <v>414.78400000000005</v>
      </c>
      <c r="D16" s="7">
        <f>534.37*0.8</f>
        <v>427.49600000000004</v>
      </c>
      <c r="E16" s="7">
        <f>AVERAGE(C16:D16)</f>
        <v>421.14000000000004</v>
      </c>
      <c r="F16" s="55">
        <f>E16*3</f>
        <v>1263.42</v>
      </c>
      <c r="G16" s="62"/>
      <c r="H16" s="43">
        <f>432.5*0.8</f>
        <v>346</v>
      </c>
      <c r="I16" s="55">
        <f>H16*3</f>
        <v>1038</v>
      </c>
      <c r="J16" s="62"/>
      <c r="K16" s="43">
        <f>AVERAGE(F16,I16)</f>
        <v>1150.71</v>
      </c>
      <c r="L16" s="100"/>
      <c r="M16" s="67">
        <f>L15*K16</f>
        <v>10356390</v>
      </c>
    </row>
    <row r="17" spans="1:13" ht="25.5">
      <c r="A17" s="50" t="s">
        <v>25</v>
      </c>
      <c r="B17" s="16" t="s">
        <v>20</v>
      </c>
      <c r="C17" s="7">
        <f>518.481*0.7</f>
        <v>362.9367</v>
      </c>
      <c r="D17" s="7">
        <f>534.37*0.7</f>
        <v>374.05899999999997</v>
      </c>
      <c r="E17" s="7">
        <f>AVERAGE(C17:D17)</f>
        <v>368.49784999999997</v>
      </c>
      <c r="F17" s="55">
        <f>E17*3</f>
        <v>1105.49355</v>
      </c>
      <c r="G17" s="62"/>
      <c r="H17" s="43">
        <f>432.5*0.7</f>
        <v>302.75</v>
      </c>
      <c r="I17" s="55">
        <f>H17*3</f>
        <v>908.25</v>
      </c>
      <c r="J17" s="62"/>
      <c r="K17" s="43">
        <f>AVERAGE(F17,I17)</f>
        <v>1006.871775</v>
      </c>
      <c r="L17" s="100"/>
      <c r="M17" s="67">
        <f>L15*K17</f>
        <v>9061845.975</v>
      </c>
    </row>
    <row r="18" spans="1:13" ht="13.5" thickBot="1">
      <c r="A18" s="68" t="s">
        <v>26</v>
      </c>
      <c r="B18" s="69"/>
      <c r="C18" s="69"/>
      <c r="D18" s="69"/>
      <c r="E18" s="69"/>
      <c r="F18" s="71">
        <f>F15+F16+F17</f>
        <v>3790.26105</v>
      </c>
      <c r="G18" s="63"/>
      <c r="H18" s="73"/>
      <c r="I18" s="71">
        <f>I15+I16+I17</f>
        <v>3114</v>
      </c>
      <c r="J18" s="63"/>
      <c r="K18" s="77">
        <f>K15+K16+K17</f>
        <v>3452.130525</v>
      </c>
      <c r="L18" s="101"/>
      <c r="M18" s="78">
        <f>M15+M16+M17</f>
        <v>31069174.725</v>
      </c>
    </row>
    <row r="20" spans="1:13" ht="12.75">
      <c r="A20" s="105" t="s">
        <v>73</v>
      </c>
      <c r="B20" s="105"/>
      <c r="C20" s="105"/>
      <c r="D20" s="105"/>
      <c r="E20" s="105"/>
      <c r="F20" s="105"/>
      <c r="H20" s="105" t="s">
        <v>74</v>
      </c>
      <c r="I20" s="105"/>
      <c r="J20" s="105"/>
      <c r="K20" s="105"/>
      <c r="L20" s="105"/>
      <c r="M20" s="105"/>
    </row>
    <row r="21" spans="1:13" ht="12.75">
      <c r="A21" s="106"/>
      <c r="B21" s="106"/>
      <c r="C21" s="106"/>
      <c r="D21" s="4" t="s">
        <v>6</v>
      </c>
      <c r="E21" s="6">
        <v>307.7</v>
      </c>
      <c r="F21" s="6">
        <f>E21</f>
        <v>307.7</v>
      </c>
      <c r="H21" s="106"/>
      <c r="I21" s="106"/>
      <c r="J21" s="106"/>
      <c r="K21" s="4" t="s">
        <v>6</v>
      </c>
      <c r="L21" s="6">
        <v>320</v>
      </c>
      <c r="M21" s="6">
        <f>L21</f>
        <v>320</v>
      </c>
    </row>
    <row r="22" spans="1:13" ht="12.75">
      <c r="A22" s="107" t="s">
        <v>7</v>
      </c>
      <c r="B22" s="107"/>
      <c r="C22" s="107"/>
      <c r="D22" s="8">
        <v>14</v>
      </c>
      <c r="E22" s="9">
        <f>E21/100*D22</f>
        <v>43.078</v>
      </c>
      <c r="F22" s="10">
        <f aca="true" t="shared" si="0" ref="F22:F28">FLOOR(E22,0.1)</f>
        <v>43</v>
      </c>
      <c r="H22" s="107" t="s">
        <v>7</v>
      </c>
      <c r="I22" s="107"/>
      <c r="J22" s="107"/>
      <c r="K22" s="8">
        <v>14</v>
      </c>
      <c r="L22" s="9">
        <f>L21/100*K22</f>
        <v>44.800000000000004</v>
      </c>
      <c r="M22" s="10">
        <f aca="true" t="shared" si="1" ref="M22:M28">FLOOR(L22,0.1)</f>
        <v>44.800000000000004</v>
      </c>
    </row>
    <row r="23" spans="1:13" ht="12.75">
      <c r="A23" s="98" t="s">
        <v>8</v>
      </c>
      <c r="B23" s="98"/>
      <c r="C23" s="98"/>
      <c r="D23" s="11">
        <v>1.4</v>
      </c>
      <c r="E23" s="9">
        <f>E21/100*D23</f>
        <v>4.307799999999999</v>
      </c>
      <c r="F23" s="10">
        <f t="shared" si="0"/>
        <v>4.3</v>
      </c>
      <c r="H23" s="98" t="s">
        <v>8</v>
      </c>
      <c r="I23" s="98"/>
      <c r="J23" s="98"/>
      <c r="K23" s="11">
        <v>1.4</v>
      </c>
      <c r="L23" s="9">
        <f>L21/100*K23</f>
        <v>4.4799999999999995</v>
      </c>
      <c r="M23" s="10">
        <f t="shared" si="1"/>
        <v>4.4</v>
      </c>
    </row>
    <row r="24" spans="1:13" ht="12.75">
      <c r="A24" s="108" t="s">
        <v>9</v>
      </c>
      <c r="B24" s="109"/>
      <c r="C24" s="110"/>
      <c r="D24" s="11">
        <v>1</v>
      </c>
      <c r="E24" s="9">
        <f>E21/100*D24</f>
        <v>3.077</v>
      </c>
      <c r="F24" s="10">
        <f t="shared" si="0"/>
        <v>3</v>
      </c>
      <c r="H24" s="108" t="s">
        <v>9</v>
      </c>
      <c r="I24" s="109"/>
      <c r="J24" s="110"/>
      <c r="K24" s="11">
        <v>1</v>
      </c>
      <c r="L24" s="9">
        <f>L21/100*K24</f>
        <v>3.2</v>
      </c>
      <c r="M24" s="10">
        <f t="shared" si="1"/>
        <v>3.2</v>
      </c>
    </row>
    <row r="25" spans="1:13" ht="12.75">
      <c r="A25" s="98" t="s">
        <v>10</v>
      </c>
      <c r="B25" s="98"/>
      <c r="C25" s="98"/>
      <c r="D25" s="11">
        <v>3</v>
      </c>
      <c r="E25" s="9">
        <f>E21/100*D25</f>
        <v>9.231</v>
      </c>
      <c r="F25" s="10">
        <f t="shared" si="0"/>
        <v>9.200000000000001</v>
      </c>
      <c r="H25" s="98" t="s">
        <v>10</v>
      </c>
      <c r="I25" s="98"/>
      <c r="J25" s="98"/>
      <c r="K25" s="11">
        <v>3</v>
      </c>
      <c r="L25" s="9">
        <f>L21/100*K25</f>
        <v>9.600000000000001</v>
      </c>
      <c r="M25" s="10">
        <f t="shared" si="1"/>
        <v>9.600000000000001</v>
      </c>
    </row>
    <row r="26" spans="1:13" ht="12.75">
      <c r="A26" s="98" t="s">
        <v>11</v>
      </c>
      <c r="B26" s="98"/>
      <c r="C26" s="98"/>
      <c r="D26" s="11">
        <v>0.8</v>
      </c>
      <c r="E26" s="9">
        <f>E21/100*D26</f>
        <v>2.4616000000000002</v>
      </c>
      <c r="F26" s="10">
        <f t="shared" si="0"/>
        <v>2.4000000000000004</v>
      </c>
      <c r="H26" s="98" t="s">
        <v>11</v>
      </c>
      <c r="I26" s="98"/>
      <c r="J26" s="98"/>
      <c r="K26" s="11">
        <v>0.8</v>
      </c>
      <c r="L26" s="9">
        <f>L21/100*K26</f>
        <v>2.5600000000000005</v>
      </c>
      <c r="M26" s="10">
        <f t="shared" si="1"/>
        <v>2.5</v>
      </c>
    </row>
    <row r="27" spans="1:13" ht="12.75">
      <c r="A27" s="98" t="s">
        <v>12</v>
      </c>
      <c r="B27" s="98"/>
      <c r="C27" s="98"/>
      <c r="D27" s="11">
        <v>0.25</v>
      </c>
      <c r="E27" s="9">
        <f>E21/100*D27</f>
        <v>0.76925</v>
      </c>
      <c r="F27" s="10">
        <f t="shared" si="0"/>
        <v>0.7000000000000001</v>
      </c>
      <c r="H27" s="98" t="s">
        <v>12</v>
      </c>
      <c r="I27" s="98"/>
      <c r="J27" s="98"/>
      <c r="K27" s="11">
        <v>0.25</v>
      </c>
      <c r="L27" s="9">
        <f>L21/100*K27</f>
        <v>0.8</v>
      </c>
      <c r="M27" s="10">
        <f t="shared" si="1"/>
        <v>0.8</v>
      </c>
    </row>
    <row r="28" spans="1:13" ht="12.75">
      <c r="A28" s="98" t="s">
        <v>13</v>
      </c>
      <c r="B28" s="98"/>
      <c r="C28" s="98"/>
      <c r="D28" s="11">
        <v>4.75</v>
      </c>
      <c r="E28" s="9">
        <f>E21/100*D28</f>
        <v>14.61575</v>
      </c>
      <c r="F28" s="10">
        <f t="shared" si="0"/>
        <v>14.600000000000001</v>
      </c>
      <c r="H28" s="98" t="s">
        <v>13</v>
      </c>
      <c r="I28" s="98"/>
      <c r="J28" s="98"/>
      <c r="K28" s="11">
        <v>4.75</v>
      </c>
      <c r="L28" s="9">
        <f>L21/100*K28</f>
        <v>15.200000000000001</v>
      </c>
      <c r="M28" s="10">
        <f t="shared" si="1"/>
        <v>15.200000000000001</v>
      </c>
    </row>
    <row r="29" spans="1:13" ht="12.75">
      <c r="A29" s="98" t="s">
        <v>14</v>
      </c>
      <c r="B29" s="98"/>
      <c r="C29" s="98"/>
      <c r="D29" s="11">
        <v>10</v>
      </c>
      <c r="E29" s="9">
        <f>E21/100*D29</f>
        <v>30.77</v>
      </c>
      <c r="F29" s="10">
        <f>FLOOR(E29,0.01)</f>
        <v>30.77</v>
      </c>
      <c r="H29" s="98" t="s">
        <v>14</v>
      </c>
      <c r="I29" s="98"/>
      <c r="J29" s="98"/>
      <c r="K29" s="11">
        <v>10</v>
      </c>
      <c r="L29" s="9">
        <f>L21/100*K29</f>
        <v>32</v>
      </c>
      <c r="M29" s="10">
        <f>FLOOR(L29,0.01)</f>
        <v>32</v>
      </c>
    </row>
    <row r="30" spans="1:13" ht="12.75">
      <c r="A30" s="102" t="s">
        <v>15</v>
      </c>
      <c r="B30" s="103"/>
      <c r="C30" s="104"/>
      <c r="D30" s="12">
        <f>SUM(D22:D29)</f>
        <v>35.2</v>
      </c>
      <c r="E30" s="9">
        <f>SUM(E22:E29)</f>
        <v>108.3104</v>
      </c>
      <c r="F30" s="13">
        <f>SUM(F22:F29)</f>
        <v>107.97</v>
      </c>
      <c r="H30" s="102" t="s">
        <v>15</v>
      </c>
      <c r="I30" s="103"/>
      <c r="J30" s="104"/>
      <c r="K30" s="12">
        <f>SUM(K22:K29)</f>
        <v>35.2</v>
      </c>
      <c r="L30" s="9">
        <f>SUM(L22:L29)</f>
        <v>112.64</v>
      </c>
      <c r="M30" s="13">
        <f>SUM(M22:M29)</f>
        <v>112.5</v>
      </c>
    </row>
    <row r="32" spans="1:13" ht="12.75">
      <c r="A32" s="111" t="s">
        <v>75</v>
      </c>
      <c r="B32" s="111"/>
      <c r="C32" s="111"/>
      <c r="E32" s="14">
        <f>E21+E30</f>
        <v>416.0104</v>
      </c>
      <c r="F32" s="15">
        <f>F21+F30</f>
        <v>415.66999999999996</v>
      </c>
      <c r="H32" s="111" t="s">
        <v>75</v>
      </c>
      <c r="I32" s="111"/>
      <c r="J32" s="111"/>
      <c r="L32" s="14">
        <f>L21+L30</f>
        <v>432.64</v>
      </c>
      <c r="M32" s="15">
        <f>M21+M30</f>
        <v>432.5</v>
      </c>
    </row>
  </sheetData>
  <mergeCells count="29">
    <mergeCell ref="H32:J32"/>
    <mergeCell ref="H25:J25"/>
    <mergeCell ref="H26:J26"/>
    <mergeCell ref="H27:J27"/>
    <mergeCell ref="H28:J28"/>
    <mergeCell ref="A32:C32"/>
    <mergeCell ref="A20:F20"/>
    <mergeCell ref="A21:C21"/>
    <mergeCell ref="A22:C22"/>
    <mergeCell ref="A23:C23"/>
    <mergeCell ref="A25:C25"/>
    <mergeCell ref="A26:C26"/>
    <mergeCell ref="A27:C27"/>
    <mergeCell ref="A24:C24"/>
    <mergeCell ref="A28:C28"/>
    <mergeCell ref="A29:C29"/>
    <mergeCell ref="L15:L18"/>
    <mergeCell ref="A30:C30"/>
    <mergeCell ref="H20:M20"/>
    <mergeCell ref="H21:J21"/>
    <mergeCell ref="H22:J22"/>
    <mergeCell ref="H23:J23"/>
    <mergeCell ref="H24:J24"/>
    <mergeCell ref="H29:J29"/>
    <mergeCell ref="H30:J30"/>
    <mergeCell ref="B1:L1"/>
    <mergeCell ref="A3:M3"/>
    <mergeCell ref="A12:M12"/>
    <mergeCell ref="L6:L9"/>
  </mergeCells>
  <printOptions/>
  <pageMargins left="0.75" right="0.75" top="1" bottom="1" header="0.4921259845" footer="0.4921259845"/>
  <pageSetup horizontalDpi="600" verticalDpi="600" orientation="landscape" paperSize="9" scale="74" r:id="rId1"/>
  <headerFooter alignWithMargins="0">
    <oddHeader>&amp;RTabuľka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B9" sqref="B9"/>
    </sheetView>
  </sheetViews>
  <sheetFormatPr defaultColWidth="9.140625" defaultRowHeight="12.75"/>
  <cols>
    <col min="2" max="2" width="17.7109375" style="0" customWidth="1"/>
    <col min="3" max="3" width="16.7109375" style="0" customWidth="1"/>
    <col min="4" max="4" width="17.00390625" style="0" customWidth="1"/>
    <col min="5" max="5" width="16.8515625" style="0" customWidth="1"/>
    <col min="6" max="6" width="17.00390625" style="0" customWidth="1"/>
    <col min="7" max="7" width="18.00390625" style="0" customWidth="1"/>
    <col min="8" max="8" width="15.7109375" style="0" customWidth="1"/>
    <col min="9" max="9" width="15.421875" style="0" customWidth="1"/>
    <col min="10" max="10" width="16.7109375" style="0" customWidth="1"/>
  </cols>
  <sheetData>
    <row r="1" spans="1:7" ht="12.75">
      <c r="A1" s="89" t="s">
        <v>40</v>
      </c>
      <c r="B1" s="89"/>
      <c r="C1" s="89"/>
      <c r="D1" s="89"/>
      <c r="E1" s="89"/>
      <c r="F1" s="89"/>
      <c r="G1" s="89"/>
    </row>
    <row r="3" spans="1:10" ht="25.5" customHeight="1">
      <c r="A3" s="4"/>
      <c r="B3" s="112" t="s">
        <v>37</v>
      </c>
      <c r="C3" s="112"/>
      <c r="D3" s="112"/>
      <c r="E3" s="116" t="s">
        <v>50</v>
      </c>
      <c r="F3" s="117"/>
      <c r="G3" s="117"/>
      <c r="H3" s="40"/>
      <c r="I3" s="37"/>
      <c r="J3" s="36"/>
    </row>
    <row r="4" spans="1:10" ht="63.75">
      <c r="A4" s="113" t="s">
        <v>35</v>
      </c>
      <c r="B4" s="42" t="s">
        <v>46</v>
      </c>
      <c r="C4" s="22" t="s">
        <v>36</v>
      </c>
      <c r="D4" s="31" t="s">
        <v>38</v>
      </c>
      <c r="E4" s="27" t="s">
        <v>46</v>
      </c>
      <c r="F4" s="28" t="s">
        <v>36</v>
      </c>
      <c r="G4" s="34" t="s">
        <v>38</v>
      </c>
      <c r="H4" s="40"/>
      <c r="I4" s="37"/>
      <c r="J4" s="36"/>
    </row>
    <row r="5" spans="1:10" ht="12.75">
      <c r="A5" s="114"/>
      <c r="B5" s="25" t="s">
        <v>43</v>
      </c>
      <c r="C5" s="4" t="s">
        <v>44</v>
      </c>
      <c r="D5" s="26" t="s">
        <v>45</v>
      </c>
      <c r="E5" s="26" t="s">
        <v>47</v>
      </c>
      <c r="F5" s="26" t="s">
        <v>48</v>
      </c>
      <c r="G5" s="23" t="s">
        <v>49</v>
      </c>
      <c r="H5" s="40"/>
      <c r="I5" s="37"/>
      <c r="J5" s="36"/>
    </row>
    <row r="6" spans="1:10" ht="12.75">
      <c r="A6" s="114"/>
      <c r="B6" s="43">
        <f>975.54*0.04</f>
        <v>39.0216</v>
      </c>
      <c r="C6" s="7">
        <f>975.54*0.03</f>
        <v>29.266199999999998</v>
      </c>
      <c r="D6" s="46">
        <f>975.54*0.07</f>
        <v>68.2878</v>
      </c>
      <c r="E6" s="46">
        <f>975.54*0.025</f>
        <v>24.3885</v>
      </c>
      <c r="F6" s="29">
        <f>975.54*0.02</f>
        <v>19.5108</v>
      </c>
      <c r="G6" s="35">
        <f>975.54*0.045</f>
        <v>43.8993</v>
      </c>
      <c r="H6" s="41"/>
      <c r="I6" s="38"/>
      <c r="J6" s="39"/>
    </row>
    <row r="7" spans="1:10" ht="12.75">
      <c r="A7" s="114"/>
      <c r="H7" s="2"/>
      <c r="I7" s="2"/>
      <c r="J7" s="38"/>
    </row>
    <row r="8" spans="1:8" ht="81.75" customHeight="1">
      <c r="A8" s="114"/>
      <c r="B8" s="44" t="s">
        <v>82</v>
      </c>
      <c r="C8" s="33" t="s">
        <v>41</v>
      </c>
      <c r="D8" s="88" t="s">
        <v>39</v>
      </c>
      <c r="E8" s="85"/>
      <c r="F8" s="85"/>
      <c r="G8" s="85"/>
      <c r="H8" s="36"/>
    </row>
    <row r="9" spans="1:8" ht="12.75">
      <c r="A9" s="115"/>
      <c r="B9" s="45">
        <v>11500</v>
      </c>
      <c r="C9" s="7">
        <f>B9*G6</f>
        <v>504841.94999999995</v>
      </c>
      <c r="D9" s="17">
        <f>C9*9</f>
        <v>4543577.55</v>
      </c>
      <c r="E9" s="86"/>
      <c r="F9" s="87"/>
      <c r="G9" s="87"/>
      <c r="H9" s="39"/>
    </row>
    <row r="11" ht="12.75">
      <c r="A11" t="s">
        <v>42</v>
      </c>
    </row>
    <row r="12" ht="12.75">
      <c r="A12" t="s">
        <v>76</v>
      </c>
    </row>
    <row r="13" ht="12.75">
      <c r="A13" t="s">
        <v>78</v>
      </c>
    </row>
    <row r="14" ht="12.75">
      <c r="A14" t="s">
        <v>77</v>
      </c>
    </row>
    <row r="15" spans="1:6" ht="12.75">
      <c r="A15" s="105"/>
      <c r="B15" s="105"/>
      <c r="C15" s="105"/>
      <c r="D15" s="105"/>
      <c r="E15" s="105"/>
      <c r="F15" s="105"/>
    </row>
    <row r="16" spans="1:6" ht="12.75">
      <c r="A16" s="106"/>
      <c r="B16" s="106"/>
      <c r="C16" s="106"/>
      <c r="D16" s="4" t="s">
        <v>6</v>
      </c>
      <c r="E16" s="6">
        <v>721.77</v>
      </c>
      <c r="F16" s="6">
        <f>E16</f>
        <v>721.77</v>
      </c>
    </row>
    <row r="17" spans="1:6" ht="12.75">
      <c r="A17" s="107" t="s">
        <v>7</v>
      </c>
      <c r="B17" s="107"/>
      <c r="C17" s="107"/>
      <c r="D17" s="8">
        <v>14</v>
      </c>
      <c r="E17" s="9">
        <f>E16/100*D17</f>
        <v>101.0478</v>
      </c>
      <c r="F17" s="10">
        <f aca="true" t="shared" si="0" ref="F17:F23">FLOOR(E17,0.1)</f>
        <v>101</v>
      </c>
    </row>
    <row r="18" spans="1:6" ht="12.75">
      <c r="A18" s="98" t="s">
        <v>8</v>
      </c>
      <c r="B18" s="98"/>
      <c r="C18" s="98"/>
      <c r="D18" s="11">
        <v>1.4</v>
      </c>
      <c r="E18" s="9">
        <f>E16/100*D18</f>
        <v>10.10478</v>
      </c>
      <c r="F18" s="10">
        <f t="shared" si="0"/>
        <v>10.100000000000001</v>
      </c>
    </row>
    <row r="19" spans="1:6" ht="12.75">
      <c r="A19" s="108" t="s">
        <v>9</v>
      </c>
      <c r="B19" s="109"/>
      <c r="C19" s="110"/>
      <c r="D19" s="11">
        <v>1</v>
      </c>
      <c r="E19" s="9">
        <f>E16/100*D19</f>
        <v>7.2177</v>
      </c>
      <c r="F19" s="10">
        <f t="shared" si="0"/>
        <v>7.2</v>
      </c>
    </row>
    <row r="20" spans="1:6" ht="12.75">
      <c r="A20" s="98" t="s">
        <v>10</v>
      </c>
      <c r="B20" s="98"/>
      <c r="C20" s="98"/>
      <c r="D20" s="11">
        <v>3</v>
      </c>
      <c r="E20" s="9">
        <f>E16/100*D20</f>
        <v>21.6531</v>
      </c>
      <c r="F20" s="10">
        <f t="shared" si="0"/>
        <v>21.6</v>
      </c>
    </row>
    <row r="21" spans="1:6" ht="12.75">
      <c r="A21" s="98" t="s">
        <v>11</v>
      </c>
      <c r="B21" s="98"/>
      <c r="C21" s="98"/>
      <c r="D21" s="11">
        <v>0.8</v>
      </c>
      <c r="E21" s="9">
        <f>E16/100*D21</f>
        <v>5.77416</v>
      </c>
      <c r="F21" s="10">
        <f t="shared" si="0"/>
        <v>5.7</v>
      </c>
    </row>
    <row r="22" spans="1:6" ht="12.75">
      <c r="A22" s="98" t="s">
        <v>12</v>
      </c>
      <c r="B22" s="98"/>
      <c r="C22" s="98"/>
      <c r="D22" s="11">
        <v>0.25</v>
      </c>
      <c r="E22" s="9">
        <f>E16/100*D22</f>
        <v>1.804425</v>
      </c>
      <c r="F22" s="10">
        <f t="shared" si="0"/>
        <v>1.8</v>
      </c>
    </row>
    <row r="23" spans="1:6" ht="12.75">
      <c r="A23" s="98" t="s">
        <v>13</v>
      </c>
      <c r="B23" s="98"/>
      <c r="C23" s="98"/>
      <c r="D23" s="11">
        <v>4.75</v>
      </c>
      <c r="E23" s="9">
        <f>E16/100*D23</f>
        <v>34.284075</v>
      </c>
      <c r="F23" s="10">
        <f t="shared" si="0"/>
        <v>34.2</v>
      </c>
    </row>
    <row r="24" spans="1:6" ht="12.75">
      <c r="A24" s="98" t="s">
        <v>14</v>
      </c>
      <c r="B24" s="98"/>
      <c r="C24" s="98"/>
      <c r="D24" s="11">
        <v>10</v>
      </c>
      <c r="E24" s="9">
        <f>E16/100*D24</f>
        <v>72.17699999999999</v>
      </c>
      <c r="F24" s="10">
        <f>FLOOR(E24,0.01)</f>
        <v>72.17</v>
      </c>
    </row>
    <row r="25" spans="1:6" ht="12.75">
      <c r="A25" s="102" t="s">
        <v>15</v>
      </c>
      <c r="B25" s="103"/>
      <c r="C25" s="104"/>
      <c r="D25" s="12">
        <f>SUM(D17:D24)</f>
        <v>35.2</v>
      </c>
      <c r="E25" s="9">
        <f>SUM(E17:E24)</f>
        <v>254.06304</v>
      </c>
      <c r="F25" s="13">
        <f>SUM(F17:F24)</f>
        <v>253.77000000000004</v>
      </c>
    </row>
    <row r="27" spans="1:6" ht="12.75">
      <c r="A27" s="111" t="s">
        <v>16</v>
      </c>
      <c r="B27" s="111"/>
      <c r="C27" s="111"/>
      <c r="E27" s="14">
        <f>E16+E25</f>
        <v>975.83304</v>
      </c>
      <c r="F27" s="15">
        <f>F16+F25</f>
        <v>975.54</v>
      </c>
    </row>
  </sheetData>
  <mergeCells count="16">
    <mergeCell ref="A25:C25"/>
    <mergeCell ref="A27:C27"/>
    <mergeCell ref="A19:C19"/>
    <mergeCell ref="A20:C20"/>
    <mergeCell ref="A21:C21"/>
    <mergeCell ref="A22:C22"/>
    <mergeCell ref="A23:C23"/>
    <mergeCell ref="A16:C16"/>
    <mergeCell ref="A17:C17"/>
    <mergeCell ref="A18:C18"/>
    <mergeCell ref="A24:C24"/>
    <mergeCell ref="B3:D3"/>
    <mergeCell ref="A1:G1"/>
    <mergeCell ref="A15:F15"/>
    <mergeCell ref="A4:A9"/>
    <mergeCell ref="E3:G3"/>
  </mergeCells>
  <printOptions/>
  <pageMargins left="0.75" right="0.75" top="1" bottom="1" header="0.4921259845" footer="0.4921259845"/>
  <pageSetup horizontalDpi="600" verticalDpi="600" orientation="landscape" paperSize="9" scale="82" r:id="rId1"/>
  <headerFooter alignWithMargins="0">
    <oddHeader>&amp;RTabuľka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49"/>
  <sheetViews>
    <sheetView workbookViewId="0" topLeftCell="A4">
      <selection activeCell="H26" sqref="H26"/>
    </sheetView>
  </sheetViews>
  <sheetFormatPr defaultColWidth="9.140625" defaultRowHeight="12.75"/>
  <cols>
    <col min="4" max="4" width="11.28125" style="0" customWidth="1"/>
    <col min="5" max="5" width="12.8515625" style="0" customWidth="1"/>
    <col min="6" max="6" width="12.28125" style="0" customWidth="1"/>
    <col min="9" max="9" width="16.00390625" style="0" customWidth="1"/>
    <col min="10" max="10" width="11.00390625" style="0" hidden="1" customWidth="1"/>
    <col min="11" max="12" width="9.28125" style="0" bestFit="1" customWidth="1"/>
    <col min="13" max="13" width="11.421875" style="0" customWidth="1"/>
    <col min="14" max="14" width="11.140625" style="0" customWidth="1"/>
  </cols>
  <sheetData>
    <row r="1" ht="12.75">
      <c r="A1" s="1" t="s">
        <v>0</v>
      </c>
    </row>
    <row r="2" spans="1:16" ht="12.7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5" spans="1:11" ht="14.25">
      <c r="A5" s="98" t="s">
        <v>79</v>
      </c>
      <c r="B5" s="98"/>
      <c r="C5" s="98"/>
      <c r="D5" s="98"/>
      <c r="E5" s="98"/>
      <c r="F5" s="98"/>
      <c r="G5" s="98"/>
      <c r="H5" s="98"/>
      <c r="I5" s="98"/>
      <c r="J5" s="5">
        <v>21042</v>
      </c>
      <c r="K5" s="6">
        <v>721.77</v>
      </c>
    </row>
    <row r="6" spans="1:11" ht="14.25">
      <c r="A6" s="98" t="s">
        <v>80</v>
      </c>
      <c r="B6" s="98"/>
      <c r="C6" s="98"/>
      <c r="D6" s="98"/>
      <c r="E6" s="98"/>
      <c r="F6" s="98"/>
      <c r="G6" s="98"/>
      <c r="H6" s="98"/>
      <c r="I6" s="98"/>
      <c r="J6" s="5">
        <f>K6*30.126</f>
        <v>22309.38813852</v>
      </c>
      <c r="K6" s="6">
        <f>(K5*0.026)+K5</f>
        <v>740.53602</v>
      </c>
    </row>
    <row r="7" spans="1:11" ht="14.25">
      <c r="A7" s="98" t="s">
        <v>81</v>
      </c>
      <c r="B7" s="98"/>
      <c r="C7" s="98"/>
      <c r="D7" s="98"/>
      <c r="E7" s="98"/>
      <c r="F7" s="98"/>
      <c r="G7" s="98"/>
      <c r="H7" s="98"/>
      <c r="I7" s="98"/>
      <c r="J7" s="5">
        <f>K7*30.126</f>
        <v>23067.90733522968</v>
      </c>
      <c r="K7" s="6">
        <f>(K6*0.034)+K6</f>
        <v>765.71424468</v>
      </c>
    </row>
    <row r="8" spans="1:11" ht="14.25" hidden="1">
      <c r="A8" s="98" t="s">
        <v>69</v>
      </c>
      <c r="B8" s="98"/>
      <c r="C8" s="98"/>
      <c r="D8" s="98"/>
      <c r="E8" s="98"/>
      <c r="F8" s="98"/>
      <c r="G8" s="98"/>
      <c r="H8" s="98"/>
      <c r="I8" s="98"/>
      <c r="J8" s="5">
        <f>K8*30.126</f>
        <v>24567.32131201961</v>
      </c>
      <c r="K8" s="6">
        <f>(K7*0.065)+K7</f>
        <v>815.4856705842</v>
      </c>
    </row>
    <row r="9" spans="1:11" ht="12.75">
      <c r="A9" s="23"/>
      <c r="B9" s="24"/>
      <c r="C9" s="24"/>
      <c r="D9" s="24"/>
      <c r="E9" s="24"/>
      <c r="F9" s="24"/>
      <c r="G9" s="24"/>
      <c r="H9" s="24"/>
      <c r="I9" s="25"/>
      <c r="J9" s="5"/>
      <c r="K9" s="6"/>
    </row>
    <row r="10" spans="1:11" ht="12.75">
      <c r="A10" s="119" t="s">
        <v>67</v>
      </c>
      <c r="B10" s="109"/>
      <c r="C10" s="109"/>
      <c r="D10" s="109"/>
      <c r="E10" s="109"/>
      <c r="F10" s="109"/>
      <c r="G10" s="109"/>
      <c r="H10" s="109"/>
      <c r="I10" s="110"/>
      <c r="J10" s="5">
        <f>K10*30.126</f>
        <v>9269.7702</v>
      </c>
      <c r="K10" s="6">
        <v>307.7</v>
      </c>
    </row>
    <row r="11" spans="1:11" ht="12.75">
      <c r="A11" s="108" t="s">
        <v>66</v>
      </c>
      <c r="B11" s="109"/>
      <c r="C11" s="109"/>
      <c r="D11" s="109"/>
      <c r="E11" s="109"/>
      <c r="F11" s="109"/>
      <c r="G11" s="109"/>
      <c r="H11" s="109"/>
      <c r="I11" s="109"/>
      <c r="J11" s="32">
        <f>K11*30.126</f>
        <v>9640.561008</v>
      </c>
      <c r="K11" s="6">
        <f>(K10*0.04)+K10</f>
        <v>320.008</v>
      </c>
    </row>
    <row r="12" spans="1:11" ht="12.75">
      <c r="A12" s="23"/>
      <c r="B12" s="24"/>
      <c r="C12" s="24"/>
      <c r="D12" s="24"/>
      <c r="E12" s="24"/>
      <c r="F12" s="24"/>
      <c r="G12" s="24"/>
      <c r="H12" s="24"/>
      <c r="I12" s="24"/>
      <c r="J12" s="32"/>
      <c r="K12" s="6"/>
    </row>
    <row r="13" spans="1:11" ht="12.75">
      <c r="A13" s="119" t="s">
        <v>68</v>
      </c>
      <c r="B13" s="109"/>
      <c r="C13" s="109"/>
      <c r="D13" s="109"/>
      <c r="E13" s="109"/>
      <c r="F13" s="109"/>
      <c r="G13" s="109"/>
      <c r="H13" s="109"/>
      <c r="I13" s="110"/>
      <c r="J13" s="5">
        <f>K13*30.126</f>
        <v>5579.03394</v>
      </c>
      <c r="K13" s="7">
        <v>185.19</v>
      </c>
    </row>
    <row r="14" spans="1:11" ht="14.25">
      <c r="A14" s="108" t="s">
        <v>70</v>
      </c>
      <c r="B14" s="109"/>
      <c r="C14" s="109"/>
      <c r="D14" s="109"/>
      <c r="E14" s="109"/>
      <c r="F14" s="109"/>
      <c r="G14" s="109"/>
      <c r="H14" s="109"/>
      <c r="I14" s="110"/>
      <c r="J14" s="5">
        <f>K14*30.126</f>
        <v>5779.87916184</v>
      </c>
      <c r="K14" s="7">
        <f>(K13*0.036)+K13</f>
        <v>191.85684</v>
      </c>
    </row>
    <row r="15" spans="1:11" ht="14.25">
      <c r="A15" s="108" t="s">
        <v>71</v>
      </c>
      <c r="B15" s="109"/>
      <c r="C15" s="109"/>
      <c r="D15" s="109"/>
      <c r="E15" s="109"/>
      <c r="F15" s="109"/>
      <c r="G15" s="109"/>
      <c r="H15" s="109"/>
      <c r="I15" s="110"/>
      <c r="J15" s="5">
        <f>K15*30.126</f>
        <v>5959.05541585704</v>
      </c>
      <c r="K15" s="7">
        <f>(K14*0.031)+K14</f>
        <v>197.80440204</v>
      </c>
    </row>
    <row r="16" spans="1:11" ht="14.25">
      <c r="A16" s="108" t="s">
        <v>72</v>
      </c>
      <c r="B16" s="109"/>
      <c r="C16" s="109"/>
      <c r="D16" s="109"/>
      <c r="E16" s="109"/>
      <c r="F16" s="109"/>
      <c r="G16" s="109"/>
      <c r="H16" s="109"/>
      <c r="I16" s="110"/>
      <c r="J16" s="5">
        <f>K16*30.126</f>
        <v>6185.499521659609</v>
      </c>
      <c r="K16" s="7">
        <f>(K15*0.038)+K15</f>
        <v>205.32096931752002</v>
      </c>
    </row>
    <row r="17" ht="12.75">
      <c r="A17" t="s">
        <v>2</v>
      </c>
    </row>
    <row r="18" spans="1:10" ht="12.75">
      <c r="A18" s="120" t="s">
        <v>3</v>
      </c>
      <c r="B18" s="120"/>
      <c r="C18" s="120"/>
      <c r="D18" s="120"/>
      <c r="E18" s="120"/>
      <c r="F18" s="120"/>
      <c r="G18" s="120"/>
      <c r="H18" s="120"/>
      <c r="I18" s="120"/>
      <c r="J18" s="120"/>
    </row>
    <row r="20" spans="1:14" ht="12.75">
      <c r="A20" s="105" t="s">
        <v>4</v>
      </c>
      <c r="B20" s="105"/>
      <c r="C20" s="105"/>
      <c r="D20" s="105"/>
      <c r="E20" s="105"/>
      <c r="F20" s="105"/>
      <c r="I20" s="105" t="s">
        <v>5</v>
      </c>
      <c r="J20" s="105"/>
      <c r="K20" s="105"/>
      <c r="L20" s="105"/>
      <c r="M20" s="105"/>
      <c r="N20" s="105"/>
    </row>
    <row r="21" spans="1:14" ht="12.75">
      <c r="A21" s="106"/>
      <c r="B21" s="106"/>
      <c r="C21" s="106"/>
      <c r="D21" s="4" t="s">
        <v>6</v>
      </c>
      <c r="E21" s="6">
        <f>K13*2</f>
        <v>370.38</v>
      </c>
      <c r="F21" s="6">
        <f>E21</f>
        <v>370.38</v>
      </c>
      <c r="I21" s="106"/>
      <c r="J21" s="106"/>
      <c r="K21" s="106"/>
      <c r="L21" s="4" t="s">
        <v>6</v>
      </c>
      <c r="M21" s="6">
        <f>K14*2</f>
        <v>383.71368</v>
      </c>
      <c r="N21" s="6">
        <f>M21</f>
        <v>383.71368</v>
      </c>
    </row>
    <row r="22" spans="1:14" ht="12.75">
      <c r="A22" s="107" t="s">
        <v>7</v>
      </c>
      <c r="B22" s="107"/>
      <c r="C22" s="107"/>
      <c r="D22" s="8">
        <v>14</v>
      </c>
      <c r="E22" s="9">
        <f>E21/100*D22</f>
        <v>51.853199999999994</v>
      </c>
      <c r="F22" s="10">
        <f aca="true" t="shared" si="0" ref="F22:F28">FLOOR(E22,0.1)</f>
        <v>51.800000000000004</v>
      </c>
      <c r="I22" s="107" t="s">
        <v>7</v>
      </c>
      <c r="J22" s="107"/>
      <c r="K22" s="107"/>
      <c r="L22" s="8">
        <v>14</v>
      </c>
      <c r="M22" s="9">
        <f>M21/100*L22</f>
        <v>53.7199152</v>
      </c>
      <c r="N22" s="10">
        <f aca="true" t="shared" si="1" ref="N22:N28">FLOOR(M22,0.1)</f>
        <v>53.7</v>
      </c>
    </row>
    <row r="23" spans="1:14" ht="12.75">
      <c r="A23" s="98" t="s">
        <v>8</v>
      </c>
      <c r="B23" s="98"/>
      <c r="C23" s="98"/>
      <c r="D23" s="11">
        <v>1.4</v>
      </c>
      <c r="E23" s="9">
        <f>E21/100*D23</f>
        <v>5.185319999999999</v>
      </c>
      <c r="F23" s="10">
        <f t="shared" si="0"/>
        <v>5.1000000000000005</v>
      </c>
      <c r="I23" s="98" t="s">
        <v>8</v>
      </c>
      <c r="J23" s="98"/>
      <c r="K23" s="98"/>
      <c r="L23" s="11">
        <v>1.4</v>
      </c>
      <c r="M23" s="9">
        <f>M21/100*L23</f>
        <v>5.37199152</v>
      </c>
      <c r="N23" s="10">
        <f t="shared" si="1"/>
        <v>5.300000000000001</v>
      </c>
    </row>
    <row r="24" spans="1:14" ht="12.75">
      <c r="A24" s="4" t="s">
        <v>9</v>
      </c>
      <c r="B24" s="4"/>
      <c r="C24" s="4"/>
      <c r="D24" s="11">
        <v>1</v>
      </c>
      <c r="E24" s="9">
        <f>E21/100*D24</f>
        <v>3.7037999999999998</v>
      </c>
      <c r="F24" s="10">
        <f t="shared" si="0"/>
        <v>3.7</v>
      </c>
      <c r="I24" s="4" t="s">
        <v>9</v>
      </c>
      <c r="J24" s="4"/>
      <c r="K24" s="4"/>
      <c r="L24" s="11">
        <v>1</v>
      </c>
      <c r="M24" s="9">
        <f>M21/100*L24</f>
        <v>3.8371368</v>
      </c>
      <c r="N24" s="10">
        <f t="shared" si="1"/>
        <v>3.8000000000000003</v>
      </c>
    </row>
    <row r="25" spans="1:14" ht="12.75">
      <c r="A25" s="98" t="s">
        <v>10</v>
      </c>
      <c r="B25" s="98"/>
      <c r="C25" s="98"/>
      <c r="D25" s="11">
        <v>3</v>
      </c>
      <c r="E25" s="9">
        <f>E21/100*D25</f>
        <v>11.1114</v>
      </c>
      <c r="F25" s="10">
        <f t="shared" si="0"/>
        <v>11.100000000000001</v>
      </c>
      <c r="I25" s="98" t="s">
        <v>10</v>
      </c>
      <c r="J25" s="98"/>
      <c r="K25" s="98"/>
      <c r="L25" s="11">
        <v>3</v>
      </c>
      <c r="M25" s="9">
        <f>M21/100*L25</f>
        <v>11.5114104</v>
      </c>
      <c r="N25" s="10">
        <f t="shared" si="1"/>
        <v>11.5</v>
      </c>
    </row>
    <row r="26" spans="1:14" ht="12.75">
      <c r="A26" s="98" t="s">
        <v>11</v>
      </c>
      <c r="B26" s="98"/>
      <c r="C26" s="98"/>
      <c r="D26" s="11">
        <v>0.8</v>
      </c>
      <c r="E26" s="9">
        <f>E21/100*D26</f>
        <v>2.96304</v>
      </c>
      <c r="F26" s="10">
        <f t="shared" si="0"/>
        <v>2.9000000000000004</v>
      </c>
      <c r="I26" s="98" t="s">
        <v>11</v>
      </c>
      <c r="J26" s="98"/>
      <c r="K26" s="98"/>
      <c r="L26" s="11">
        <v>0.8</v>
      </c>
      <c r="M26" s="9">
        <f>M21/100*L26</f>
        <v>3.0697094400000005</v>
      </c>
      <c r="N26" s="10">
        <f t="shared" si="1"/>
        <v>3</v>
      </c>
    </row>
    <row r="27" spans="1:14" ht="12.75">
      <c r="A27" s="98" t="s">
        <v>12</v>
      </c>
      <c r="B27" s="98"/>
      <c r="C27" s="98"/>
      <c r="D27" s="11">
        <v>0.25</v>
      </c>
      <c r="E27" s="9">
        <f>E21/100*D27</f>
        <v>0.9259499999999999</v>
      </c>
      <c r="F27" s="10">
        <f t="shared" si="0"/>
        <v>0.9</v>
      </c>
      <c r="I27" s="98" t="s">
        <v>12</v>
      </c>
      <c r="J27" s="98"/>
      <c r="K27" s="98"/>
      <c r="L27" s="11">
        <v>0.25</v>
      </c>
      <c r="M27" s="9">
        <f>M21/100*L27</f>
        <v>0.9592842</v>
      </c>
      <c r="N27" s="10">
        <f t="shared" si="1"/>
        <v>0.9</v>
      </c>
    </row>
    <row r="28" spans="1:14" ht="12.75">
      <c r="A28" s="98" t="s">
        <v>13</v>
      </c>
      <c r="B28" s="98"/>
      <c r="C28" s="98"/>
      <c r="D28" s="11">
        <v>4.75</v>
      </c>
      <c r="E28" s="9">
        <f>E21/100*D28</f>
        <v>17.593049999999998</v>
      </c>
      <c r="F28" s="10">
        <f t="shared" si="0"/>
        <v>17.5</v>
      </c>
      <c r="I28" s="98" t="s">
        <v>13</v>
      </c>
      <c r="J28" s="98"/>
      <c r="K28" s="98"/>
      <c r="L28" s="11">
        <v>4.75</v>
      </c>
      <c r="M28" s="9">
        <f>M21/100*L28</f>
        <v>18.2263998</v>
      </c>
      <c r="N28" s="10">
        <f t="shared" si="1"/>
        <v>18.2</v>
      </c>
    </row>
    <row r="29" spans="1:14" ht="12.75">
      <c r="A29" s="98" t="s">
        <v>14</v>
      </c>
      <c r="B29" s="98"/>
      <c r="C29" s="98"/>
      <c r="D29" s="11">
        <v>10</v>
      </c>
      <c r="E29" s="9">
        <f>E21/100*D29</f>
        <v>37.038</v>
      </c>
      <c r="F29" s="10">
        <f>FLOOR(E29,0.01)</f>
        <v>37.03</v>
      </c>
      <c r="I29" s="98" t="s">
        <v>14</v>
      </c>
      <c r="J29" s="98"/>
      <c r="K29" s="98"/>
      <c r="L29" s="11">
        <v>10</v>
      </c>
      <c r="M29" s="9">
        <f>M21/100*L29</f>
        <v>38.371368000000004</v>
      </c>
      <c r="N29" s="10">
        <f>FLOOR(M29,0.01)</f>
        <v>38.37</v>
      </c>
    </row>
    <row r="30" spans="1:14" ht="12.75">
      <c r="A30" s="102" t="s">
        <v>15</v>
      </c>
      <c r="B30" s="103"/>
      <c r="C30" s="104"/>
      <c r="D30" s="12">
        <f>SUM(D22:D29)</f>
        <v>35.2</v>
      </c>
      <c r="E30" s="9">
        <f>SUM(E22:E29)</f>
        <v>130.37376</v>
      </c>
      <c r="F30" s="13">
        <f>SUM(F22:F29)</f>
        <v>130.03000000000003</v>
      </c>
      <c r="I30" s="102" t="s">
        <v>15</v>
      </c>
      <c r="J30" s="103"/>
      <c r="K30" s="104"/>
      <c r="L30" s="12">
        <f>SUM(L22:L29)</f>
        <v>35.2</v>
      </c>
      <c r="M30" s="9">
        <f>SUM(M22:M29)</f>
        <v>135.06721536</v>
      </c>
      <c r="N30" s="13">
        <f>SUM(N22:N29)</f>
        <v>134.77</v>
      </c>
    </row>
    <row r="32" spans="1:14" ht="12.75">
      <c r="A32" s="111" t="s">
        <v>16</v>
      </c>
      <c r="B32" s="111"/>
      <c r="C32" s="111"/>
      <c r="E32" s="14">
        <f>E21+E30</f>
        <v>500.75376</v>
      </c>
      <c r="F32" s="15">
        <f>F21+F30</f>
        <v>500.41</v>
      </c>
      <c r="I32" s="111" t="s">
        <v>16</v>
      </c>
      <c r="J32" s="111"/>
      <c r="K32" s="111"/>
      <c r="M32" s="14">
        <f>M21+M30</f>
        <v>518.78089536</v>
      </c>
      <c r="N32" s="15">
        <f>N21+N30</f>
        <v>518.48368</v>
      </c>
    </row>
    <row r="33" spans="9:14" ht="12.75">
      <c r="I33" s="2"/>
      <c r="J33" s="2"/>
      <c r="K33" s="2"/>
      <c r="L33" s="2"/>
      <c r="M33" s="2"/>
      <c r="N33" s="2"/>
    </row>
    <row r="34" spans="1:8" ht="12.75">
      <c r="A34" s="3"/>
      <c r="B34" s="2"/>
      <c r="C34" s="2"/>
      <c r="D34" s="2"/>
      <c r="E34" s="2"/>
      <c r="F34" s="2"/>
      <c r="G34" s="2"/>
      <c r="H34" s="2"/>
    </row>
    <row r="35" spans="1:8" ht="12.75">
      <c r="A35" s="105" t="s">
        <v>17</v>
      </c>
      <c r="B35" s="105"/>
      <c r="C35" s="105"/>
      <c r="D35" s="105"/>
      <c r="E35" s="105"/>
      <c r="F35" s="105"/>
      <c r="G35" s="2"/>
      <c r="H35" s="2"/>
    </row>
    <row r="36" spans="1:8" ht="12.75">
      <c r="A36" s="106"/>
      <c r="B36" s="106"/>
      <c r="C36" s="106"/>
      <c r="D36" s="4" t="s">
        <v>6</v>
      </c>
      <c r="E36" s="6">
        <f>K15*2</f>
        <v>395.60880408</v>
      </c>
      <c r="F36" s="6">
        <f>E36</f>
        <v>395.60880408</v>
      </c>
      <c r="G36" s="2"/>
      <c r="H36" s="2"/>
    </row>
    <row r="37" spans="1:8" ht="12.75">
      <c r="A37" s="107" t="s">
        <v>7</v>
      </c>
      <c r="B37" s="107"/>
      <c r="C37" s="107"/>
      <c r="D37" s="8">
        <v>14</v>
      </c>
      <c r="E37" s="9">
        <f>E36/100*D37</f>
        <v>55.3852325712</v>
      </c>
      <c r="F37" s="10">
        <f aca="true" t="shared" si="2" ref="F37:F43">FLOOR(E37,0.1)</f>
        <v>55.300000000000004</v>
      </c>
      <c r="G37" s="2"/>
      <c r="H37" s="2"/>
    </row>
    <row r="38" spans="1:8" ht="12.75">
      <c r="A38" s="98" t="s">
        <v>8</v>
      </c>
      <c r="B38" s="98"/>
      <c r="C38" s="98"/>
      <c r="D38" s="11">
        <v>1.4</v>
      </c>
      <c r="E38" s="9">
        <f>E36/100*D38</f>
        <v>5.53852325712</v>
      </c>
      <c r="F38" s="10">
        <f t="shared" si="2"/>
        <v>5.5</v>
      </c>
      <c r="G38" s="2"/>
      <c r="H38" s="2"/>
    </row>
    <row r="39" spans="1:8" ht="12.75">
      <c r="A39" s="4" t="s">
        <v>9</v>
      </c>
      <c r="B39" s="4"/>
      <c r="C39" s="4"/>
      <c r="D39" s="11">
        <v>1</v>
      </c>
      <c r="E39" s="9">
        <f>E36/100*D39</f>
        <v>3.9560880408</v>
      </c>
      <c r="F39" s="10">
        <f t="shared" si="2"/>
        <v>3.9000000000000004</v>
      </c>
      <c r="G39" s="2"/>
      <c r="H39" s="2"/>
    </row>
    <row r="40" spans="1:8" ht="12.75">
      <c r="A40" s="98" t="s">
        <v>10</v>
      </c>
      <c r="B40" s="98"/>
      <c r="C40" s="98"/>
      <c r="D40" s="11">
        <v>3</v>
      </c>
      <c r="E40" s="9">
        <f>E36/100*D40</f>
        <v>11.8682641224</v>
      </c>
      <c r="F40" s="10">
        <f t="shared" si="2"/>
        <v>11.8</v>
      </c>
      <c r="G40" s="2"/>
      <c r="H40" s="2"/>
    </row>
    <row r="41" spans="1:8" ht="12.75">
      <c r="A41" s="98" t="s">
        <v>11</v>
      </c>
      <c r="B41" s="98"/>
      <c r="C41" s="98"/>
      <c r="D41" s="11">
        <v>0.8</v>
      </c>
      <c r="E41" s="9">
        <f>E36/100*D41</f>
        <v>3.1648704326400003</v>
      </c>
      <c r="F41" s="10">
        <f t="shared" si="2"/>
        <v>3.1</v>
      </c>
      <c r="G41" s="2"/>
      <c r="H41" s="2"/>
    </row>
    <row r="42" spans="1:8" ht="12.75">
      <c r="A42" s="98" t="s">
        <v>12</v>
      </c>
      <c r="B42" s="98"/>
      <c r="C42" s="98"/>
      <c r="D42" s="11">
        <v>0.25</v>
      </c>
      <c r="E42" s="9">
        <f>E36/100*D42</f>
        <v>0.9890220102</v>
      </c>
      <c r="F42" s="10">
        <f t="shared" si="2"/>
        <v>0.9</v>
      </c>
      <c r="G42" s="2"/>
      <c r="H42" s="2"/>
    </row>
    <row r="43" spans="1:8" ht="12.75">
      <c r="A43" s="98" t="s">
        <v>13</v>
      </c>
      <c r="B43" s="98"/>
      <c r="C43" s="98"/>
      <c r="D43" s="11">
        <v>4.75</v>
      </c>
      <c r="E43" s="9">
        <f>E36/100*D43</f>
        <v>18.791418193800002</v>
      </c>
      <c r="F43" s="10">
        <f t="shared" si="2"/>
        <v>18.7</v>
      </c>
      <c r="G43" s="2"/>
      <c r="H43" s="2"/>
    </row>
    <row r="44" spans="1:8" ht="12.75">
      <c r="A44" s="98" t="s">
        <v>14</v>
      </c>
      <c r="B44" s="98"/>
      <c r="C44" s="98"/>
      <c r="D44" s="11">
        <v>10</v>
      </c>
      <c r="E44" s="9">
        <f>E36/100*D44</f>
        <v>39.560880408</v>
      </c>
      <c r="F44" s="10">
        <f>FLOOR(E44,0.01)</f>
        <v>39.56</v>
      </c>
      <c r="G44" s="2"/>
      <c r="H44" s="2"/>
    </row>
    <row r="45" spans="1:8" ht="12.75">
      <c r="A45" s="102" t="s">
        <v>15</v>
      </c>
      <c r="B45" s="103"/>
      <c r="C45" s="104"/>
      <c r="D45" s="12">
        <f>SUM(D37:D44)</f>
        <v>35.2</v>
      </c>
      <c r="E45" s="9">
        <f>SUM(E37:E44)</f>
        <v>139.25429903615998</v>
      </c>
      <c r="F45" s="13">
        <f>SUM(F37:F44)</f>
        <v>138.76</v>
      </c>
      <c r="G45" s="2"/>
      <c r="H45" s="2"/>
    </row>
    <row r="46" spans="7:8" ht="12.75">
      <c r="G46" s="2"/>
      <c r="H46" s="2"/>
    </row>
    <row r="47" spans="1:8" ht="12.75">
      <c r="A47" s="111" t="s">
        <v>16</v>
      </c>
      <c r="B47" s="111"/>
      <c r="C47" s="111"/>
      <c r="E47" s="14">
        <f>E36+E45</f>
        <v>534.86310311616</v>
      </c>
      <c r="F47" s="15">
        <f>F36+F45</f>
        <v>534.36880408</v>
      </c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45">
    <mergeCell ref="A38:C38"/>
    <mergeCell ref="A45:C45"/>
    <mergeCell ref="A47:C47"/>
    <mergeCell ref="A15:I15"/>
    <mergeCell ref="A16:I16"/>
    <mergeCell ref="A20:F20"/>
    <mergeCell ref="I20:N20"/>
    <mergeCell ref="A18:J18"/>
    <mergeCell ref="A27:C27"/>
    <mergeCell ref="I22:K22"/>
    <mergeCell ref="A10:I10"/>
    <mergeCell ref="A13:I13"/>
    <mergeCell ref="A14:I14"/>
    <mergeCell ref="A11:I11"/>
    <mergeCell ref="A5:I5"/>
    <mergeCell ref="A6:I6"/>
    <mergeCell ref="A7:I7"/>
    <mergeCell ref="A8:I8"/>
    <mergeCell ref="A2:P3"/>
    <mergeCell ref="A30:C30"/>
    <mergeCell ref="A22:C22"/>
    <mergeCell ref="A23:C23"/>
    <mergeCell ref="A25:C25"/>
    <mergeCell ref="A21:C21"/>
    <mergeCell ref="I21:K21"/>
    <mergeCell ref="A26:C26"/>
    <mergeCell ref="A28:C28"/>
    <mergeCell ref="A29:C29"/>
    <mergeCell ref="I23:K23"/>
    <mergeCell ref="I25:K25"/>
    <mergeCell ref="I26:K26"/>
    <mergeCell ref="I27:K27"/>
    <mergeCell ref="I28:K28"/>
    <mergeCell ref="I29:K29"/>
    <mergeCell ref="I30:K30"/>
    <mergeCell ref="I32:K32"/>
    <mergeCell ref="A36:C36"/>
    <mergeCell ref="A37:C37"/>
    <mergeCell ref="A32:C32"/>
    <mergeCell ref="A35:F35"/>
    <mergeCell ref="A43:C43"/>
    <mergeCell ref="A44:C44"/>
    <mergeCell ref="A40:C40"/>
    <mergeCell ref="A41:C41"/>
    <mergeCell ref="A42:C42"/>
  </mergeCells>
  <printOptions/>
  <pageMargins left="0.75" right="0.75" top="1" bottom="1" header="0.4921259845" footer="0.492125984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nup 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KanianskyB</dc:creator>
  <cp:keywords/>
  <dc:description/>
  <cp:lastModifiedBy>Administrator</cp:lastModifiedBy>
  <cp:lastPrinted>2009-11-24T18:14:29Z</cp:lastPrinted>
  <dcterms:created xsi:type="dcterms:W3CDTF">2004-01-28T14:53:25Z</dcterms:created>
  <dcterms:modified xsi:type="dcterms:W3CDTF">2009-12-10T09:59:08Z</dcterms:modified>
  <cp:category/>
  <cp:version/>
  <cp:contentType/>
  <cp:contentStatus/>
</cp:coreProperties>
</file>