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82" activeTab="9"/>
  </bookViews>
  <sheets>
    <sheet name="Príloha 1" sheetId="1" r:id="rId1"/>
    <sheet name="2a" sheetId="2" r:id="rId2"/>
    <sheet name="2b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<sst xmlns="http://schemas.openxmlformats.org/spreadsheetml/2006/main" count="233" uniqueCount="113">
  <si>
    <t>Zdravotné poistenie</t>
  </si>
  <si>
    <t>Zdravotná starostlivosť</t>
  </si>
  <si>
    <t>Nákup zdravotnej starostlivosti</t>
  </si>
  <si>
    <t>PODANIA spolu</t>
  </si>
  <si>
    <t>Opodstatnené</t>
  </si>
  <si>
    <t>Neopodstatnené</t>
  </si>
  <si>
    <t>Ad acta</t>
  </si>
  <si>
    <t>SPOLU</t>
  </si>
  <si>
    <t>CELKOM</t>
  </si>
  <si>
    <t>Podania spolu</t>
  </si>
  <si>
    <t>Medzisúčet</t>
  </si>
  <si>
    <t>BA</t>
  </si>
  <si>
    <t>TT</t>
  </si>
  <si>
    <t>TN</t>
  </si>
  <si>
    <t>NZ</t>
  </si>
  <si>
    <t>BB</t>
  </si>
  <si>
    <t>MT</t>
  </si>
  <si>
    <t>KE</t>
  </si>
  <si>
    <t>PO</t>
  </si>
  <si>
    <t>Sťažnosti</t>
  </si>
  <si>
    <t>Podnety</t>
  </si>
  <si>
    <t>Odstúpené mimo kompetencií úradu</t>
  </si>
  <si>
    <t>Stiahnutie podania</t>
  </si>
  <si>
    <t>V riešení</t>
  </si>
  <si>
    <t>A/ v hodnotách</t>
  </si>
  <si>
    <t>B/ v pecentách</t>
  </si>
  <si>
    <t>B/ v percentách</t>
  </si>
  <si>
    <t>SDZP</t>
  </si>
  <si>
    <t>SDPZS</t>
  </si>
  <si>
    <t>SDNZS</t>
  </si>
  <si>
    <t>ústredie - sekcie</t>
  </si>
  <si>
    <t xml:space="preserve"> pobočky</t>
  </si>
  <si>
    <t>Spolu</t>
  </si>
  <si>
    <t>pobočky</t>
  </si>
  <si>
    <t>% podiel</t>
  </si>
  <si>
    <t xml:space="preserve">  1. nespokojnosť s poskyt. ZS - diag./liečba</t>
  </si>
  <si>
    <t xml:space="preserve">  2. poplatky</t>
  </si>
  <si>
    <t xml:space="preserve">  3. úmrtie</t>
  </si>
  <si>
    <t xml:space="preserve">  4. kúpeľná liečba</t>
  </si>
  <si>
    <t xml:space="preserve">  5. úhrada výkonov za ZS</t>
  </si>
  <si>
    <t xml:space="preserve">  6. etika</t>
  </si>
  <si>
    <t xml:space="preserve">  7. organizácia práce, zaradenie do siete</t>
  </si>
  <si>
    <t xml:space="preserve">  8. lieky, zdravotné pomôcky</t>
  </si>
  <si>
    <t xml:space="preserve">  9. čakacie listiny</t>
  </si>
  <si>
    <t>10. dispenzarizácia</t>
  </si>
  <si>
    <t>11. zdravotná dokumentácia</t>
  </si>
  <si>
    <t>12. vykonanie/nevykonanie pitvy</t>
  </si>
  <si>
    <t>13. nesúlad medzi klinic.a patolog. nálezom</t>
  </si>
  <si>
    <t>14. zmluvy so ZP</t>
  </si>
  <si>
    <t xml:space="preserve">15. dostupnosť ZS a zabezpečenie min.siete </t>
  </si>
  <si>
    <t>16. neodkladná zdravotná starostlivosť</t>
  </si>
  <si>
    <t>17. kvalita zdravotnej starostlivosti</t>
  </si>
  <si>
    <t>18. preddavky na poistné</t>
  </si>
  <si>
    <t>19. preukazy poistencov</t>
  </si>
  <si>
    <t>20. zmena zdravotnej poisťovne</t>
  </si>
  <si>
    <t>21. výkazy zdravotných poisťovní</t>
  </si>
  <si>
    <t>22. vymáhanie dĺžného poistného</t>
  </si>
  <si>
    <t>23. ročné zúčtovanie poistného</t>
  </si>
  <si>
    <t>24. neposkytnutie informácie o liečbe</t>
  </si>
  <si>
    <t>25. slobodná voľba lekára</t>
  </si>
  <si>
    <t>26. ZZS, RZS</t>
  </si>
  <si>
    <t>27. iné</t>
  </si>
  <si>
    <t>Vypracovala: M. Bečvarová, odbor analýz a výskumu</t>
  </si>
  <si>
    <t>počet</t>
  </si>
  <si>
    <t>%</t>
  </si>
  <si>
    <t>SŤAŽNOSTI</t>
  </si>
  <si>
    <t>PODNETY</t>
  </si>
  <si>
    <t>Príloha č. 3</t>
  </si>
  <si>
    <t>Príloha č. 5</t>
  </si>
  <si>
    <t>Príloha č. 6</t>
  </si>
  <si>
    <t>Príloha č. 7</t>
  </si>
  <si>
    <t>Príloha č. 8</t>
  </si>
  <si>
    <t>Príloha č. 9</t>
  </si>
  <si>
    <t>Príloha č. 1</t>
  </si>
  <si>
    <t xml:space="preserve">počet </t>
  </si>
  <si>
    <t>neukon. z r.2005</t>
  </si>
  <si>
    <t>Spolu podania riešené úradom</t>
  </si>
  <si>
    <t>Celkom</t>
  </si>
  <si>
    <t xml:space="preserve">neukončené z r.2005                  </t>
  </si>
  <si>
    <t>PODANIA - stručný prehľad za ROK 2006</t>
  </si>
  <si>
    <t>r.2006+ z r.2005</t>
  </si>
  <si>
    <t>Petície</t>
  </si>
  <si>
    <t>Bratislava, 13.2.2007</t>
  </si>
  <si>
    <t>Rok 2006</t>
  </si>
  <si>
    <t>Prehľad podaní riešených úradom v členení podľa druhu a jednotlivých mesiacov r.2006</t>
  </si>
  <si>
    <t>Rozdiel</t>
  </si>
  <si>
    <t>Rok 2005</t>
  </si>
  <si>
    <t>Prehľad vyhodnotenia riešených podaní podľa spôsobu ukončenia za rok 2006</t>
  </si>
  <si>
    <t>Prehľad vyhodnotenia podaní riešených jednotlivými sekciami a pobočkami za rok 2006</t>
  </si>
  <si>
    <t>Prehľad % (ne)opodstatnenosti ukončených podaní za rok 2006</t>
  </si>
  <si>
    <t>Prehľad % (ne)opodstatnenosti ukončených podaní jednotlivých sekcií a pobočiek za rok 2006</t>
  </si>
  <si>
    <t>stav k 31.12.2006</t>
  </si>
  <si>
    <t>Prehľad podľa predmetu/obsahu/charakteru riešených podaní za rok 2006</t>
  </si>
  <si>
    <t>Príloha č. 4</t>
  </si>
  <si>
    <t>R.2006+ z r.2005</t>
  </si>
  <si>
    <t>Neukončené z r.2005</t>
  </si>
  <si>
    <t>Odstúpené podania spolu</t>
  </si>
  <si>
    <t>Členenie odstúpených podaní</t>
  </si>
  <si>
    <t>R.2006 + z r.2005</t>
  </si>
  <si>
    <t>priemer</t>
  </si>
  <si>
    <t xml:space="preserve">Rok 2005 </t>
  </si>
  <si>
    <t>Príloha č. 2b</t>
  </si>
  <si>
    <t>Príloha č. 2a</t>
  </si>
  <si>
    <t>% podiel z celku</t>
  </si>
  <si>
    <t xml:space="preserve">Spolu </t>
  </si>
  <si>
    <t>CELKOM              rok 2006             + z  r.2005</t>
  </si>
  <si>
    <t>Porovnanie podaní za rok 2006 s rokom 2005 podľa zamerania</t>
  </si>
  <si>
    <r>
      <t>Poznámka:</t>
    </r>
    <r>
      <rPr>
        <sz val="8"/>
        <rFont val="Arial"/>
        <family val="2"/>
      </rPr>
      <t xml:space="preserve"> jedno podanie bolo čiastočne opodstatnené a čiastočne neopodstatnené</t>
    </r>
  </si>
  <si>
    <t>Podania riešené úradom v roku 2006 - členenie podľa zamerania</t>
  </si>
  <si>
    <t>Porovnanie podaní za rok 2006 s rokom 2005</t>
  </si>
  <si>
    <t>v členení podľa typu</t>
  </si>
  <si>
    <r>
      <t>Poznámka:</t>
    </r>
    <r>
      <rPr>
        <sz val="8"/>
        <rFont val="Arial"/>
        <family val="2"/>
      </rPr>
      <t xml:space="preserve">            </t>
    </r>
    <r>
      <rPr>
        <sz val="8"/>
        <rFont val="Arial"/>
        <family val="0"/>
      </rPr>
      <t>niektoré podania riešia viaceré útvary úradu súčasne (napr. 1 podanie sa člení na dve, tri... časti - vtedy má každý útvar započítanú iba jednu časť - 0,5; 0,3...)</t>
    </r>
  </si>
  <si>
    <t>podľa zamerania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</si>
</sst>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[$-405]d\.\ mmmm\ yyyy"/>
    <numFmt numFmtId="174" formatCode="0.000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25"/>
      <name val="Arial"/>
      <family val="0"/>
    </font>
    <font>
      <sz val="9.5"/>
      <name val="Arial"/>
      <family val="0"/>
    </font>
    <font>
      <sz val="10.5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.25"/>
      <name val="Arial"/>
      <family val="2"/>
    </font>
    <font>
      <sz val="8.25"/>
      <name val="Arial"/>
      <family val="2"/>
    </font>
    <font>
      <i/>
      <sz val="10"/>
      <name val="Arial"/>
      <family val="2"/>
    </font>
    <font>
      <sz val="11.25"/>
      <name val="Arial"/>
      <family val="0"/>
    </font>
    <font>
      <b/>
      <i/>
      <sz val="11.25"/>
      <name val="Arial"/>
      <family val="2"/>
    </font>
    <font>
      <i/>
      <sz val="9"/>
      <name val="Arial"/>
      <family val="2"/>
    </font>
    <font>
      <b/>
      <i/>
      <sz val="10.5"/>
      <name val="Arial"/>
      <family val="2"/>
    </font>
    <font>
      <sz val="8.75"/>
      <name val="Arial"/>
      <family val="0"/>
    </font>
    <font>
      <b/>
      <i/>
      <sz val="8.75"/>
      <name val="Arial"/>
      <family val="2"/>
    </font>
    <font>
      <b/>
      <sz val="10.5"/>
      <name val="Arial"/>
      <family val="0"/>
    </font>
    <font>
      <b/>
      <i/>
      <sz val="9"/>
      <name val="Arial"/>
      <family val="0"/>
    </font>
    <font>
      <b/>
      <i/>
      <sz val="10"/>
      <name val="Arial"/>
      <family val="0"/>
    </font>
    <font>
      <sz val="10"/>
      <color indexed="18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  <font>
      <b/>
      <sz val="10"/>
      <color indexed="18"/>
      <name val="Arial"/>
      <family val="2"/>
    </font>
    <font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i/>
      <sz val="10"/>
      <color indexed="18"/>
      <name val="Arial"/>
      <family val="0"/>
    </font>
    <font>
      <sz val="10"/>
      <color indexed="61"/>
      <name val="Arial"/>
      <family val="0"/>
    </font>
    <font>
      <b/>
      <sz val="10"/>
      <color indexed="25"/>
      <name val="Arial"/>
      <family val="0"/>
    </font>
    <font>
      <b/>
      <sz val="11"/>
      <color indexed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b/>
      <i/>
      <sz val="8"/>
      <color indexed="16"/>
      <name val="Arial"/>
      <family val="0"/>
    </font>
    <font>
      <b/>
      <i/>
      <sz val="8"/>
      <color indexed="21"/>
      <name val="Arial"/>
      <family val="0"/>
    </font>
    <font>
      <sz val="8"/>
      <color indexed="21"/>
      <name val="Arial"/>
      <family val="0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0"/>
    </font>
    <font>
      <b/>
      <i/>
      <sz val="11"/>
      <color indexed="21"/>
      <name val="Arial"/>
      <family val="2"/>
    </font>
    <font>
      <b/>
      <sz val="11"/>
      <color indexed="21"/>
      <name val="Arial"/>
      <family val="2"/>
    </font>
    <font>
      <sz val="20"/>
      <name val="Arial"/>
      <family val="2"/>
    </font>
    <font>
      <sz val="8.5"/>
      <name val="Arial"/>
      <family val="2"/>
    </font>
    <font>
      <i/>
      <sz val="8"/>
      <name val="Arial"/>
      <family val="0"/>
    </font>
    <font>
      <sz val="8"/>
      <color indexed="9"/>
      <name val="Arial"/>
      <family val="0"/>
    </font>
    <font>
      <sz val="9.75"/>
      <name val="Arial"/>
      <family val="0"/>
    </font>
    <font>
      <b/>
      <sz val="10"/>
      <color indexed="61"/>
      <name val="Arial"/>
      <family val="2"/>
    </font>
    <font>
      <i/>
      <sz val="9"/>
      <color indexed="9"/>
      <name val="Arial"/>
      <family val="2"/>
    </font>
    <font>
      <i/>
      <sz val="8"/>
      <color indexed="16"/>
      <name val="Arial"/>
      <family val="2"/>
    </font>
    <font>
      <b/>
      <sz val="11"/>
      <name val="Arial"/>
      <family val="0"/>
    </font>
    <font>
      <b/>
      <u val="single"/>
      <sz val="10.25"/>
      <name val="Arial"/>
      <family val="2"/>
    </font>
    <font>
      <b/>
      <u val="single"/>
      <sz val="11"/>
      <name val="Arial"/>
      <family val="2"/>
    </font>
    <font>
      <b/>
      <sz val="8"/>
      <color indexed="18"/>
      <name val="Arial"/>
      <family val="2"/>
    </font>
    <font>
      <b/>
      <sz val="1.25"/>
      <name val="Arial"/>
      <family val="0"/>
    </font>
    <font>
      <sz val="1"/>
      <name val="Arial"/>
      <family val="0"/>
    </font>
    <font>
      <sz val="1.25"/>
      <name val="Arial"/>
      <family val="0"/>
    </font>
    <font>
      <b/>
      <sz val="1"/>
      <name val="Arial"/>
      <family val="2"/>
    </font>
    <font>
      <b/>
      <i/>
      <sz val="10"/>
      <color indexed="16"/>
      <name val="Arial"/>
      <family val="0"/>
    </font>
    <font>
      <i/>
      <sz val="11"/>
      <color indexed="16"/>
      <name val="Arial"/>
      <family val="2"/>
    </font>
    <font>
      <b/>
      <sz val="11.5"/>
      <name val="Arial"/>
      <family val="2"/>
    </font>
    <font>
      <b/>
      <i/>
      <sz val="9.25"/>
      <name val="Arial"/>
      <family val="2"/>
    </font>
    <font>
      <b/>
      <i/>
      <sz val="9"/>
      <color indexed="43"/>
      <name val="Arial"/>
      <family val="0"/>
    </font>
    <font>
      <b/>
      <i/>
      <sz val="9"/>
      <color indexed="15"/>
      <name val="Arial"/>
      <family val="0"/>
    </font>
    <font>
      <u val="single"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</fills>
  <borders count="98">
    <border>
      <left/>
      <right/>
      <top/>
      <bottom/>
      <diagonal/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/>
      <top style="thin"/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n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>
        <color indexed="21"/>
      </top>
      <bottom style="thick"/>
    </border>
    <border>
      <left>
        <color indexed="63"/>
      </left>
      <right>
        <color indexed="63"/>
      </right>
      <top style="thick">
        <color indexed="21"/>
      </top>
      <bottom style="thick"/>
    </border>
    <border>
      <left>
        <color indexed="63"/>
      </left>
      <right style="thick"/>
      <top style="thick">
        <color indexed="21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21"/>
      </left>
      <right>
        <color indexed="63"/>
      </right>
      <top style="double">
        <color indexed="41"/>
      </top>
      <bottom style="thick">
        <color indexed="21"/>
      </bottom>
    </border>
    <border>
      <left>
        <color indexed="63"/>
      </left>
      <right>
        <color indexed="63"/>
      </right>
      <top style="double">
        <color indexed="41"/>
      </top>
      <bottom style="thick">
        <color indexed="21"/>
      </bottom>
    </border>
    <border>
      <left>
        <color indexed="63"/>
      </left>
      <right style="thick">
        <color indexed="21"/>
      </right>
      <top style="double">
        <color indexed="41"/>
      </top>
      <bottom style="thick">
        <color indexed="21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 style="thin"/>
      <bottom style="thick">
        <color indexed="37"/>
      </bottom>
    </border>
    <border>
      <left>
        <color indexed="63"/>
      </left>
      <right style="thick">
        <color indexed="37"/>
      </right>
      <top style="thin"/>
      <bottom style="thick">
        <color indexed="37"/>
      </bottom>
    </border>
    <border>
      <left style="thick">
        <color indexed="37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37"/>
      </right>
      <top>
        <color indexed="63"/>
      </top>
      <bottom style="thin"/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n"/>
      <bottom style="thick">
        <color indexed="16"/>
      </bottom>
    </border>
    <border>
      <left>
        <color indexed="63"/>
      </left>
      <right style="thick">
        <color indexed="16"/>
      </right>
      <top style="thin"/>
      <bottom style="thick">
        <color indexed="16"/>
      </bottom>
    </border>
    <border>
      <left style="thin"/>
      <right>
        <color indexed="63"/>
      </right>
      <top style="thin"/>
      <bottom style="thick">
        <color indexed="21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ck">
        <color indexed="21"/>
      </bottom>
    </border>
    <border>
      <left>
        <color indexed="63"/>
      </left>
      <right style="double"/>
      <top style="thin"/>
      <bottom style="thick">
        <color indexed="21"/>
      </bottom>
    </border>
    <border>
      <left style="medium"/>
      <right>
        <color indexed="63"/>
      </right>
      <top style="thin"/>
      <bottom style="thick">
        <color indexed="2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>
        <color indexed="37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6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>
        <color indexed="15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15"/>
      </top>
      <bottom>
        <color indexed="63"/>
      </bottom>
    </border>
    <border>
      <left style="medium"/>
      <right style="medium"/>
      <top style="double">
        <color indexed="41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>
        <color indexed="21"/>
      </top>
      <bottom>
        <color indexed="63"/>
      </bottom>
    </border>
    <border>
      <left style="double"/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double"/>
      <top style="thick">
        <color indexed="21"/>
      </top>
      <bottom>
        <color indexed="63"/>
      </bottom>
    </border>
    <border>
      <left>
        <color indexed="63"/>
      </left>
      <right style="thin"/>
      <top style="thick">
        <color indexed="21"/>
      </top>
      <bottom>
        <color indexed="63"/>
      </bottom>
    </border>
    <border>
      <left style="medium"/>
      <right>
        <color indexed="63"/>
      </right>
      <top style="thick">
        <color indexed="21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/>
    </xf>
    <xf numFmtId="0" fontId="24" fillId="0" borderId="3" xfId="0" applyFont="1" applyFill="1" applyBorder="1" applyAlignment="1">
      <alignment horizontal="left" wrapText="1"/>
    </xf>
    <xf numFmtId="0" fontId="0" fillId="0" borderId="0" xfId="0" applyAlignment="1">
      <alignment/>
    </xf>
    <xf numFmtId="0" fontId="25" fillId="3" borderId="0" xfId="0" applyFont="1" applyFill="1" applyBorder="1" applyAlignment="1">
      <alignment/>
    </xf>
    <xf numFmtId="1" fontId="25" fillId="3" borderId="4" xfId="0" applyNumberFormat="1" applyFont="1" applyFill="1" applyBorder="1" applyAlignment="1">
      <alignment/>
    </xf>
    <xf numFmtId="172" fontId="25" fillId="3" borderId="4" xfId="0" applyNumberFormat="1" applyFont="1" applyFill="1" applyBorder="1" applyAlignment="1">
      <alignment/>
    </xf>
    <xf numFmtId="0" fontId="25" fillId="4" borderId="5" xfId="0" applyFont="1" applyFill="1" applyBorder="1" applyAlignment="1">
      <alignment/>
    </xf>
    <xf numFmtId="0" fontId="26" fillId="3" borderId="6" xfId="0" applyFont="1" applyFill="1" applyBorder="1" applyAlignment="1">
      <alignment horizontal="left"/>
    </xf>
    <xf numFmtId="0" fontId="25" fillId="5" borderId="7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29" fillId="6" borderId="8" xfId="0" applyFont="1" applyFill="1" applyBorder="1" applyAlignment="1">
      <alignment/>
    </xf>
    <xf numFmtId="0" fontId="29" fillId="7" borderId="9" xfId="0" applyFont="1" applyFill="1" applyBorder="1" applyAlignment="1">
      <alignment/>
    </xf>
    <xf numFmtId="0" fontId="29" fillId="7" borderId="10" xfId="0" applyFont="1" applyFill="1" applyBorder="1" applyAlignment="1">
      <alignment/>
    </xf>
    <xf numFmtId="0" fontId="30" fillId="4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1" fontId="25" fillId="3" borderId="0" xfId="0" applyNumberFormat="1" applyFont="1" applyFill="1" applyBorder="1" applyAlignment="1">
      <alignment/>
    </xf>
    <xf numFmtId="172" fontId="25" fillId="3" borderId="0" xfId="0" applyNumberFormat="1" applyFont="1" applyFill="1" applyBorder="1" applyAlignment="1">
      <alignment/>
    </xf>
    <xf numFmtId="0" fontId="25" fillId="3" borderId="0" xfId="0" applyFont="1" applyFill="1" applyBorder="1" applyAlignment="1">
      <alignment wrapText="1"/>
    </xf>
    <xf numFmtId="0" fontId="26" fillId="3" borderId="6" xfId="0" applyFont="1" applyFill="1" applyBorder="1" applyAlignment="1">
      <alignment horizontal="left" wrapText="1"/>
    </xf>
    <xf numFmtId="1" fontId="25" fillId="5" borderId="7" xfId="0" applyNumberFormat="1" applyFont="1" applyFill="1" applyBorder="1" applyAlignment="1">
      <alignment/>
    </xf>
    <xf numFmtId="0" fontId="34" fillId="3" borderId="6" xfId="0" applyFont="1" applyFill="1" applyBorder="1" applyAlignment="1">
      <alignment horizontal="left"/>
    </xf>
    <xf numFmtId="0" fontId="25" fillId="5" borderId="7" xfId="0" applyFont="1" applyFill="1" applyBorder="1" applyAlignment="1">
      <alignment wrapText="1"/>
    </xf>
    <xf numFmtId="0" fontId="26" fillId="5" borderId="13" xfId="0" applyFont="1" applyFill="1" applyBorder="1" applyAlignment="1">
      <alignment horizontal="left" wrapText="1"/>
    </xf>
    <xf numFmtId="0" fontId="25" fillId="8" borderId="14" xfId="0" applyFont="1" applyFill="1" applyBorder="1" applyAlignment="1">
      <alignment/>
    </xf>
    <xf numFmtId="0" fontId="25" fillId="8" borderId="15" xfId="0" applyFont="1" applyFill="1" applyBorder="1" applyAlignment="1">
      <alignment/>
    </xf>
    <xf numFmtId="0" fontId="27" fillId="8" borderId="16" xfId="0" applyFont="1" applyFill="1" applyBorder="1" applyAlignment="1">
      <alignment horizontal="right" vertical="center"/>
    </xf>
    <xf numFmtId="17" fontId="27" fillId="8" borderId="16" xfId="0" applyNumberFormat="1" applyFont="1" applyFill="1" applyBorder="1" applyAlignment="1">
      <alignment horizontal="right" wrapText="1"/>
    </xf>
    <xf numFmtId="49" fontId="27" fillId="8" borderId="16" xfId="0" applyNumberFormat="1" applyFont="1" applyFill="1" applyBorder="1" applyAlignment="1">
      <alignment horizontal="right" wrapText="1"/>
    </xf>
    <xf numFmtId="0" fontId="27" fillId="8" borderId="16" xfId="0" applyFont="1" applyFill="1" applyBorder="1" applyAlignment="1">
      <alignment horizontal="right"/>
    </xf>
    <xf numFmtId="17" fontId="27" fillId="6" borderId="17" xfId="0" applyNumberFormat="1" applyFont="1" applyFill="1" applyBorder="1" applyAlignment="1">
      <alignment horizontal="center"/>
    </xf>
    <xf numFmtId="49" fontId="27" fillId="6" borderId="17" xfId="0" applyNumberFormat="1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49" fontId="27" fillId="6" borderId="18" xfId="0" applyNumberFormat="1" applyFont="1" applyFill="1" applyBorder="1" applyAlignment="1">
      <alignment horizontal="center"/>
    </xf>
    <xf numFmtId="0" fontId="25" fillId="9" borderId="5" xfId="0" applyFont="1" applyFill="1" applyBorder="1" applyAlignment="1">
      <alignment/>
    </xf>
    <xf numFmtId="0" fontId="35" fillId="3" borderId="0" xfId="0" applyFont="1" applyFill="1" applyBorder="1" applyAlignment="1">
      <alignment/>
    </xf>
    <xf numFmtId="0" fontId="35" fillId="3" borderId="4" xfId="0" applyFont="1" applyFill="1" applyBorder="1" applyAlignment="1">
      <alignment/>
    </xf>
    <xf numFmtId="0" fontId="26" fillId="3" borderId="19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6" fillId="3" borderId="19" xfId="0" applyFont="1" applyFill="1" applyBorder="1" applyAlignment="1">
      <alignment horizontal="left" wrapText="1"/>
    </xf>
    <xf numFmtId="0" fontId="28" fillId="3" borderId="19" xfId="0" applyFont="1" applyFill="1" applyBorder="1" applyAlignment="1">
      <alignment horizontal="left"/>
    </xf>
    <xf numFmtId="0" fontId="0" fillId="10" borderId="22" xfId="0" applyFill="1" applyBorder="1" applyAlignment="1">
      <alignment/>
    </xf>
    <xf numFmtId="0" fontId="36" fillId="3" borderId="23" xfId="0" applyFont="1" applyFill="1" applyBorder="1" applyAlignment="1">
      <alignment horizontal="left" wrapText="1"/>
    </xf>
    <xf numFmtId="172" fontId="0" fillId="0" borderId="12" xfId="0" applyNumberFormat="1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28" fillId="3" borderId="23" xfId="0" applyFont="1" applyFill="1" applyBorder="1" applyAlignment="1">
      <alignment horizontal="left"/>
    </xf>
    <xf numFmtId="0" fontId="32" fillId="11" borderId="24" xfId="0" applyFont="1" applyFill="1" applyBorder="1" applyAlignment="1">
      <alignment horizontal="right"/>
    </xf>
    <xf numFmtId="0" fontId="32" fillId="11" borderId="25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33" fillId="11" borderId="16" xfId="0" applyFont="1" applyFill="1" applyBorder="1" applyAlignment="1">
      <alignment horizontal="center"/>
    </xf>
    <xf numFmtId="17" fontId="33" fillId="11" borderId="16" xfId="0" applyNumberFormat="1" applyFont="1" applyFill="1" applyBorder="1" applyAlignment="1">
      <alignment horizontal="center" wrapText="1"/>
    </xf>
    <xf numFmtId="49" fontId="33" fillId="11" borderId="16" xfId="0" applyNumberFormat="1" applyFont="1" applyFill="1" applyBorder="1" applyAlignment="1">
      <alignment horizontal="center" wrapText="1"/>
    </xf>
    <xf numFmtId="0" fontId="33" fillId="11" borderId="25" xfId="0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7" fontId="33" fillId="11" borderId="25" xfId="0" applyNumberFormat="1" applyFont="1" applyFill="1" applyBorder="1" applyAlignment="1">
      <alignment horizontal="center" wrapText="1"/>
    </xf>
    <xf numFmtId="172" fontId="0" fillId="2" borderId="26" xfId="0" applyNumberFormat="1" applyFill="1" applyBorder="1" applyAlignment="1">
      <alignment/>
    </xf>
    <xf numFmtId="0" fontId="33" fillId="11" borderId="2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9" fillId="5" borderId="0" xfId="0" applyFont="1" applyFill="1" applyBorder="1" applyAlignment="1">
      <alignment/>
    </xf>
    <xf numFmtId="0" fontId="39" fillId="3" borderId="0" xfId="0" applyFont="1" applyFill="1" applyBorder="1" applyAlignment="1">
      <alignment/>
    </xf>
    <xf numFmtId="0" fontId="41" fillId="3" borderId="16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 horizontal="left"/>
    </xf>
    <xf numFmtId="0" fontId="41" fillId="3" borderId="16" xfId="0" applyFont="1" applyFill="1" applyBorder="1" applyAlignment="1">
      <alignment horizontal="center"/>
    </xf>
    <xf numFmtId="2" fontId="44" fillId="3" borderId="0" xfId="0" applyNumberFormat="1" applyFont="1" applyFill="1" applyBorder="1" applyAlignment="1">
      <alignment/>
    </xf>
    <xf numFmtId="2" fontId="44" fillId="5" borderId="0" xfId="0" applyNumberFormat="1" applyFont="1" applyFill="1" applyBorder="1" applyAlignment="1">
      <alignment/>
    </xf>
    <xf numFmtId="0" fontId="44" fillId="5" borderId="0" xfId="0" applyFont="1" applyFill="1" applyBorder="1" applyAlignment="1">
      <alignment/>
    </xf>
    <xf numFmtId="2" fontId="44" fillId="12" borderId="28" xfId="0" applyNumberFormat="1" applyFont="1" applyFill="1" applyBorder="1" applyAlignment="1">
      <alignment/>
    </xf>
    <xf numFmtId="0" fontId="41" fillId="3" borderId="27" xfId="0" applyFont="1" applyFill="1" applyBorder="1" applyAlignment="1">
      <alignment horizontal="center"/>
    </xf>
    <xf numFmtId="2" fontId="44" fillId="3" borderId="20" xfId="0" applyNumberFormat="1" applyFont="1" applyFill="1" applyBorder="1" applyAlignment="1">
      <alignment/>
    </xf>
    <xf numFmtId="2" fontId="44" fillId="5" borderId="20" xfId="0" applyNumberFormat="1" applyFont="1" applyFill="1" applyBorder="1" applyAlignment="1">
      <alignment/>
    </xf>
    <xf numFmtId="2" fontId="44" fillId="12" borderId="29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15" fillId="0" borderId="0" xfId="0" applyFont="1" applyAlignment="1">
      <alignment horizontal="right"/>
    </xf>
    <xf numFmtId="3" fontId="0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2" borderId="31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0" fillId="13" borderId="33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13" borderId="34" xfId="0" applyFont="1" applyFill="1" applyBorder="1" applyAlignment="1">
      <alignment/>
    </xf>
    <xf numFmtId="49" fontId="50" fillId="13" borderId="35" xfId="0" applyNumberFormat="1" applyFont="1" applyFill="1" applyBorder="1" applyAlignment="1">
      <alignment horizontal="center" vertical="center"/>
    </xf>
    <xf numFmtId="49" fontId="50" fillId="13" borderId="35" xfId="0" applyNumberFormat="1" applyFont="1" applyFill="1" applyBorder="1" applyAlignment="1">
      <alignment horizontal="center" vertical="center" wrapText="1"/>
    </xf>
    <xf numFmtId="49" fontId="50" fillId="13" borderId="36" xfId="0" applyNumberFormat="1" applyFont="1" applyFill="1" applyBorder="1" applyAlignment="1">
      <alignment horizontal="center" vertical="center"/>
    </xf>
    <xf numFmtId="0" fontId="26" fillId="12" borderId="28" xfId="0" applyFont="1" applyFill="1" applyBorder="1" applyAlignment="1">
      <alignment/>
    </xf>
    <xf numFmtId="3" fontId="26" fillId="12" borderId="2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7" fillId="9" borderId="37" xfId="0" applyNumberFormat="1" applyFont="1" applyFill="1" applyBorder="1" applyAlignment="1">
      <alignment horizontal="center" vertical="center"/>
    </xf>
    <xf numFmtId="49" fontId="27" fillId="9" borderId="37" xfId="0" applyNumberFormat="1" applyFont="1" applyFill="1" applyBorder="1" applyAlignment="1">
      <alignment horizontal="center" vertical="center" wrapText="1"/>
    </xf>
    <xf numFmtId="49" fontId="27" fillId="9" borderId="38" xfId="0" applyNumberFormat="1" applyFont="1" applyFill="1" applyBorder="1" applyAlignment="1">
      <alignment horizontal="center" vertical="center"/>
    </xf>
    <xf numFmtId="0" fontId="31" fillId="7" borderId="9" xfId="0" applyFont="1" applyFill="1" applyBorder="1" applyAlignment="1">
      <alignment/>
    </xf>
    <xf numFmtId="0" fontId="31" fillId="4" borderId="11" xfId="0" applyFont="1" applyFill="1" applyBorder="1" applyAlignment="1">
      <alignment horizontal="left" wrapText="1"/>
    </xf>
    <xf numFmtId="0" fontId="31" fillId="7" borderId="10" xfId="0" applyFont="1" applyFill="1" applyBorder="1" applyAlignment="1">
      <alignment/>
    </xf>
    <xf numFmtId="0" fontId="51" fillId="14" borderId="39" xfId="0" applyFont="1" applyFill="1" applyBorder="1" applyAlignment="1">
      <alignment/>
    </xf>
    <xf numFmtId="10" fontId="51" fillId="13" borderId="40" xfId="0" applyNumberFormat="1" applyFont="1" applyFill="1" applyBorder="1" applyAlignment="1">
      <alignment/>
    </xf>
    <xf numFmtId="0" fontId="1" fillId="13" borderId="40" xfId="0" applyFont="1" applyFill="1" applyBorder="1" applyAlignment="1">
      <alignment/>
    </xf>
    <xf numFmtId="0" fontId="1" fillId="13" borderId="41" xfId="0" applyFont="1" applyFill="1" applyBorder="1" applyAlignment="1">
      <alignment/>
    </xf>
    <xf numFmtId="2" fontId="1" fillId="3" borderId="42" xfId="0" applyNumberFormat="1" applyFont="1" applyFill="1" applyBorder="1" applyAlignment="1">
      <alignment/>
    </xf>
    <xf numFmtId="2" fontId="1" fillId="5" borderId="42" xfId="0" applyNumberFormat="1" applyFont="1" applyFill="1" applyBorder="1" applyAlignment="1">
      <alignment/>
    </xf>
    <xf numFmtId="0" fontId="2" fillId="12" borderId="43" xfId="0" applyFont="1" applyFill="1" applyBorder="1" applyAlignment="1">
      <alignment/>
    </xf>
    <xf numFmtId="2" fontId="1" fillId="12" borderId="44" xfId="0" applyNumberFormat="1" applyFont="1" applyFill="1" applyBorder="1" applyAlignment="1">
      <alignment/>
    </xf>
    <xf numFmtId="0" fontId="41" fillId="3" borderId="45" xfId="0" applyFont="1" applyFill="1" applyBorder="1" applyAlignment="1">
      <alignment horizontal="center"/>
    </xf>
    <xf numFmtId="0" fontId="41" fillId="3" borderId="46" xfId="0" applyFont="1" applyFill="1" applyBorder="1" applyAlignment="1">
      <alignment horizontal="center"/>
    </xf>
    <xf numFmtId="0" fontId="39" fillId="5" borderId="47" xfId="0" applyFont="1" applyFill="1" applyBorder="1" applyAlignment="1">
      <alignment/>
    </xf>
    <xf numFmtId="2" fontId="44" fillId="5" borderId="48" xfId="0" applyNumberFormat="1" applyFont="1" applyFill="1" applyBorder="1" applyAlignment="1">
      <alignment/>
    </xf>
    <xf numFmtId="0" fontId="26" fillId="12" borderId="49" xfId="0" applyFont="1" applyFill="1" applyBorder="1" applyAlignment="1">
      <alignment/>
    </xf>
    <xf numFmtId="2" fontId="44" fillId="12" borderId="50" xfId="0" applyNumberFormat="1" applyFont="1" applyFill="1" applyBorder="1" applyAlignment="1">
      <alignment/>
    </xf>
    <xf numFmtId="0" fontId="39" fillId="3" borderId="19" xfId="0" applyFont="1" applyFill="1" applyBorder="1" applyAlignment="1">
      <alignment horizontal="left" wrapText="1"/>
    </xf>
    <xf numFmtId="0" fontId="39" fillId="5" borderId="19" xfId="0" applyFont="1" applyFill="1" applyBorder="1" applyAlignment="1">
      <alignment horizontal="left" wrapText="1"/>
    </xf>
    <xf numFmtId="0" fontId="26" fillId="12" borderId="51" xfId="0" applyFont="1" applyFill="1" applyBorder="1" applyAlignment="1">
      <alignment horizontal="left" wrapText="1"/>
    </xf>
    <xf numFmtId="0" fontId="41" fillId="3" borderId="52" xfId="0" applyFont="1" applyFill="1" applyBorder="1" applyAlignment="1">
      <alignment horizontal="center"/>
    </xf>
    <xf numFmtId="0" fontId="39" fillId="3" borderId="53" xfId="0" applyFont="1" applyFill="1" applyBorder="1" applyAlignment="1">
      <alignment/>
    </xf>
    <xf numFmtId="0" fontId="39" fillId="5" borderId="53" xfId="0" applyFont="1" applyFill="1" applyBorder="1" applyAlignment="1">
      <alignment/>
    </xf>
    <xf numFmtId="2" fontId="44" fillId="5" borderId="54" xfId="0" applyNumberFormat="1" applyFont="1" applyFill="1" applyBorder="1" applyAlignment="1">
      <alignment/>
    </xf>
    <xf numFmtId="0" fontId="26" fillId="12" borderId="55" xfId="0" applyFont="1" applyFill="1" applyBorder="1" applyAlignment="1">
      <alignment/>
    </xf>
    <xf numFmtId="2" fontId="44" fillId="12" borderId="56" xfId="0" applyNumberFormat="1" applyFont="1" applyFill="1" applyBorder="1" applyAlignment="1">
      <alignment/>
    </xf>
    <xf numFmtId="0" fontId="39" fillId="5" borderId="6" xfId="0" applyFont="1" applyFill="1" applyBorder="1" applyAlignment="1">
      <alignment/>
    </xf>
    <xf numFmtId="0" fontId="26" fillId="12" borderId="57" xfId="0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24" fillId="2" borderId="3" xfId="0" applyFont="1" applyFill="1" applyBorder="1" applyAlignment="1">
      <alignment horizontal="left"/>
    </xf>
    <xf numFmtId="4" fontId="1" fillId="2" borderId="16" xfId="0" applyNumberFormat="1" applyFont="1" applyFill="1" applyBorder="1" applyAlignment="1">
      <alignment/>
    </xf>
    <xf numFmtId="4" fontId="1" fillId="2" borderId="32" xfId="0" applyNumberFormat="1" applyFont="1" applyFill="1" applyBorder="1" applyAlignment="1">
      <alignment/>
    </xf>
    <xf numFmtId="4" fontId="1" fillId="2" borderId="30" xfId="0" applyNumberFormat="1" applyFont="1" applyFill="1" applyBorder="1" applyAlignment="1">
      <alignment/>
    </xf>
    <xf numFmtId="0" fontId="24" fillId="0" borderId="3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/>
    </xf>
    <xf numFmtId="0" fontId="53" fillId="5" borderId="7" xfId="0" applyFont="1" applyFill="1" applyBorder="1" applyAlignment="1">
      <alignment/>
    </xf>
    <xf numFmtId="0" fontId="53" fillId="5" borderId="58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15" borderId="19" xfId="0" applyFont="1" applyFill="1" applyBorder="1" applyAlignment="1">
      <alignment/>
    </xf>
    <xf numFmtId="0" fontId="12" fillId="0" borderId="0" xfId="0" applyFont="1" applyAlignment="1">
      <alignment/>
    </xf>
    <xf numFmtId="1" fontId="0" fillId="0" borderId="59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0" fontId="12" fillId="15" borderId="60" xfId="0" applyFont="1" applyFill="1" applyBorder="1" applyAlignment="1">
      <alignment/>
    </xf>
    <xf numFmtId="10" fontId="1" fillId="0" borderId="20" xfId="0" applyNumberFormat="1" applyFont="1" applyFill="1" applyBorder="1" applyAlignment="1">
      <alignment/>
    </xf>
    <xf numFmtId="10" fontId="1" fillId="0" borderId="27" xfId="0" applyNumberFormat="1" applyFont="1" applyFill="1" applyBorder="1" applyAlignment="1">
      <alignment/>
    </xf>
    <xf numFmtId="0" fontId="28" fillId="3" borderId="25" xfId="0" applyFont="1" applyFill="1" applyBorder="1" applyAlignment="1">
      <alignment horizontal="left" wrapText="1"/>
    </xf>
    <xf numFmtId="0" fontId="26" fillId="3" borderId="61" xfId="0" applyFont="1" applyFill="1" applyBorder="1" applyAlignment="1">
      <alignment horizontal="left"/>
    </xf>
    <xf numFmtId="10" fontId="1" fillId="0" borderId="59" xfId="0" applyNumberFormat="1" applyFont="1" applyFill="1" applyBorder="1" applyAlignment="1">
      <alignment/>
    </xf>
    <xf numFmtId="10" fontId="1" fillId="0" borderId="62" xfId="0" applyNumberFormat="1" applyFont="1" applyFill="1" applyBorder="1" applyAlignment="1">
      <alignment/>
    </xf>
    <xf numFmtId="0" fontId="36" fillId="3" borderId="60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26" fillId="5" borderId="13" xfId="0" applyFont="1" applyFill="1" applyBorder="1" applyAlignment="1">
      <alignment horizontal="left"/>
    </xf>
    <xf numFmtId="0" fontId="28" fillId="5" borderId="7" xfId="0" applyFont="1" applyFill="1" applyBorder="1" applyAlignment="1">
      <alignment/>
    </xf>
    <xf numFmtId="1" fontId="28" fillId="5" borderId="58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/>
    </xf>
    <xf numFmtId="4" fontId="1" fillId="0" borderId="63" xfId="0" applyNumberFormat="1" applyFont="1" applyFill="1" applyBorder="1" applyAlignment="1">
      <alignment/>
    </xf>
    <xf numFmtId="0" fontId="24" fillId="2" borderId="64" xfId="0" applyFont="1" applyFill="1" applyBorder="1" applyAlignment="1">
      <alignment horizontal="left" wrapText="1"/>
    </xf>
    <xf numFmtId="3" fontId="2" fillId="2" borderId="59" xfId="0" applyNumberFormat="1" applyFont="1" applyFill="1" applyBorder="1" applyAlignment="1">
      <alignment/>
    </xf>
    <xf numFmtId="4" fontId="1" fillId="2" borderId="59" xfId="0" applyNumberFormat="1" applyFont="1" applyFill="1" applyBorder="1" applyAlignment="1">
      <alignment/>
    </xf>
    <xf numFmtId="4" fontId="1" fillId="2" borderId="65" xfId="0" applyNumberFormat="1" applyFont="1" applyFill="1" applyBorder="1" applyAlignment="1">
      <alignment/>
    </xf>
    <xf numFmtId="49" fontId="50" fillId="2" borderId="59" xfId="0" applyNumberFormat="1" applyFont="1" applyFill="1" applyBorder="1" applyAlignment="1">
      <alignment horizontal="center" vertical="center"/>
    </xf>
    <xf numFmtId="49" fontId="50" fillId="2" borderId="59" xfId="0" applyNumberFormat="1" applyFont="1" applyFill="1" applyBorder="1" applyAlignment="1">
      <alignment horizontal="center" vertical="center" wrapText="1"/>
    </xf>
    <xf numFmtId="49" fontId="50" fillId="2" borderId="6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right" wrapText="1"/>
    </xf>
    <xf numFmtId="0" fontId="26" fillId="5" borderId="14" xfId="0" applyFont="1" applyFill="1" applyBorder="1" applyAlignment="1">
      <alignment horizontal="left"/>
    </xf>
    <xf numFmtId="0" fontId="28" fillId="5" borderId="66" xfId="0" applyFont="1" applyFill="1" applyBorder="1" applyAlignment="1">
      <alignment/>
    </xf>
    <xf numFmtId="172" fontId="28" fillId="5" borderId="66" xfId="0" applyNumberFormat="1" applyFont="1" applyFill="1" applyBorder="1" applyAlignment="1">
      <alignment/>
    </xf>
    <xf numFmtId="1" fontId="28" fillId="5" borderId="66" xfId="0" applyNumberFormat="1" applyFont="1" applyFill="1" applyBorder="1" applyAlignment="1">
      <alignment/>
    </xf>
    <xf numFmtId="10" fontId="59" fillId="5" borderId="7" xfId="0" applyNumberFormat="1" applyFont="1" applyFill="1" applyBorder="1" applyAlignment="1">
      <alignment/>
    </xf>
    <xf numFmtId="10" fontId="59" fillId="5" borderId="58" xfId="0" applyNumberFormat="1" applyFont="1" applyFill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23" xfId="0" applyNumberFormat="1" applyFill="1" applyBorder="1" applyAlignment="1">
      <alignment/>
    </xf>
    <xf numFmtId="1" fontId="0" fillId="2" borderId="67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3" borderId="68" xfId="0" applyFont="1" applyFill="1" applyBorder="1" applyAlignment="1">
      <alignment/>
    </xf>
    <xf numFmtId="0" fontId="0" fillId="5" borderId="68" xfId="0" applyFont="1" applyFill="1" applyBorder="1" applyAlignment="1">
      <alignment/>
    </xf>
    <xf numFmtId="0" fontId="41" fillId="16" borderId="15" xfId="0" applyFont="1" applyFill="1" applyBorder="1" applyAlignment="1">
      <alignment horizontal="center"/>
    </xf>
    <xf numFmtId="0" fontId="41" fillId="16" borderId="16" xfId="0" applyFont="1" applyFill="1" applyBorder="1" applyAlignment="1">
      <alignment horizontal="center"/>
    </xf>
    <xf numFmtId="0" fontId="41" fillId="16" borderId="69" xfId="0" applyFont="1" applyFill="1" applyBorder="1" applyAlignment="1">
      <alignment horizontal="center"/>
    </xf>
    <xf numFmtId="0" fontId="41" fillId="16" borderId="70" xfId="0" applyFont="1" applyFill="1" applyBorder="1" applyAlignment="1">
      <alignment horizontal="center"/>
    </xf>
    <xf numFmtId="0" fontId="41" fillId="16" borderId="16" xfId="0" applyFont="1" applyFill="1" applyBorder="1" applyAlignment="1">
      <alignment horizontal="center"/>
    </xf>
    <xf numFmtId="0" fontId="41" fillId="16" borderId="71" xfId="0" applyFont="1" applyFill="1" applyBorder="1" applyAlignment="1">
      <alignment horizontal="center"/>
    </xf>
    <xf numFmtId="0" fontId="41" fillId="17" borderId="52" xfId="0" applyFont="1" applyFill="1" applyBorder="1" applyAlignment="1">
      <alignment horizontal="center"/>
    </xf>
    <xf numFmtId="0" fontId="41" fillId="17" borderId="16" xfId="0" applyFont="1" applyFill="1" applyBorder="1" applyAlignment="1">
      <alignment horizontal="center"/>
    </xf>
    <xf numFmtId="0" fontId="41" fillId="17" borderId="69" xfId="0" applyFont="1" applyFill="1" applyBorder="1" applyAlignment="1">
      <alignment horizontal="center"/>
    </xf>
    <xf numFmtId="0" fontId="41" fillId="17" borderId="70" xfId="0" applyFont="1" applyFill="1" applyBorder="1" applyAlignment="1">
      <alignment horizontal="center"/>
    </xf>
    <xf numFmtId="0" fontId="41" fillId="17" borderId="16" xfId="0" applyFont="1" applyFill="1" applyBorder="1" applyAlignment="1">
      <alignment horizontal="center"/>
    </xf>
    <xf numFmtId="0" fontId="41" fillId="17" borderId="71" xfId="0" applyFont="1" applyFill="1" applyBorder="1" applyAlignment="1">
      <alignment horizontal="center"/>
    </xf>
    <xf numFmtId="0" fontId="39" fillId="16" borderId="6" xfId="0" applyFont="1" applyFill="1" applyBorder="1" applyAlignment="1">
      <alignment/>
    </xf>
    <xf numFmtId="2" fontId="44" fillId="16" borderId="0" xfId="0" applyNumberFormat="1" applyFont="1" applyFill="1" applyBorder="1" applyAlignment="1">
      <alignment/>
    </xf>
    <xf numFmtId="0" fontId="39" fillId="16" borderId="47" xfId="0" applyFont="1" applyFill="1" applyBorder="1" applyAlignment="1">
      <alignment/>
    </xf>
    <xf numFmtId="2" fontId="44" fillId="16" borderId="48" xfId="0" applyNumberFormat="1" applyFont="1" applyFill="1" applyBorder="1" applyAlignment="1">
      <alignment/>
    </xf>
    <xf numFmtId="0" fontId="39" fillId="16" borderId="0" xfId="0" applyFont="1" applyFill="1" applyBorder="1" applyAlignment="1">
      <alignment/>
    </xf>
    <xf numFmtId="2" fontId="44" fillId="16" borderId="54" xfId="0" applyNumberFormat="1" applyFont="1" applyFill="1" applyBorder="1" applyAlignment="1">
      <alignment/>
    </xf>
    <xf numFmtId="0" fontId="39" fillId="17" borderId="0" xfId="0" applyFont="1" applyFill="1" applyBorder="1" applyAlignment="1">
      <alignment/>
    </xf>
    <xf numFmtId="2" fontId="44" fillId="17" borderId="0" xfId="0" applyNumberFormat="1" applyFont="1" applyFill="1" applyBorder="1" applyAlignment="1">
      <alignment/>
    </xf>
    <xf numFmtId="0" fontId="39" fillId="17" borderId="47" xfId="0" applyFont="1" applyFill="1" applyBorder="1" applyAlignment="1">
      <alignment/>
    </xf>
    <xf numFmtId="2" fontId="44" fillId="17" borderId="48" xfId="0" applyNumberFormat="1" applyFont="1" applyFill="1" applyBorder="1" applyAlignment="1">
      <alignment/>
    </xf>
    <xf numFmtId="0" fontId="44" fillId="16" borderId="0" xfId="0" applyFont="1" applyFill="1" applyBorder="1" applyAlignment="1">
      <alignment/>
    </xf>
    <xf numFmtId="10" fontId="1" fillId="0" borderId="4" xfId="0" applyNumberFormat="1" applyFont="1" applyFill="1" applyBorder="1" applyAlignment="1">
      <alignment/>
    </xf>
    <xf numFmtId="0" fontId="51" fillId="15" borderId="0" xfId="0" applyFont="1" applyFill="1" applyBorder="1" applyAlignment="1">
      <alignment horizontal="center" wrapText="1"/>
    </xf>
    <xf numFmtId="0" fontId="51" fillId="15" borderId="20" xfId="0" applyFont="1" applyFill="1" applyBorder="1" applyAlignment="1">
      <alignment horizontal="center" wrapText="1"/>
    </xf>
    <xf numFmtId="0" fontId="51" fillId="15" borderId="6" xfId="0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left" wrapText="1"/>
    </xf>
    <xf numFmtId="0" fontId="53" fillId="5" borderId="0" xfId="0" applyFont="1" applyFill="1" applyBorder="1" applyAlignment="1">
      <alignment/>
    </xf>
    <xf numFmtId="49" fontId="27" fillId="4" borderId="37" xfId="0" applyNumberFormat="1" applyFont="1" applyFill="1" applyBorder="1" applyAlignment="1">
      <alignment horizontal="center" vertical="center"/>
    </xf>
    <xf numFmtId="0" fontId="28" fillId="5" borderId="7" xfId="0" applyFont="1" applyFill="1" applyBorder="1" applyAlignment="1">
      <alignment/>
    </xf>
    <xf numFmtId="10" fontId="3" fillId="0" borderId="32" xfId="0" applyNumberFormat="1" applyFont="1" applyFill="1" applyBorder="1" applyAlignment="1">
      <alignment/>
    </xf>
    <xf numFmtId="10" fontId="3" fillId="0" borderId="72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0" fillId="0" borderId="21" xfId="0" applyBorder="1" applyAlignment="1">
      <alignment/>
    </xf>
    <xf numFmtId="10" fontId="1" fillId="0" borderId="19" xfId="0" applyNumberFormat="1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0" fontId="1" fillId="0" borderId="61" xfId="0" applyNumberFormat="1" applyFont="1" applyFill="1" applyBorder="1" applyAlignment="1">
      <alignment/>
    </xf>
    <xf numFmtId="0" fontId="0" fillId="18" borderId="73" xfId="0" applyFont="1" applyFill="1" applyBorder="1" applyAlignment="1">
      <alignment/>
    </xf>
    <xf numFmtId="0" fontId="2" fillId="19" borderId="74" xfId="0" applyFont="1" applyFill="1" applyBorder="1" applyAlignment="1">
      <alignment/>
    </xf>
    <xf numFmtId="49" fontId="68" fillId="4" borderId="75" xfId="0" applyNumberFormat="1" applyFont="1" applyFill="1" applyBorder="1" applyAlignment="1">
      <alignment horizontal="center" vertical="center"/>
    </xf>
    <xf numFmtId="17" fontId="69" fillId="6" borderId="76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10" fontId="1" fillId="2" borderId="2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64" xfId="0" applyNumberFormat="1" applyFill="1" applyBorder="1" applyAlignment="1">
      <alignment/>
    </xf>
    <xf numFmtId="10" fontId="1" fillId="2" borderId="62" xfId="0" applyNumberFormat="1" applyFont="1" applyFill="1" applyBorder="1" applyAlignment="1">
      <alignment/>
    </xf>
    <xf numFmtId="1" fontId="0" fillId="2" borderId="15" xfId="0" applyNumberFormat="1" applyFill="1" applyBorder="1" applyAlignment="1">
      <alignment/>
    </xf>
    <xf numFmtId="10" fontId="1" fillId="2" borderId="27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6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5" xfId="0" applyFill="1" applyBorder="1" applyAlignment="1">
      <alignment/>
    </xf>
    <xf numFmtId="0" fontId="28" fillId="2" borderId="61" xfId="0" applyFont="1" applyFill="1" applyBorder="1" applyAlignment="1">
      <alignment/>
    </xf>
    <xf numFmtId="10" fontId="1" fillId="2" borderId="26" xfId="0" applyNumberFormat="1" applyFont="1" applyFill="1" applyBorder="1" applyAlignment="1">
      <alignment/>
    </xf>
    <xf numFmtId="10" fontId="1" fillId="2" borderId="77" xfId="0" applyNumberFormat="1" applyFont="1" applyFill="1" applyBorder="1" applyAlignment="1">
      <alignment/>
    </xf>
    <xf numFmtId="10" fontId="1" fillId="2" borderId="78" xfId="0" applyNumberFormat="1" applyFont="1" applyFill="1" applyBorder="1" applyAlignment="1">
      <alignment/>
    </xf>
    <xf numFmtId="1" fontId="25" fillId="3" borderId="65" xfId="0" applyNumberFormat="1" applyFont="1" applyFill="1" applyBorder="1" applyAlignment="1">
      <alignment/>
    </xf>
    <xf numFmtId="0" fontId="25" fillId="3" borderId="58" xfId="0" applyFont="1" applyFill="1" applyBorder="1" applyAlignment="1">
      <alignment/>
    </xf>
    <xf numFmtId="0" fontId="25" fillId="5" borderId="65" xfId="0" applyFont="1" applyFill="1" applyBorder="1" applyAlignment="1">
      <alignment/>
    </xf>
    <xf numFmtId="0" fontId="26" fillId="16" borderId="6" xfId="0" applyFont="1" applyFill="1" applyBorder="1" applyAlignment="1">
      <alignment horizontal="left"/>
    </xf>
    <xf numFmtId="0" fontId="25" fillId="16" borderId="0" xfId="0" applyFont="1" applyFill="1" applyBorder="1" applyAlignment="1">
      <alignment/>
    </xf>
    <xf numFmtId="172" fontId="25" fillId="16" borderId="4" xfId="0" applyNumberFormat="1" applyFont="1" applyFill="1" applyBorder="1" applyAlignment="1">
      <alignment/>
    </xf>
    <xf numFmtId="0" fontId="2" fillId="16" borderId="6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10" fontId="1" fillId="16" borderId="59" xfId="0" applyNumberFormat="1" applyFont="1" applyFill="1" applyBorder="1" applyAlignment="1">
      <alignment/>
    </xf>
    <xf numFmtId="10" fontId="1" fillId="16" borderId="65" xfId="0" applyNumberFormat="1" applyFont="1" applyFill="1" applyBorder="1" applyAlignment="1">
      <alignment/>
    </xf>
    <xf numFmtId="10" fontId="1" fillId="0" borderId="59" xfId="0" applyNumberFormat="1" applyFont="1" applyFill="1" applyBorder="1" applyAlignment="1">
      <alignment/>
    </xf>
    <xf numFmtId="10" fontId="1" fillId="0" borderId="65" xfId="0" applyNumberFormat="1" applyFont="1" applyFill="1" applyBorder="1" applyAlignment="1">
      <alignment/>
    </xf>
    <xf numFmtId="0" fontId="2" fillId="20" borderId="79" xfId="0" applyFont="1" applyFill="1" applyBorder="1" applyAlignment="1">
      <alignment/>
    </xf>
    <xf numFmtId="10" fontId="1" fillId="20" borderId="32" xfId="0" applyNumberFormat="1" applyFont="1" applyFill="1" applyBorder="1" applyAlignment="1">
      <alignment/>
    </xf>
    <xf numFmtId="10" fontId="1" fillId="20" borderId="80" xfId="0" applyNumberFormat="1" applyFont="1" applyFill="1" applyBorder="1" applyAlignment="1">
      <alignment/>
    </xf>
    <xf numFmtId="0" fontId="26" fillId="20" borderId="79" xfId="0" applyFont="1" applyFill="1" applyBorder="1" applyAlignment="1">
      <alignment horizontal="left"/>
    </xf>
    <xf numFmtId="0" fontId="25" fillId="20" borderId="32" xfId="0" applyFont="1" applyFill="1" applyBorder="1" applyAlignment="1">
      <alignment/>
    </xf>
    <xf numFmtId="172" fontId="25" fillId="20" borderId="80" xfId="0" applyNumberFormat="1" applyFont="1" applyFill="1" applyBorder="1" applyAlignment="1">
      <alignment/>
    </xf>
    <xf numFmtId="0" fontId="23" fillId="2" borderId="5" xfId="0" applyFont="1" applyFill="1" applyBorder="1" applyAlignment="1">
      <alignment horizontal="right"/>
    </xf>
    <xf numFmtId="17" fontId="23" fillId="2" borderId="37" xfId="0" applyNumberFormat="1" applyFont="1" applyFill="1" applyBorder="1" applyAlignment="1">
      <alignment horizontal="center" wrapText="1"/>
    </xf>
    <xf numFmtId="49" fontId="23" fillId="2" borderId="37" xfId="0" applyNumberFormat="1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vertical="center"/>
    </xf>
    <xf numFmtId="0" fontId="29" fillId="21" borderId="5" xfId="0" applyFont="1" applyFill="1" applyBorder="1" applyAlignment="1">
      <alignment/>
    </xf>
    <xf numFmtId="17" fontId="27" fillId="21" borderId="37" xfId="0" applyNumberFormat="1" applyFont="1" applyFill="1" applyBorder="1" applyAlignment="1">
      <alignment horizontal="center" wrapText="1"/>
    </xf>
    <xf numFmtId="49" fontId="27" fillId="21" borderId="37" xfId="0" applyNumberFormat="1" applyFont="1" applyFill="1" applyBorder="1" applyAlignment="1">
      <alignment horizontal="center" wrapText="1"/>
    </xf>
    <xf numFmtId="0" fontId="27" fillId="21" borderId="38" xfId="0" applyFont="1" applyFill="1" applyBorder="1" applyAlignment="1">
      <alignment horizontal="center" vertical="center"/>
    </xf>
    <xf numFmtId="1" fontId="0" fillId="7" borderId="81" xfId="0" applyNumberFormat="1" applyFont="1" applyFill="1" applyBorder="1" applyAlignment="1">
      <alignment/>
    </xf>
    <xf numFmtId="0" fontId="2" fillId="7" borderId="81" xfId="0" applyFont="1" applyFill="1" applyBorder="1" applyAlignment="1">
      <alignment/>
    </xf>
    <xf numFmtId="10" fontId="1" fillId="13" borderId="82" xfId="0" applyNumberFormat="1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33" fillId="15" borderId="32" xfId="0" applyFont="1" applyFill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49" fontId="23" fillId="2" borderId="66" xfId="0" applyNumberFormat="1" applyFont="1" applyFill="1" applyBorder="1" applyAlignment="1">
      <alignment horizontal="center" vertical="center"/>
    </xf>
    <xf numFmtId="49" fontId="23" fillId="2" borderId="66" xfId="0" applyNumberFormat="1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49" fontId="23" fillId="13" borderId="84" xfId="0" applyNumberFormat="1" applyFont="1" applyFill="1" applyBorder="1" applyAlignment="1">
      <alignment horizontal="center" vertical="center"/>
    </xf>
    <xf numFmtId="49" fontId="23" fillId="13" borderId="84" xfId="0" applyNumberFormat="1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3" fillId="15" borderId="79" xfId="0" applyFont="1" applyFill="1" applyBorder="1" applyAlignment="1">
      <alignment horizontal="center" wrapText="1"/>
    </xf>
    <xf numFmtId="0" fontId="33" fillId="15" borderId="7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0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7" fontId="27" fillId="10" borderId="22" xfId="0" applyNumberFormat="1" applyFont="1" applyFill="1" applyBorder="1" applyAlignment="1">
      <alignment horizontal="center" vertical="center" wrapText="1"/>
    </xf>
    <xf numFmtId="17" fontId="27" fillId="10" borderId="86" xfId="0" applyNumberFormat="1" applyFont="1" applyFill="1" applyBorder="1" applyAlignment="1">
      <alignment horizontal="center" vertical="center" wrapText="1"/>
    </xf>
    <xf numFmtId="17" fontId="27" fillId="10" borderId="37" xfId="0" applyNumberFormat="1" applyFont="1" applyFill="1" applyBorder="1" applyAlignment="1">
      <alignment horizontal="center" vertical="center" wrapText="1"/>
    </xf>
    <xf numFmtId="49" fontId="27" fillId="10" borderId="22" xfId="0" applyNumberFormat="1" applyFont="1" applyFill="1" applyBorder="1" applyAlignment="1">
      <alignment horizontal="center" vertical="center" wrapText="1"/>
    </xf>
    <xf numFmtId="49" fontId="27" fillId="10" borderId="86" xfId="0" applyNumberFormat="1" applyFont="1" applyFill="1" applyBorder="1" applyAlignment="1">
      <alignment horizontal="center" vertical="center" wrapText="1"/>
    </xf>
    <xf numFmtId="0" fontId="33" fillId="10" borderId="37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4" fillId="8" borderId="66" xfId="0" applyFont="1" applyFill="1" applyBorder="1" applyAlignment="1">
      <alignment horizontal="center"/>
    </xf>
    <xf numFmtId="0" fontId="27" fillId="8" borderId="83" xfId="0" applyFont="1" applyFill="1" applyBorder="1" applyAlignment="1">
      <alignment horizontal="center" vertical="center"/>
    </xf>
    <xf numFmtId="0" fontId="27" fillId="8" borderId="63" xfId="0" applyFont="1" applyFill="1" applyBorder="1" applyAlignment="1">
      <alignment horizontal="center" vertical="center"/>
    </xf>
    <xf numFmtId="0" fontId="54" fillId="11" borderId="24" xfId="0" applyFont="1" applyFill="1" applyBorder="1" applyAlignment="1">
      <alignment horizontal="center"/>
    </xf>
    <xf numFmtId="0" fontId="54" fillId="11" borderId="66" xfId="0" applyFont="1" applyFill="1" applyBorder="1" applyAlignment="1">
      <alignment horizontal="center"/>
    </xf>
    <xf numFmtId="0" fontId="54" fillId="11" borderId="87" xfId="0" applyFont="1" applyFill="1" applyBorder="1" applyAlignment="1">
      <alignment horizontal="center"/>
    </xf>
    <xf numFmtId="0" fontId="33" fillId="11" borderId="88" xfId="0" applyFont="1" applyFill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88" xfId="0" applyFont="1" applyFill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65" fillId="3" borderId="89" xfId="0" applyFont="1" applyFill="1" applyBorder="1" applyAlignment="1">
      <alignment horizontal="center" vertical="center" wrapText="1"/>
    </xf>
    <xf numFmtId="0" fontId="65" fillId="3" borderId="19" xfId="0" applyFont="1" applyFill="1" applyBorder="1" applyAlignment="1">
      <alignment horizontal="center"/>
    </xf>
    <xf numFmtId="0" fontId="65" fillId="3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46" fillId="17" borderId="90" xfId="0" applyFont="1" applyFill="1" applyBorder="1" applyAlignment="1">
      <alignment horizontal="center"/>
    </xf>
    <xf numFmtId="0" fontId="46" fillId="17" borderId="17" xfId="0" applyFont="1" applyFill="1" applyBorder="1" applyAlignment="1">
      <alignment horizontal="center"/>
    </xf>
    <xf numFmtId="0" fontId="46" fillId="17" borderId="91" xfId="0" applyFont="1" applyFill="1" applyBorder="1" applyAlignment="1">
      <alignment horizontal="center"/>
    </xf>
    <xf numFmtId="0" fontId="45" fillId="3" borderId="90" xfId="0" applyFont="1" applyFill="1" applyBorder="1" applyAlignment="1">
      <alignment horizontal="center"/>
    </xf>
    <xf numFmtId="0" fontId="45" fillId="3" borderId="17" xfId="0" applyFont="1" applyFill="1" applyBorder="1" applyAlignment="1">
      <alignment horizontal="center"/>
    </xf>
    <xf numFmtId="0" fontId="45" fillId="3" borderId="92" xfId="0" applyFont="1" applyFill="1" applyBorder="1" applyAlignment="1">
      <alignment horizontal="center"/>
    </xf>
    <xf numFmtId="0" fontId="46" fillId="16" borderId="93" xfId="0" applyFont="1" applyFill="1" applyBorder="1" applyAlignment="1">
      <alignment horizontal="center"/>
    </xf>
    <xf numFmtId="0" fontId="46" fillId="16" borderId="17" xfId="0" applyFont="1" applyFill="1" applyBorder="1" applyAlignment="1">
      <alignment horizontal="center"/>
    </xf>
    <xf numFmtId="0" fontId="47" fillId="22" borderId="91" xfId="0" applyFont="1" applyFill="1" applyBorder="1" applyAlignment="1">
      <alignment horizontal="center"/>
    </xf>
    <xf numFmtId="0" fontId="64" fillId="17" borderId="94" xfId="0" applyFont="1" applyFill="1" applyBorder="1" applyAlignment="1">
      <alignment horizontal="center" vertical="center" wrapText="1"/>
    </xf>
    <xf numFmtId="0" fontId="64" fillId="17" borderId="95" xfId="0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center" vertical="center" wrapText="1"/>
    </xf>
    <xf numFmtId="0" fontId="40" fillId="17" borderId="54" xfId="0" applyFont="1" applyFill="1" applyBorder="1" applyAlignment="1">
      <alignment horizontal="center" vertical="center" wrapText="1"/>
    </xf>
    <xf numFmtId="0" fontId="55" fillId="3" borderId="5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64" fillId="3" borderId="96" xfId="0" applyFont="1" applyFill="1" applyBorder="1" applyAlignment="1">
      <alignment horizontal="center" vertical="center" wrapText="1"/>
    </xf>
    <xf numFmtId="0" fontId="64" fillId="3" borderId="97" xfId="0" applyFont="1" applyFill="1" applyBorder="1" applyAlignment="1">
      <alignment horizontal="center" vertical="center" wrapText="1"/>
    </xf>
    <xf numFmtId="0" fontId="55" fillId="16" borderId="6" xfId="0" applyFont="1" applyFill="1" applyBorder="1" applyAlignment="1">
      <alignment horizontal="center" vertical="center" wrapText="1"/>
    </xf>
    <xf numFmtId="0" fontId="55" fillId="16" borderId="0" xfId="0" applyFont="1" applyFill="1" applyBorder="1" applyAlignment="1">
      <alignment horizontal="center" vertical="center" wrapText="1"/>
    </xf>
    <xf numFmtId="0" fontId="64" fillId="16" borderId="94" xfId="0" applyFont="1" applyFill="1" applyBorder="1" applyAlignment="1">
      <alignment horizontal="center" vertical="center" wrapText="1"/>
    </xf>
    <xf numFmtId="0" fontId="64" fillId="16" borderId="95" xfId="0" applyFont="1" applyFill="1" applyBorder="1" applyAlignment="1">
      <alignment horizontal="center" vertical="center" wrapText="1"/>
    </xf>
    <xf numFmtId="0" fontId="40" fillId="16" borderId="0" xfId="0" applyFont="1" applyFill="1" applyBorder="1" applyAlignment="1">
      <alignment horizontal="center" vertical="center" wrapText="1"/>
    </xf>
    <xf numFmtId="0" fontId="40" fillId="16" borderId="54" xfId="0" applyFont="1" applyFill="1" applyBorder="1" applyAlignment="1">
      <alignment horizontal="center" vertical="center" wrapText="1"/>
    </xf>
    <xf numFmtId="0" fontId="55" fillId="17" borderId="53" xfId="0" applyFont="1" applyFill="1" applyBorder="1" applyAlignment="1">
      <alignment horizontal="center" vertical="center" wrapText="1"/>
    </xf>
    <xf numFmtId="0" fontId="55" fillId="17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65"/>
          <c:y val="0.0385"/>
          <c:w val="0.86625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'Príloha 1'!$C$6:$C$7</c:f>
              <c:strCache>
                <c:ptCount val="1"/>
                <c:pt idx="0">
                  <c:v>Rok 2006 počet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('Príloha 1'!$B$8:$B$9,'Príloha 1'!$B$11)</c:f>
              <c:strCache/>
            </c:strRef>
          </c:cat>
          <c:val>
            <c:numRef>
              <c:f>('Príloha 1'!$C$8:$C$9,'Príloha 1'!$C$11)</c:f>
              <c:numCache/>
            </c:numRef>
          </c:val>
          <c:shape val="cylinder"/>
        </c:ser>
        <c:ser>
          <c:idx val="1"/>
          <c:order val="1"/>
          <c:tx>
            <c:strRef>
              <c:f>'Príloha 1'!$E$6:$E$7</c:f>
              <c:strCache>
                <c:ptCount val="1"/>
                <c:pt idx="0">
                  <c:v>Neukončené z r.2005 počet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('Príloha 1'!$B$8:$B$9,'Príloha 1'!$B$11)</c:f>
              <c:strCache/>
            </c:strRef>
          </c:cat>
          <c:val>
            <c:numRef>
              <c:f>('Príloha 1'!$E$8:$E$9,'Príloha 1'!$E$11)</c:f>
              <c:numCache/>
            </c:numRef>
          </c:val>
          <c:shape val="cylinder"/>
        </c:ser>
        <c:ser>
          <c:idx val="2"/>
          <c:order val="2"/>
          <c:tx>
            <c:strRef>
              <c:f>'Príloha 1'!$G$6:$G$7</c:f>
              <c:strCache>
                <c:ptCount val="1"/>
                <c:pt idx="0">
                  <c:v>R.2006+ z r.2005 počet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('Príloha 1'!$B$8:$B$9,'Príloha 1'!$B$11)</c:f>
              <c:strCache/>
            </c:strRef>
          </c:cat>
          <c:val>
            <c:numRef>
              <c:f>('Príloha 1'!$G$8:$G$9,'Príloha 1'!$G$11)</c:f>
              <c:numCache/>
            </c:numRef>
          </c:val>
          <c:shape val="cylinder"/>
        </c:ser>
        <c:gapDepth val="0"/>
        <c:shape val="cylinder"/>
        <c:axId val="9116723"/>
        <c:axId val="14941644"/>
      </c:bar3D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116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173"/>
          <c:w val="0.13775"/>
          <c:h val="0.64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Vyhodnotenie podaní (sťažnosti, podnety, petície) za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19"/>
          <c:w val="0.752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5!$C$5</c:f>
              <c:strCache>
                <c:ptCount val="1"/>
                <c:pt idx="0">
                  <c:v>Zdravotné poistenie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5!$B$6:$B$13</c:f>
              <c:strCache/>
            </c:strRef>
          </c:cat>
          <c:val>
            <c:numRef>
              <c:f>5!$C$6:$C$13</c:f>
              <c:numCache/>
            </c:numRef>
          </c:val>
          <c:shape val="cylinder"/>
        </c:ser>
        <c:ser>
          <c:idx val="1"/>
          <c:order val="1"/>
          <c:tx>
            <c:strRef>
              <c:f>5!$E$5</c:f>
              <c:strCache>
                <c:ptCount val="1"/>
                <c:pt idx="0">
                  <c:v>Zdravotná starostlivosť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5!$B$6:$B$13</c:f>
              <c:strCache/>
            </c:strRef>
          </c:cat>
          <c:val>
            <c:numRef>
              <c:f>5!$E$6:$E$13</c:f>
              <c:numCache/>
            </c:numRef>
          </c:val>
          <c:shape val="cylinder"/>
        </c:ser>
        <c:ser>
          <c:idx val="2"/>
          <c:order val="2"/>
          <c:tx>
            <c:strRef>
              <c:f>5!$G$5</c:f>
              <c:strCache>
                <c:ptCount val="1"/>
                <c:pt idx="0">
                  <c:v>Nákup zdravotnej starostlivosti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5!$B$6:$B$13</c:f>
              <c:strCache/>
            </c:strRef>
          </c:cat>
          <c:val>
            <c:numRef>
              <c:f>5!$G$6:$G$13</c:f>
              <c:numCache/>
            </c:numRef>
          </c:val>
          <c:shape val="cylinder"/>
        </c:ser>
        <c:shape val="box"/>
        <c:axId val="50534619"/>
        <c:axId val="52158388"/>
      </c:bar3D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12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1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26825"/>
          <c:w val="0.1465"/>
          <c:h val="0.38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Podania jednotlivých útvarov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8475"/>
          <c:w val="0.876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6!$B$13</c:f>
              <c:strCache>
                <c:ptCount val="1"/>
                <c:pt idx="0">
                  <c:v>% podiel z celku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6!$C$6:$M$6</c:f>
              <c:strCache/>
            </c:strRef>
          </c:cat>
          <c:val>
            <c:numRef>
              <c:f>6!$C$13:$M$13</c:f>
              <c:numCache/>
            </c:numRef>
          </c:val>
          <c:shape val="box"/>
        </c:ser>
        <c:gapWidth val="250"/>
        <c:shape val="box"/>
        <c:axId val="66772309"/>
        <c:axId val="64079870"/>
      </c:bar3DChart>
      <c:catAx>
        <c:axId val="667723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4275"/>
          <c:w val="0.0925"/>
          <c:h val="0.15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(ne)opodstatnenosti za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44"/>
          <c:w val="0.946"/>
          <c:h val="0.82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7!$B$17</c:f>
              <c:strCache>
                <c:ptCount val="1"/>
                <c:pt idx="0">
                  <c:v>Opodstatnené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3"/>
            <c:invertIfNegative val="0"/>
            <c:spPr>
              <a:pattFill prst="wdUpDiag">
                <a:fgClr>
                  <a:srgbClr val="99CC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ZP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ZS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CELKOM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7!$C$16:$F$16</c:f>
              <c:strCache/>
            </c:strRef>
          </c:cat>
          <c:val>
            <c:numRef>
              <c:f>7!$C$17:$F$17</c:f>
              <c:numCache/>
            </c:numRef>
          </c:val>
          <c:shape val="box"/>
        </c:ser>
        <c:ser>
          <c:idx val="1"/>
          <c:order val="1"/>
          <c:tx>
            <c:strRef>
              <c:f>7!$B$18</c:f>
              <c:strCache>
                <c:ptCount val="1"/>
                <c:pt idx="0">
                  <c:v>Neopodstatnené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wdUpDiag">
                <a:fgClr>
                  <a:srgbClr val="FFCC99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ZP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ZS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CELKOM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7!$C$16:$F$16</c:f>
              <c:strCache/>
            </c:strRef>
          </c:cat>
          <c:val>
            <c:numRef>
              <c:f>7!$C$18:$F$18</c:f>
              <c:numCache/>
            </c:numRef>
          </c:val>
          <c:shape val="box"/>
        </c:ser>
        <c:shape val="box"/>
        <c:axId val="39847919"/>
        <c:axId val="23086952"/>
        <c:axId val="6455977"/>
      </c:bar3D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39847919"/>
        <c:crossesAt val="1"/>
        <c:crossBetween val="between"/>
        <c:dispUnits/>
      </c:valAx>
      <c:serAx>
        <c:axId val="6455977"/>
        <c:scaling>
          <c:orientation val="minMax"/>
        </c:scaling>
        <c:axPos val="b"/>
        <c:delete val="1"/>
        <c:majorTickMark val="out"/>
        <c:minorTickMark val="none"/>
        <c:tickLblPos val="low"/>
        <c:crossAx val="23086952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% (ne)opodstatnenosti podľa jednotlivých sekcií a pobočiek za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975"/>
          <c:w val="1"/>
          <c:h val="0.8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8!$B$14</c:f>
              <c:strCache>
                <c:ptCount val="1"/>
                <c:pt idx="0">
                  <c:v>Opodstatnené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8!$C$13:$M$13</c:f>
              <c:strCache/>
            </c:strRef>
          </c:cat>
          <c:val>
            <c:numRef>
              <c:f>8!$C$14:$M$14</c:f>
              <c:numCache/>
            </c:numRef>
          </c:val>
          <c:shape val="box"/>
        </c:ser>
        <c:ser>
          <c:idx val="1"/>
          <c:order val="1"/>
          <c:tx>
            <c:strRef>
              <c:f>8!$B$15</c:f>
              <c:strCache>
                <c:ptCount val="1"/>
                <c:pt idx="0">
                  <c:v>Neopodstatnené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8!$C$13:$M$13</c:f>
              <c:strCache/>
            </c:strRef>
          </c:cat>
          <c:val>
            <c:numRef>
              <c:f>8!$C$15:$M$15</c:f>
              <c:numCache/>
            </c:numRef>
          </c:val>
          <c:shape val="box"/>
        </c:ser>
        <c:shape val="box"/>
        <c:axId val="58103794"/>
        <c:axId val="53172099"/>
      </c:bar3DChart>
      <c:catAx>
        <c:axId val="58103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1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PODANIA - členenie podľa druhu za </a:t>
            </a:r>
            <a:r>
              <a:rPr lang="en-US" cap="none" sz="1025" b="1" i="0" u="sng" baseline="0">
                <a:latin typeface="Arial"/>
                <a:ea typeface="Arial"/>
                <a:cs typeface="Arial"/>
              </a:rPr>
              <a:t>rok 2006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CCFF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2a!$B$5:$B$7</c:f>
              <c:strCache/>
            </c:strRef>
          </c:cat>
          <c:val>
            <c:numRef>
              <c:f>2a!$C$5:$C$7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PODANIA - členenie podľa druhu                                  
    za </a:t>
            </a:r>
            <a:r>
              <a:rPr lang="en-US" cap="none" sz="1025" b="1" i="0" u="sng" baseline="0">
                <a:latin typeface="Arial"/>
                <a:ea typeface="Arial"/>
                <a:cs typeface="Arial"/>
              </a:rPr>
              <a:t>neukončené z r.2005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99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2a!$B$5:$B$7</c:f>
              <c:strCache/>
            </c:strRef>
          </c:cat>
          <c:val>
            <c:numRef>
              <c:f>2a!$D$5:$D$7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PODANIA - členenie podľa druhu za </a:t>
            </a:r>
            <a:r>
              <a:rPr lang="en-US" cap="none" sz="1100" b="1" i="0" u="sng" baseline="0">
                <a:latin typeface="Arial"/>
                <a:ea typeface="Arial"/>
                <a:cs typeface="Arial"/>
              </a:rPr>
              <a:t>rok 2006 + z r.2005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8775"/>
          <c:w val="0.57775"/>
          <c:h val="0.62725"/>
        </c:manualLayout>
      </c:layout>
      <c:doughnutChart>
        <c:varyColors val="1"/>
        <c:ser>
          <c:idx val="0"/>
          <c:order val="0"/>
          <c:spPr>
            <a:solidFill>
              <a:srgbClr val="99CC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2a!$B$5:$B$7</c:f>
              <c:strCache/>
            </c:strRef>
          </c:cat>
          <c:val>
            <c:numRef>
              <c:f>2a!$E$5:$E$7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36425"/>
          <c:w val="0.32875"/>
          <c:h val="0.41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PODANIA - rok 2005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CCFF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2b!$B$7:$B$9</c:f>
              <c:strCache/>
            </c:strRef>
          </c:cat>
          <c:val>
            <c:numRef>
              <c:f>2b!$C$7:$C$9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PODANIA - rok 2006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99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2b!$B$7:$B$9</c:f>
              <c:strCache/>
            </c:strRef>
          </c:cat>
          <c:val>
            <c:numRef>
              <c:f>2b!$D$7:$D$9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podaní v porovnaní s rokom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4275"/>
          <c:w val="0.8735"/>
          <c:h val="0.8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3!$B$9</c:f>
              <c:strCache>
                <c:ptCount val="1"/>
                <c:pt idx="0">
                  <c:v>Sťažnosti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pattFill prst="smGrid">
                <a:fgClr>
                  <a:srgbClr val="FF8080"/>
                </a:fgClr>
                <a:bgClr>
                  <a:srgbClr val="000000"/>
                </a:bgClr>
              </a:pattFill>
            </c:spPr>
          </c:dPt>
          <c:cat>
            <c:strRef>
              <c:f>(3!$C$7:$C$8,3!$E$7:$E$8,3!$G$7:$G$8)</c:f>
              <c:strCache/>
            </c:strRef>
          </c:cat>
          <c:val>
            <c:numRef>
              <c:f>(3!$C$9,3!$E$9,3!$G$9)</c:f>
              <c:numCache/>
            </c:numRef>
          </c:val>
          <c:shape val="pyramid"/>
        </c:ser>
        <c:ser>
          <c:idx val="2"/>
          <c:order val="1"/>
          <c:tx>
            <c:strRef>
              <c:f>3!$B$10</c:f>
              <c:strCache>
                <c:ptCount val="1"/>
                <c:pt idx="0">
                  <c:v>Podnety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smGrid">
                <a:fgClr>
                  <a:srgbClr val="0066CC"/>
                </a:fgClr>
                <a:bgClr>
                  <a:srgbClr val="000000"/>
                </a:bgClr>
              </a:pattFill>
            </c:spPr>
          </c:dPt>
          <c:cat>
            <c:strRef>
              <c:f>(3!$C$7:$C$8,3!$E$7:$E$8,3!$G$7:$G$8)</c:f>
              <c:strCache/>
            </c:strRef>
          </c:cat>
          <c:val>
            <c:numRef>
              <c:f>(3!$C$10,3!$E$10,3!$G$10)</c:f>
              <c:numCache/>
            </c:numRef>
          </c:val>
          <c:shape val="pyramid"/>
        </c:ser>
        <c:ser>
          <c:idx val="4"/>
          <c:order val="2"/>
          <c:tx>
            <c:strRef>
              <c:f>3!$B$11</c:f>
              <c:strCache>
                <c:ptCount val="1"/>
                <c:pt idx="0">
                  <c:v>Petície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(3!$C$7:$C$8,3!$E$7:$E$8,3!$G$7:$G$8)</c:f>
              <c:strCache/>
            </c:strRef>
          </c:cat>
          <c:val>
            <c:numRef>
              <c:f>(3!$C$11,3!$E$11,3!$G$11)</c:f>
              <c:numCache/>
            </c:numRef>
          </c:val>
          <c:shape val="pyramid"/>
        </c:ser>
        <c:shape val="pyramid"/>
        <c:axId val="257069"/>
        <c:axId val="2313622"/>
      </c:bar3DChart>
      <c:catAx>
        <c:axId val="2570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7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32125"/>
          <c:w val="0.141"/>
          <c:h val="0.40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Porovnanie roku 2006 s rokom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000000"/>
                </a:fgClr>
                <a:bgClr>
                  <a:srgbClr val="0066CC"/>
                </a:bgClr>
              </a:pattFill>
            </c:spPr>
          </c:dP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3!#REF!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000000"/>
                </a:fgClr>
                <a:bgClr>
                  <a:srgbClr val="FFFF99"/>
                </a:bgClr>
              </a:pattFill>
            </c:spPr>
          </c:dP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0822599"/>
        <c:axId val="53185664"/>
      </c:bar3DChart>
      <c:catAx>
        <c:axId val="2082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82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Prehľad podaní za rok 2006 podľa jednotlivých mesiacov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4!$A$7</c:f>
              <c:strCache>
                <c:ptCount val="1"/>
                <c:pt idx="0">
                  <c:v>Sťažnosti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4!$B$6:$N$6</c:f>
              <c:strCache/>
            </c:strRef>
          </c:cat>
          <c:val>
            <c:numRef>
              <c:f>4!$B$7:$N$7</c:f>
              <c:numCache/>
            </c:numRef>
          </c:val>
          <c:shape val="box"/>
        </c:ser>
        <c:ser>
          <c:idx val="1"/>
          <c:order val="1"/>
          <c:tx>
            <c:strRef>
              <c:f>4!$A$8</c:f>
              <c:strCache>
                <c:ptCount val="1"/>
                <c:pt idx="0">
                  <c:v>Podnety</c:v>
                </c:pt>
              </c:strCache>
            </c:strRef>
          </c:tx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4!$B$6:$N$6</c:f>
              <c:strCache/>
            </c:strRef>
          </c:cat>
          <c:val>
            <c:numRef>
              <c:f>4!$B$8:$N$8</c:f>
              <c:numCache/>
            </c:numRef>
          </c:val>
          <c:shape val="box"/>
        </c:ser>
        <c:shape val="box"/>
        <c:axId val="8908929"/>
        <c:axId val="13071498"/>
      </c:bar3D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1" u="none" baseline="0">
                <a:latin typeface="Arial"/>
                <a:ea typeface="Arial"/>
                <a:cs typeface="Arial"/>
              </a:defRPr>
            </a:pPr>
          </a:p>
        </c:txPr>
        <c:crossAx val="8908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0.3615</cdr:y>
    </cdr:from>
    <cdr:to>
      <cdr:x>0.51525</cdr:x>
      <cdr:y>0.4345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923925"/>
          <a:ext cx="371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0.5</cdr:y>
    </cdr:from>
    <cdr:to>
      <cdr:x>0.549</cdr:x>
      <cdr:y>0.573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12763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142875</xdr:rowOff>
    </xdr:from>
    <xdr:to>
      <xdr:col>13</xdr:col>
      <xdr:colOff>361950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942975" y="3067050"/>
        <a:ext cx="7134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19050</xdr:rowOff>
    </xdr:from>
    <xdr:to>
      <xdr:col>8</xdr:col>
      <xdr:colOff>19050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80975" y="2657475"/>
        <a:ext cx="58293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28575</xdr:rowOff>
    </xdr:from>
    <xdr:to>
      <xdr:col>2</xdr:col>
      <xdr:colOff>495300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257175" y="1724025"/>
        <a:ext cx="4333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657225</xdr:colOff>
      <xdr:row>9</xdr:row>
      <xdr:rowOff>28575</xdr:rowOff>
    </xdr:from>
    <xdr:to>
      <xdr:col>5</xdr:col>
      <xdr:colOff>1866900</xdr:colOff>
      <xdr:row>23</xdr:row>
      <xdr:rowOff>142875</xdr:rowOff>
    </xdr:to>
    <xdr:graphicFrame>
      <xdr:nvGraphicFramePr>
        <xdr:cNvPr id="2" name="Chart 4"/>
        <xdr:cNvGraphicFramePr/>
      </xdr:nvGraphicFramePr>
      <xdr:xfrm>
        <a:off x="4752975" y="1724025"/>
        <a:ext cx="41719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1228725</xdr:colOff>
      <xdr:row>24</xdr:row>
      <xdr:rowOff>142875</xdr:rowOff>
    </xdr:from>
    <xdr:to>
      <xdr:col>4</xdr:col>
      <xdr:colOff>1038225</xdr:colOff>
      <xdr:row>39</xdr:row>
      <xdr:rowOff>152400</xdr:rowOff>
    </xdr:to>
    <xdr:graphicFrame>
      <xdr:nvGraphicFramePr>
        <xdr:cNvPr id="3" name="Chart 5"/>
        <xdr:cNvGraphicFramePr/>
      </xdr:nvGraphicFramePr>
      <xdr:xfrm>
        <a:off x="1228725" y="4267200"/>
        <a:ext cx="5734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2</xdr:col>
      <xdr:colOff>495300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57175" y="2066925"/>
        <a:ext cx="4333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657225</xdr:colOff>
      <xdr:row>12</xdr:row>
      <xdr:rowOff>28575</xdr:rowOff>
    </xdr:from>
    <xdr:to>
      <xdr:col>5</xdr:col>
      <xdr:colOff>1866900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4752975" y="2066925"/>
        <a:ext cx="41719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19050</xdr:rowOff>
    </xdr:from>
    <xdr:to>
      <xdr:col>8</xdr:col>
      <xdr:colOff>438150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152400" y="2419350"/>
        <a:ext cx="59626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6257925" y="369570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28575</xdr:rowOff>
    </xdr:from>
    <xdr:to>
      <xdr:col>16</xdr:col>
      <xdr:colOff>723900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342900" y="2238375"/>
        <a:ext cx="8724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76200</xdr:rowOff>
    </xdr:from>
    <xdr:to>
      <xdr:col>11</xdr:col>
      <xdr:colOff>1400175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495300" y="2676525"/>
        <a:ext cx="8086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11</xdr:col>
      <xdr:colOff>381000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66725" y="3133725"/>
        <a:ext cx="7086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21</xdr:row>
      <xdr:rowOff>9525</xdr:rowOff>
    </xdr:from>
    <xdr:to>
      <xdr:col>6</xdr:col>
      <xdr:colOff>342900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152400" y="3886200"/>
        <a:ext cx="5905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K26" sqref="K26"/>
    </sheetView>
  </sheetViews>
  <sheetFormatPr defaultColWidth="9.140625" defaultRowHeight="12.75"/>
  <cols>
    <col min="1" max="1" width="2.7109375" style="0" customWidth="1"/>
    <col min="2" max="2" width="34.8515625" style="0" customWidth="1"/>
    <col min="3" max="3" width="10.7109375" style="0" customWidth="1"/>
    <col min="4" max="4" width="6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6.7109375" style="0" customWidth="1"/>
    <col min="9" max="9" width="2.7109375" style="0" customWidth="1"/>
    <col min="10" max="10" width="18.140625" style="0" customWidth="1"/>
  </cols>
  <sheetData>
    <row r="1" ht="12.75">
      <c r="I1" s="92" t="s">
        <v>73</v>
      </c>
    </row>
    <row r="3" spans="1:10" s="7" customFormat="1" ht="18">
      <c r="A3" s="287" t="s">
        <v>79</v>
      </c>
      <c r="B3" s="288"/>
      <c r="C3" s="288"/>
      <c r="D3" s="288"/>
      <c r="E3" s="288"/>
      <c r="F3" s="288"/>
      <c r="G3" s="288"/>
      <c r="H3" s="288"/>
      <c r="I3" s="288"/>
      <c r="J3" s="8"/>
    </row>
    <row r="5" ht="13.5" thickBot="1"/>
    <row r="6" spans="2:8" ht="21" customHeight="1" thickBot="1" thickTop="1">
      <c r="B6" s="99"/>
      <c r="C6" s="289" t="s">
        <v>83</v>
      </c>
      <c r="D6" s="289"/>
      <c r="E6" s="289" t="s">
        <v>95</v>
      </c>
      <c r="F6" s="289"/>
      <c r="G6" s="290" t="s">
        <v>94</v>
      </c>
      <c r="H6" s="291"/>
    </row>
    <row r="7" spans="2:8" s="9" customFormat="1" ht="12.75" thickBot="1" thickTop="1">
      <c r="B7" s="101"/>
      <c r="C7" s="102" t="s">
        <v>63</v>
      </c>
      <c r="D7" s="102" t="s">
        <v>64</v>
      </c>
      <c r="E7" s="102" t="s">
        <v>74</v>
      </c>
      <c r="F7" s="102" t="s">
        <v>64</v>
      </c>
      <c r="G7" s="103" t="s">
        <v>63</v>
      </c>
      <c r="H7" s="104" t="s">
        <v>64</v>
      </c>
    </row>
    <row r="8" spans="2:8" ht="13.5" thickTop="1">
      <c r="B8" s="144" t="s">
        <v>19</v>
      </c>
      <c r="C8" s="93">
        <v>17</v>
      </c>
      <c r="D8" s="94">
        <f>C8/3218*100</f>
        <v>0.5282784338098198</v>
      </c>
      <c r="E8" s="93">
        <v>19</v>
      </c>
      <c r="F8" s="94">
        <f>E8/226*100</f>
        <v>8.4070796460177</v>
      </c>
      <c r="G8" s="93">
        <f>C8+E8</f>
        <v>36</v>
      </c>
      <c r="H8" s="96">
        <f>G8/3444*100</f>
        <v>1.0452961672473868</v>
      </c>
    </row>
    <row r="9" spans="2:8" ht="12.75">
      <c r="B9" s="144" t="s">
        <v>20</v>
      </c>
      <c r="C9" s="93">
        <v>2803</v>
      </c>
      <c r="D9" s="94">
        <f>C9/3218*100</f>
        <v>87.10379117464264</v>
      </c>
      <c r="E9" s="93">
        <v>193</v>
      </c>
      <c r="F9" s="98">
        <f>E9/226*100</f>
        <v>85.39823008849558</v>
      </c>
      <c r="G9" s="93">
        <f>C9+E9</f>
        <v>2996</v>
      </c>
      <c r="H9" s="96">
        <f>G9/3444*100</f>
        <v>86.99186991869918</v>
      </c>
    </row>
    <row r="10" spans="2:8" ht="12.75">
      <c r="B10" s="140" t="s">
        <v>76</v>
      </c>
      <c r="C10" s="145">
        <f>SUM(C8:C9)</f>
        <v>2820</v>
      </c>
      <c r="D10" s="141">
        <f>C10/3218*100</f>
        <v>87.63206960845245</v>
      </c>
      <c r="E10" s="145">
        <f>SUM(E8:E9)</f>
        <v>212</v>
      </c>
      <c r="F10" s="142">
        <f>E10/226*100</f>
        <v>93.80530973451327</v>
      </c>
      <c r="G10" s="145">
        <f>C10+E10</f>
        <v>3032</v>
      </c>
      <c r="H10" s="143">
        <f>G10/3444*100</f>
        <v>88.03716608594657</v>
      </c>
    </row>
    <row r="11" spans="2:8" ht="12.75">
      <c r="B11" s="12" t="s">
        <v>21</v>
      </c>
      <c r="C11" s="93">
        <v>398</v>
      </c>
      <c r="D11" s="94">
        <f>C11/3218*100</f>
        <v>12.367930391547546</v>
      </c>
      <c r="E11" s="93">
        <v>14</v>
      </c>
      <c r="F11" s="94">
        <f>E11/226*100</f>
        <v>6.1946902654867255</v>
      </c>
      <c r="G11" s="93">
        <f>C11+E11</f>
        <v>412</v>
      </c>
      <c r="H11" s="96">
        <f>G11/3444*100</f>
        <v>11.962833914053427</v>
      </c>
    </row>
    <row r="12" spans="2:8" ht="13.5" thickBot="1">
      <c r="B12" s="10" t="s">
        <v>104</v>
      </c>
      <c r="C12" s="11">
        <f>SUM(C10:C11)</f>
        <v>3218</v>
      </c>
      <c r="D12" s="95">
        <f>C12/3218*100</f>
        <v>100</v>
      </c>
      <c r="E12" s="11">
        <f>SUM(E10:E11)</f>
        <v>226</v>
      </c>
      <c r="F12" s="95">
        <f>E12/226*100</f>
        <v>100</v>
      </c>
      <c r="G12" s="11">
        <f>C12+E12</f>
        <v>3444</v>
      </c>
      <c r="H12" s="97">
        <f>G12/3444*100</f>
        <v>100</v>
      </c>
    </row>
    <row r="13" ht="13.5" thickTop="1"/>
    <row r="14" spans="3:7" ht="12.75">
      <c r="C14" s="100"/>
      <c r="E14" s="100"/>
      <c r="G14" s="100"/>
    </row>
    <row r="35" ht="13.5" thickBot="1">
      <c r="B35" s="187" t="s">
        <v>97</v>
      </c>
    </row>
    <row r="36" spans="2:8" ht="12.75">
      <c r="B36" s="285"/>
      <c r="C36" s="282" t="s">
        <v>83</v>
      </c>
      <c r="D36" s="282"/>
      <c r="E36" s="282" t="s">
        <v>95</v>
      </c>
      <c r="F36" s="282"/>
      <c r="G36" s="283" t="s">
        <v>94</v>
      </c>
      <c r="H36" s="284"/>
    </row>
    <row r="37" spans="2:8" ht="13.5" thickBot="1">
      <c r="B37" s="286"/>
      <c r="C37" s="172" t="s">
        <v>63</v>
      </c>
      <c r="D37" s="172" t="s">
        <v>64</v>
      </c>
      <c r="E37" s="172" t="s">
        <v>74</v>
      </c>
      <c r="F37" s="172" t="s">
        <v>64</v>
      </c>
      <c r="G37" s="173" t="s">
        <v>63</v>
      </c>
      <c r="H37" s="174" t="s">
        <v>64</v>
      </c>
    </row>
    <row r="38" spans="2:8" ht="12.75">
      <c r="B38" s="166" t="s">
        <v>19</v>
      </c>
      <c r="C38" s="93">
        <v>58</v>
      </c>
      <c r="D38" s="94">
        <f>C38/398*100</f>
        <v>14.572864321608039</v>
      </c>
      <c r="E38" s="93">
        <v>4</v>
      </c>
      <c r="F38" s="94">
        <f>E38/14*100</f>
        <v>28.57142857142857</v>
      </c>
      <c r="G38" s="93">
        <f>C38+E38</f>
        <v>62</v>
      </c>
      <c r="H38" s="167">
        <f>G38/412*100</f>
        <v>15.048543689320388</v>
      </c>
    </row>
    <row r="39" spans="2:8" ht="12.75">
      <c r="B39" s="166" t="s">
        <v>20</v>
      </c>
      <c r="C39" s="93">
        <v>339</v>
      </c>
      <c r="D39" s="94">
        <f>C39/398*100</f>
        <v>85.17587939698493</v>
      </c>
      <c r="E39" s="93">
        <v>10</v>
      </c>
      <c r="F39" s="94">
        <f>E39/14*100</f>
        <v>71.42857142857143</v>
      </c>
      <c r="G39" s="93">
        <f>C39+E39</f>
        <v>349</v>
      </c>
      <c r="H39" s="167">
        <f>G39/412*100</f>
        <v>84.70873786407766</v>
      </c>
    </row>
    <row r="40" spans="2:8" ht="12.75">
      <c r="B40" s="166" t="s">
        <v>81</v>
      </c>
      <c r="C40" s="93">
        <v>1</v>
      </c>
      <c r="D40" s="94">
        <f>C40/398*100</f>
        <v>0.25125628140703515</v>
      </c>
      <c r="E40" s="93"/>
      <c r="F40" s="94"/>
      <c r="G40" s="93">
        <f>C40+E40</f>
        <v>1</v>
      </c>
      <c r="H40" s="167">
        <f>G40/412*100</f>
        <v>0.24271844660194172</v>
      </c>
    </row>
    <row r="41" spans="2:8" ht="13.5" thickBot="1">
      <c r="B41" s="168" t="s">
        <v>96</v>
      </c>
      <c r="C41" s="169">
        <f>SUM(C38:C40)</f>
        <v>398</v>
      </c>
      <c r="D41" s="170">
        <f>C41/398*100</f>
        <v>100</v>
      </c>
      <c r="E41" s="169">
        <f>SUM(E38:E40)</f>
        <v>14</v>
      </c>
      <c r="F41" s="170">
        <f>E41/14*100</f>
        <v>100</v>
      </c>
      <c r="G41" s="169">
        <f>SUM(G38:G40)</f>
        <v>412</v>
      </c>
      <c r="H41" s="171">
        <f>G41/412*100</f>
        <v>100</v>
      </c>
    </row>
    <row r="47" ht="12.75">
      <c r="B47" t="s">
        <v>82</v>
      </c>
    </row>
    <row r="48" ht="12.75">
      <c r="B48" t="s">
        <v>62</v>
      </c>
    </row>
  </sheetData>
  <mergeCells count="8">
    <mergeCell ref="A3:I3"/>
    <mergeCell ref="C6:D6"/>
    <mergeCell ref="E6:F6"/>
    <mergeCell ref="G6:H6"/>
    <mergeCell ref="C36:D36"/>
    <mergeCell ref="E36:F36"/>
    <mergeCell ref="G36:H36"/>
    <mergeCell ref="B36:B3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workbookViewId="0" topLeftCell="A4">
      <selection activeCell="A39" sqref="A39"/>
    </sheetView>
  </sheetViews>
  <sheetFormatPr defaultColWidth="9.140625" defaultRowHeight="12.75"/>
  <cols>
    <col min="1" max="1" width="39.00390625" style="1" customWidth="1"/>
    <col min="2" max="2" width="6.7109375" style="75" customWidth="1"/>
    <col min="3" max="3" width="5.57421875" style="76" customWidth="1"/>
    <col min="4" max="4" width="6.7109375" style="75" customWidth="1"/>
    <col min="5" max="5" width="5.57421875" style="76" customWidth="1"/>
    <col min="6" max="6" width="6.7109375" style="75" customWidth="1"/>
    <col min="7" max="7" width="5.57421875" style="76" customWidth="1"/>
    <col min="8" max="8" width="6.7109375" style="75" customWidth="1"/>
    <col min="9" max="9" width="5.57421875" style="76" customWidth="1"/>
    <col min="10" max="10" width="6.7109375" style="75" customWidth="1"/>
    <col min="11" max="11" width="5.57421875" style="76" customWidth="1"/>
    <col min="12" max="12" width="6.7109375" style="75" customWidth="1"/>
    <col min="13" max="13" width="5.57421875" style="76" customWidth="1"/>
    <col min="14" max="14" width="6.8515625" style="75" customWidth="1"/>
    <col min="15" max="15" width="5.57421875" style="76" customWidth="1"/>
    <col min="16" max="16" width="6.8515625" style="75" customWidth="1"/>
    <col min="17" max="17" width="5.57421875" style="76" customWidth="1"/>
    <col min="18" max="18" width="6.8515625" style="75" customWidth="1"/>
    <col min="19" max="19" width="5.421875" style="76" customWidth="1"/>
    <col min="20" max="16384" width="9.140625" style="1" customWidth="1"/>
  </cols>
  <sheetData>
    <row r="1" ht="12.75">
      <c r="S1" s="92" t="s">
        <v>72</v>
      </c>
    </row>
    <row r="3" spans="1:19" s="91" customFormat="1" ht="18" customHeight="1">
      <c r="A3" s="321" t="s">
        <v>92</v>
      </c>
      <c r="B3" s="322"/>
      <c r="C3" s="322"/>
      <c r="D3" s="322"/>
      <c r="E3" s="322"/>
      <c r="F3" s="322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19" ht="12.75" customHeight="1">
      <c r="A4" s="73"/>
      <c r="B4" s="73"/>
      <c r="C4" s="81"/>
      <c r="D4" s="73"/>
      <c r="E4" s="81"/>
      <c r="F4" s="73"/>
      <c r="G4" s="81"/>
      <c r="H4" s="73"/>
      <c r="I4" s="81"/>
      <c r="J4" s="73"/>
      <c r="K4" s="81"/>
      <c r="L4" s="73"/>
      <c r="M4" s="81"/>
      <c r="N4" s="73"/>
      <c r="O4" s="81"/>
      <c r="P4" s="73"/>
      <c r="Q4" s="81"/>
      <c r="R4" s="73"/>
      <c r="S4" s="81"/>
    </row>
    <row r="5" spans="1:19" ht="12.75" customHeight="1" thickBot="1">
      <c r="A5" s="73"/>
      <c r="B5" s="73"/>
      <c r="C5" s="81"/>
      <c r="D5" s="73"/>
      <c r="E5" s="81"/>
      <c r="F5" s="73"/>
      <c r="G5" s="81"/>
      <c r="H5" s="73"/>
      <c r="I5" s="81"/>
      <c r="J5" s="73"/>
      <c r="K5" s="81"/>
      <c r="L5" s="73"/>
      <c r="M5" s="81"/>
      <c r="N5" s="73"/>
      <c r="O5" s="81"/>
      <c r="P5" s="73"/>
      <c r="Q5" s="81"/>
      <c r="R5" s="73"/>
      <c r="S5" s="81"/>
    </row>
    <row r="6" spans="1:19" ht="16.5" thickBot="1" thickTop="1">
      <c r="A6" s="318" t="s">
        <v>91</v>
      </c>
      <c r="B6" s="331" t="s">
        <v>65</v>
      </c>
      <c r="C6" s="332"/>
      <c r="D6" s="332"/>
      <c r="E6" s="332"/>
      <c r="F6" s="332"/>
      <c r="G6" s="333"/>
      <c r="H6" s="325" t="s">
        <v>66</v>
      </c>
      <c r="I6" s="326"/>
      <c r="J6" s="326"/>
      <c r="K6" s="326"/>
      <c r="L6" s="326"/>
      <c r="M6" s="327"/>
      <c r="N6" s="328" t="s">
        <v>3</v>
      </c>
      <c r="O6" s="329"/>
      <c r="P6" s="329"/>
      <c r="Q6" s="329"/>
      <c r="R6" s="329"/>
      <c r="S6" s="330"/>
    </row>
    <row r="7" spans="1:19" s="9" customFormat="1" ht="45.75" customHeight="1" thickTop="1">
      <c r="A7" s="319"/>
      <c r="B7" s="342" t="s">
        <v>78</v>
      </c>
      <c r="C7" s="343"/>
      <c r="D7" s="344" t="s">
        <v>83</v>
      </c>
      <c r="E7" s="345"/>
      <c r="F7" s="346" t="s">
        <v>105</v>
      </c>
      <c r="G7" s="347"/>
      <c r="H7" s="348" t="s">
        <v>78</v>
      </c>
      <c r="I7" s="349"/>
      <c r="J7" s="334" t="s">
        <v>83</v>
      </c>
      <c r="K7" s="335"/>
      <c r="L7" s="336" t="s">
        <v>105</v>
      </c>
      <c r="M7" s="337"/>
      <c r="N7" s="338" t="s">
        <v>78</v>
      </c>
      <c r="O7" s="339"/>
      <c r="P7" s="340" t="s">
        <v>83</v>
      </c>
      <c r="Q7" s="341"/>
      <c r="R7" s="323" t="s">
        <v>105</v>
      </c>
      <c r="S7" s="324"/>
    </row>
    <row r="8" spans="1:19" s="80" customFormat="1" ht="11.25">
      <c r="A8" s="320"/>
      <c r="B8" s="190" t="s">
        <v>63</v>
      </c>
      <c r="C8" s="191" t="s">
        <v>64</v>
      </c>
      <c r="D8" s="192" t="s">
        <v>63</v>
      </c>
      <c r="E8" s="193" t="s">
        <v>64</v>
      </c>
      <c r="F8" s="194" t="s">
        <v>63</v>
      </c>
      <c r="G8" s="195" t="s">
        <v>64</v>
      </c>
      <c r="H8" s="196" t="s">
        <v>63</v>
      </c>
      <c r="I8" s="197" t="s">
        <v>64</v>
      </c>
      <c r="J8" s="198" t="s">
        <v>63</v>
      </c>
      <c r="K8" s="199" t="s">
        <v>64</v>
      </c>
      <c r="L8" s="200" t="s">
        <v>63</v>
      </c>
      <c r="M8" s="201" t="s">
        <v>64</v>
      </c>
      <c r="N8" s="131" t="s">
        <v>63</v>
      </c>
      <c r="O8" s="82" t="s">
        <v>64</v>
      </c>
      <c r="P8" s="122" t="s">
        <v>63</v>
      </c>
      <c r="Q8" s="123" t="s">
        <v>64</v>
      </c>
      <c r="R8" s="79" t="s">
        <v>63</v>
      </c>
      <c r="S8" s="87" t="s">
        <v>64</v>
      </c>
    </row>
    <row r="9" spans="1:19" s="74" customFormat="1" ht="12.75">
      <c r="A9" s="128" t="s">
        <v>35</v>
      </c>
      <c r="B9" s="202">
        <v>12</v>
      </c>
      <c r="C9" s="203">
        <f>B9/19*100</f>
        <v>63.1578947368421</v>
      </c>
      <c r="D9" s="204">
        <v>4</v>
      </c>
      <c r="E9" s="205">
        <f>D9/17*100</f>
        <v>23.52941176470588</v>
      </c>
      <c r="F9" s="206">
        <v>16</v>
      </c>
      <c r="G9" s="207">
        <f aca="true" t="shared" si="0" ref="G9:G14">F9/36*100</f>
        <v>44.44444444444444</v>
      </c>
      <c r="H9" s="208">
        <v>95</v>
      </c>
      <c r="I9" s="209">
        <f>H9/193*100</f>
        <v>49.22279792746114</v>
      </c>
      <c r="J9" s="210">
        <v>631</v>
      </c>
      <c r="K9" s="211">
        <f aca="true" t="shared" si="1" ref="K9:K19">J9/2803*100</f>
        <v>22.511594719942916</v>
      </c>
      <c r="L9" s="208">
        <f aca="true" t="shared" si="2" ref="L9:L19">H9+J9</f>
        <v>726</v>
      </c>
      <c r="M9" s="209">
        <f aca="true" t="shared" si="3" ref="M9:M19">L9/2996*100</f>
        <v>24.232309746328436</v>
      </c>
      <c r="N9" s="132">
        <f>B9+H9</f>
        <v>107</v>
      </c>
      <c r="O9" s="83">
        <f>N9/212*100</f>
        <v>50.47169811320755</v>
      </c>
      <c r="P9" s="188">
        <f aca="true" t="shared" si="4" ref="P9:P19">D9+J9</f>
        <v>635</v>
      </c>
      <c r="Q9" s="118">
        <f aca="true" t="shared" si="5" ref="Q9:Q19">P9/2820*100</f>
        <v>22.5177304964539</v>
      </c>
      <c r="R9" s="78">
        <f aca="true" t="shared" si="6" ref="R9:R19">N9+P9</f>
        <v>742</v>
      </c>
      <c r="S9" s="88">
        <f aca="true" t="shared" si="7" ref="S9:S19">R9/3032*100</f>
        <v>24.472295514511874</v>
      </c>
    </row>
    <row r="10" spans="1:19" s="74" customFormat="1" ht="12.75">
      <c r="A10" s="129" t="s">
        <v>36</v>
      </c>
      <c r="B10" s="137">
        <v>1</v>
      </c>
      <c r="C10" s="84">
        <f>B10/19*100</f>
        <v>5.263157894736842</v>
      </c>
      <c r="D10" s="124">
        <v>2</v>
      </c>
      <c r="E10" s="125">
        <f>D10/17*100</f>
        <v>11.76470588235294</v>
      </c>
      <c r="F10" s="77">
        <v>3</v>
      </c>
      <c r="G10" s="134">
        <f t="shared" si="0"/>
        <v>8.333333333333332</v>
      </c>
      <c r="H10" s="77">
        <v>11</v>
      </c>
      <c r="I10" s="84">
        <f>H10/193*100</f>
        <v>5.699481865284974</v>
      </c>
      <c r="J10" s="124">
        <v>88</v>
      </c>
      <c r="K10" s="125">
        <f t="shared" si="1"/>
        <v>3.139493399928648</v>
      </c>
      <c r="L10" s="77">
        <f t="shared" si="2"/>
        <v>99</v>
      </c>
      <c r="M10" s="84">
        <f t="shared" si="3"/>
        <v>3.3044058744993325</v>
      </c>
      <c r="N10" s="133">
        <f>B10+H10</f>
        <v>12</v>
      </c>
      <c r="O10" s="84">
        <f>N10/212*100</f>
        <v>5.660377358490567</v>
      </c>
      <c r="P10" s="189">
        <f t="shared" si="4"/>
        <v>90</v>
      </c>
      <c r="Q10" s="119">
        <f t="shared" si="5"/>
        <v>3.1914893617021276</v>
      </c>
      <c r="R10" s="77">
        <f t="shared" si="6"/>
        <v>102</v>
      </c>
      <c r="S10" s="89">
        <f t="shared" si="7"/>
        <v>3.364116094986808</v>
      </c>
    </row>
    <row r="11" spans="1:19" s="74" customFormat="1" ht="12.75">
      <c r="A11" s="128" t="s">
        <v>37</v>
      </c>
      <c r="B11" s="202">
        <v>3</v>
      </c>
      <c r="C11" s="203">
        <f>B11/19*100</f>
        <v>15.789473684210526</v>
      </c>
      <c r="D11" s="204"/>
      <c r="E11" s="205"/>
      <c r="F11" s="206">
        <v>3</v>
      </c>
      <c r="G11" s="207">
        <f t="shared" si="0"/>
        <v>8.333333333333332</v>
      </c>
      <c r="H11" s="208">
        <v>22</v>
      </c>
      <c r="I11" s="209">
        <f>H11/193*100</f>
        <v>11.398963730569948</v>
      </c>
      <c r="J11" s="210">
        <v>257</v>
      </c>
      <c r="K11" s="211">
        <f t="shared" si="1"/>
        <v>9.168747770246165</v>
      </c>
      <c r="L11" s="208">
        <f t="shared" si="2"/>
        <v>279</v>
      </c>
      <c r="M11" s="209">
        <f t="shared" si="3"/>
        <v>9.31241655540721</v>
      </c>
      <c r="N11" s="132">
        <f>B11+H11</f>
        <v>25</v>
      </c>
      <c r="O11" s="83">
        <f>N11/212*100</f>
        <v>11.79245283018868</v>
      </c>
      <c r="P11" s="188">
        <f t="shared" si="4"/>
        <v>257</v>
      </c>
      <c r="Q11" s="118">
        <f t="shared" si="5"/>
        <v>9.113475177304965</v>
      </c>
      <c r="R11" s="78">
        <f t="shared" si="6"/>
        <v>282</v>
      </c>
      <c r="S11" s="88">
        <f t="shared" si="7"/>
        <v>9.300791556728234</v>
      </c>
    </row>
    <row r="12" spans="1:19" s="74" customFormat="1" ht="12.75">
      <c r="A12" s="129" t="s">
        <v>38</v>
      </c>
      <c r="B12" s="137"/>
      <c r="C12" s="84"/>
      <c r="D12" s="124">
        <v>2</v>
      </c>
      <c r="E12" s="125">
        <f>D12/17*100</f>
        <v>11.76470588235294</v>
      </c>
      <c r="F12" s="77">
        <v>2</v>
      </c>
      <c r="G12" s="134">
        <f t="shared" si="0"/>
        <v>5.555555555555555</v>
      </c>
      <c r="H12" s="77"/>
      <c r="I12" s="84"/>
      <c r="J12" s="124">
        <v>40</v>
      </c>
      <c r="K12" s="125">
        <f t="shared" si="1"/>
        <v>1.4270424545130218</v>
      </c>
      <c r="L12" s="77">
        <f t="shared" si="2"/>
        <v>40</v>
      </c>
      <c r="M12" s="84">
        <f t="shared" si="3"/>
        <v>1.335113484646195</v>
      </c>
      <c r="N12" s="133"/>
      <c r="O12" s="84"/>
      <c r="P12" s="189">
        <f t="shared" si="4"/>
        <v>42</v>
      </c>
      <c r="Q12" s="119">
        <f t="shared" si="5"/>
        <v>1.4893617021276597</v>
      </c>
      <c r="R12" s="77">
        <f t="shared" si="6"/>
        <v>42</v>
      </c>
      <c r="S12" s="89">
        <f t="shared" si="7"/>
        <v>1.3852242744063323</v>
      </c>
    </row>
    <row r="13" spans="1:19" s="74" customFormat="1" ht="12.75">
      <c r="A13" s="128" t="s">
        <v>39</v>
      </c>
      <c r="B13" s="202">
        <v>1</v>
      </c>
      <c r="C13" s="203">
        <f>B13/19*100</f>
        <v>5.263157894736842</v>
      </c>
      <c r="D13" s="204">
        <v>1</v>
      </c>
      <c r="E13" s="205">
        <f>D13/17*100</f>
        <v>5.88235294117647</v>
      </c>
      <c r="F13" s="206">
        <v>2</v>
      </c>
      <c r="G13" s="207">
        <f t="shared" si="0"/>
        <v>5.555555555555555</v>
      </c>
      <c r="H13" s="208">
        <v>18</v>
      </c>
      <c r="I13" s="209">
        <f>H13/193*100</f>
        <v>9.32642487046632</v>
      </c>
      <c r="J13" s="210">
        <v>84</v>
      </c>
      <c r="K13" s="211">
        <f t="shared" si="1"/>
        <v>2.9967891544773457</v>
      </c>
      <c r="L13" s="208">
        <f t="shared" si="2"/>
        <v>102</v>
      </c>
      <c r="M13" s="209">
        <f t="shared" si="3"/>
        <v>3.404539385847797</v>
      </c>
      <c r="N13" s="132">
        <f>B13+H13</f>
        <v>19</v>
      </c>
      <c r="O13" s="83">
        <f>N13/212*100</f>
        <v>8.962264150943396</v>
      </c>
      <c r="P13" s="188">
        <f t="shared" si="4"/>
        <v>85</v>
      </c>
      <c r="Q13" s="118">
        <f t="shared" si="5"/>
        <v>3.0141843971631204</v>
      </c>
      <c r="R13" s="78">
        <f t="shared" si="6"/>
        <v>104</v>
      </c>
      <c r="S13" s="88">
        <f t="shared" si="7"/>
        <v>3.430079155672823</v>
      </c>
    </row>
    <row r="14" spans="1:19" s="74" customFormat="1" ht="12.75">
      <c r="A14" s="129" t="s">
        <v>40</v>
      </c>
      <c r="B14" s="137">
        <v>1</v>
      </c>
      <c r="C14" s="84">
        <f>B14/19*100</f>
        <v>5.263157894736842</v>
      </c>
      <c r="D14" s="124">
        <v>1</v>
      </c>
      <c r="E14" s="125">
        <f>D14/17*100</f>
        <v>5.88235294117647</v>
      </c>
      <c r="F14" s="77">
        <v>2</v>
      </c>
      <c r="G14" s="134">
        <f t="shared" si="0"/>
        <v>5.555555555555555</v>
      </c>
      <c r="H14" s="77">
        <v>3</v>
      </c>
      <c r="I14" s="84">
        <f>H14/193*100</f>
        <v>1.5544041450777202</v>
      </c>
      <c r="J14" s="124">
        <v>14</v>
      </c>
      <c r="K14" s="125">
        <f t="shared" si="1"/>
        <v>0.4994648590795576</v>
      </c>
      <c r="L14" s="77">
        <f t="shared" si="2"/>
        <v>17</v>
      </c>
      <c r="M14" s="84">
        <f t="shared" si="3"/>
        <v>0.5674232309746329</v>
      </c>
      <c r="N14" s="133">
        <f>B14+H14</f>
        <v>4</v>
      </c>
      <c r="O14" s="84">
        <f>N14/212*100</f>
        <v>1.8867924528301887</v>
      </c>
      <c r="P14" s="189">
        <f t="shared" si="4"/>
        <v>15</v>
      </c>
      <c r="Q14" s="119">
        <f t="shared" si="5"/>
        <v>0.5319148936170213</v>
      </c>
      <c r="R14" s="77">
        <f t="shared" si="6"/>
        <v>19</v>
      </c>
      <c r="S14" s="89">
        <f t="shared" si="7"/>
        <v>0.6266490765171504</v>
      </c>
    </row>
    <row r="15" spans="1:19" s="74" customFormat="1" ht="12.75">
      <c r="A15" s="128" t="s">
        <v>41</v>
      </c>
      <c r="B15" s="202"/>
      <c r="C15" s="203"/>
      <c r="D15" s="204"/>
      <c r="E15" s="205"/>
      <c r="F15" s="206"/>
      <c r="G15" s="207"/>
      <c r="H15" s="208">
        <v>1</v>
      </c>
      <c r="I15" s="209">
        <f>H15/193*100</f>
        <v>0.5181347150259068</v>
      </c>
      <c r="J15" s="210">
        <v>40</v>
      </c>
      <c r="K15" s="211">
        <f t="shared" si="1"/>
        <v>1.4270424545130218</v>
      </c>
      <c r="L15" s="208">
        <f t="shared" si="2"/>
        <v>41</v>
      </c>
      <c r="M15" s="209">
        <f t="shared" si="3"/>
        <v>1.3684913217623498</v>
      </c>
      <c r="N15" s="132">
        <f>B15+H15</f>
        <v>1</v>
      </c>
      <c r="O15" s="83">
        <f>N15/212*100</f>
        <v>0.4716981132075472</v>
      </c>
      <c r="P15" s="188">
        <f t="shared" si="4"/>
        <v>40</v>
      </c>
      <c r="Q15" s="118">
        <f t="shared" si="5"/>
        <v>1.4184397163120568</v>
      </c>
      <c r="R15" s="78">
        <f t="shared" si="6"/>
        <v>41</v>
      </c>
      <c r="S15" s="88">
        <f t="shared" si="7"/>
        <v>1.3522427440633245</v>
      </c>
    </row>
    <row r="16" spans="1:19" s="74" customFormat="1" ht="12.75">
      <c r="A16" s="129" t="s">
        <v>42</v>
      </c>
      <c r="B16" s="137">
        <v>1</v>
      </c>
      <c r="C16" s="84">
        <f>B16/19*100</f>
        <v>5.263157894736842</v>
      </c>
      <c r="D16" s="124"/>
      <c r="E16" s="125"/>
      <c r="F16" s="77">
        <v>1</v>
      </c>
      <c r="G16" s="134">
        <f>F16/36*100</f>
        <v>2.7777777777777777</v>
      </c>
      <c r="H16" s="77">
        <v>10</v>
      </c>
      <c r="I16" s="84">
        <f>H16/193*100</f>
        <v>5.181347150259067</v>
      </c>
      <c r="J16" s="124">
        <v>45</v>
      </c>
      <c r="K16" s="125">
        <f t="shared" si="1"/>
        <v>1.6054227613271492</v>
      </c>
      <c r="L16" s="77">
        <f t="shared" si="2"/>
        <v>55</v>
      </c>
      <c r="M16" s="84">
        <f t="shared" si="3"/>
        <v>1.8357810413885183</v>
      </c>
      <c r="N16" s="133">
        <f>B16+H16</f>
        <v>11</v>
      </c>
      <c r="O16" s="84">
        <f>N16/212*100</f>
        <v>5.188679245283019</v>
      </c>
      <c r="P16" s="189">
        <f t="shared" si="4"/>
        <v>45</v>
      </c>
      <c r="Q16" s="119">
        <f t="shared" si="5"/>
        <v>1.5957446808510638</v>
      </c>
      <c r="R16" s="77">
        <f t="shared" si="6"/>
        <v>56</v>
      </c>
      <c r="S16" s="89">
        <f t="shared" si="7"/>
        <v>1.8469656992084433</v>
      </c>
    </row>
    <row r="17" spans="1:19" s="74" customFormat="1" ht="12.75">
      <c r="A17" s="128" t="s">
        <v>43</v>
      </c>
      <c r="B17" s="202"/>
      <c r="C17" s="212"/>
      <c r="D17" s="204"/>
      <c r="E17" s="205"/>
      <c r="F17" s="206"/>
      <c r="G17" s="207"/>
      <c r="H17" s="208">
        <v>3</v>
      </c>
      <c r="I17" s="209">
        <f>H17/193*100</f>
        <v>1.5544041450777202</v>
      </c>
      <c r="J17" s="210">
        <v>14</v>
      </c>
      <c r="K17" s="211">
        <f t="shared" si="1"/>
        <v>0.4994648590795576</v>
      </c>
      <c r="L17" s="208">
        <f t="shared" si="2"/>
        <v>17</v>
      </c>
      <c r="M17" s="209">
        <f t="shared" si="3"/>
        <v>0.5674232309746329</v>
      </c>
      <c r="N17" s="132">
        <f>B17+H17</f>
        <v>3</v>
      </c>
      <c r="O17" s="83">
        <f>N17/212*100</f>
        <v>1.4150943396226416</v>
      </c>
      <c r="P17" s="188">
        <f t="shared" si="4"/>
        <v>14</v>
      </c>
      <c r="Q17" s="118">
        <f t="shared" si="5"/>
        <v>0.4964539007092199</v>
      </c>
      <c r="R17" s="78">
        <f t="shared" si="6"/>
        <v>17</v>
      </c>
      <c r="S17" s="88">
        <f t="shared" si="7"/>
        <v>0.5606860158311345</v>
      </c>
    </row>
    <row r="18" spans="1:19" s="74" customFormat="1" ht="12.75">
      <c r="A18" s="129" t="s">
        <v>44</v>
      </c>
      <c r="B18" s="137"/>
      <c r="C18" s="85"/>
      <c r="D18" s="124"/>
      <c r="E18" s="125"/>
      <c r="F18" s="77"/>
      <c r="G18" s="134"/>
      <c r="H18" s="77"/>
      <c r="I18" s="84"/>
      <c r="J18" s="124">
        <v>4</v>
      </c>
      <c r="K18" s="125">
        <f t="shared" si="1"/>
        <v>0.14270424545130217</v>
      </c>
      <c r="L18" s="77">
        <f t="shared" si="2"/>
        <v>4</v>
      </c>
      <c r="M18" s="84">
        <f t="shared" si="3"/>
        <v>0.13351134846461948</v>
      </c>
      <c r="N18" s="133"/>
      <c r="O18" s="84"/>
      <c r="P18" s="189">
        <f t="shared" si="4"/>
        <v>4</v>
      </c>
      <c r="Q18" s="119">
        <f t="shared" si="5"/>
        <v>0.14184397163120568</v>
      </c>
      <c r="R18" s="77">
        <f t="shared" si="6"/>
        <v>4</v>
      </c>
      <c r="S18" s="89">
        <f t="shared" si="7"/>
        <v>0.13192612137203166</v>
      </c>
    </row>
    <row r="19" spans="1:19" s="74" customFormat="1" ht="12.75">
      <c r="A19" s="128" t="s">
        <v>45</v>
      </c>
      <c r="B19" s="202"/>
      <c r="C19" s="212"/>
      <c r="D19" s="204"/>
      <c r="E19" s="205"/>
      <c r="F19" s="206"/>
      <c r="G19" s="207"/>
      <c r="H19" s="208">
        <v>3</v>
      </c>
      <c r="I19" s="209">
        <f>H19/193*100</f>
        <v>1.5544041450777202</v>
      </c>
      <c r="J19" s="210">
        <v>3</v>
      </c>
      <c r="K19" s="211">
        <f t="shared" si="1"/>
        <v>0.10702818408847663</v>
      </c>
      <c r="L19" s="208">
        <f t="shared" si="2"/>
        <v>6</v>
      </c>
      <c r="M19" s="209">
        <f t="shared" si="3"/>
        <v>0.20026702269692925</v>
      </c>
      <c r="N19" s="132">
        <f>B19+H19</f>
        <v>3</v>
      </c>
      <c r="O19" s="83">
        <f>N19/212*100</f>
        <v>1.4150943396226416</v>
      </c>
      <c r="P19" s="188">
        <f t="shared" si="4"/>
        <v>3</v>
      </c>
      <c r="Q19" s="118">
        <f t="shared" si="5"/>
        <v>0.10638297872340426</v>
      </c>
      <c r="R19" s="78">
        <f t="shared" si="6"/>
        <v>6</v>
      </c>
      <c r="S19" s="88">
        <f t="shared" si="7"/>
        <v>0.1978891820580475</v>
      </c>
    </row>
    <row r="20" spans="1:19" s="74" customFormat="1" ht="12.75">
      <c r="A20" s="129" t="s">
        <v>46</v>
      </c>
      <c r="B20" s="137"/>
      <c r="C20" s="85"/>
      <c r="D20" s="124"/>
      <c r="E20" s="125"/>
      <c r="F20" s="77"/>
      <c r="G20" s="134"/>
      <c r="H20" s="77"/>
      <c r="I20" s="84"/>
      <c r="J20" s="124"/>
      <c r="K20" s="125"/>
      <c r="L20" s="77"/>
      <c r="M20" s="84"/>
      <c r="N20" s="133"/>
      <c r="O20" s="84"/>
      <c r="P20" s="189"/>
      <c r="Q20" s="119"/>
      <c r="R20" s="77"/>
      <c r="S20" s="89"/>
    </row>
    <row r="21" spans="1:19" s="74" customFormat="1" ht="12.75">
      <c r="A21" s="128" t="s">
        <v>47</v>
      </c>
      <c r="B21" s="202"/>
      <c r="C21" s="212"/>
      <c r="D21" s="204"/>
      <c r="E21" s="205"/>
      <c r="F21" s="206"/>
      <c r="G21" s="207"/>
      <c r="H21" s="208"/>
      <c r="I21" s="209"/>
      <c r="J21" s="210">
        <v>6</v>
      </c>
      <c r="K21" s="211">
        <f>J21/2803*100</f>
        <v>0.21405636817695325</v>
      </c>
      <c r="L21" s="208">
        <f>H21+J21</f>
        <v>6</v>
      </c>
      <c r="M21" s="209">
        <f>L21/2996*100</f>
        <v>0.20026702269692925</v>
      </c>
      <c r="N21" s="132"/>
      <c r="O21" s="83"/>
      <c r="P21" s="188">
        <f>D21+J21</f>
        <v>6</v>
      </c>
      <c r="Q21" s="118">
        <f>P21/2820*100</f>
        <v>0.2127659574468085</v>
      </c>
      <c r="R21" s="78">
        <f>N21+P21</f>
        <v>6</v>
      </c>
      <c r="S21" s="88">
        <f>R21/3032*100</f>
        <v>0.1978891820580475</v>
      </c>
    </row>
    <row r="22" spans="1:19" s="74" customFormat="1" ht="12.75">
      <c r="A22" s="129" t="s">
        <v>48</v>
      </c>
      <c r="B22" s="137"/>
      <c r="C22" s="85"/>
      <c r="D22" s="124"/>
      <c r="E22" s="125"/>
      <c r="F22" s="77"/>
      <c r="G22" s="134"/>
      <c r="H22" s="77">
        <v>8</v>
      </c>
      <c r="I22" s="84">
        <f>H22/193*100</f>
        <v>4.145077720207254</v>
      </c>
      <c r="J22" s="124">
        <v>52</v>
      </c>
      <c r="K22" s="125">
        <f>J22/2803*100</f>
        <v>1.8551551908669281</v>
      </c>
      <c r="L22" s="77">
        <f>H22+J22</f>
        <v>60</v>
      </c>
      <c r="M22" s="84">
        <f>L22/2996*100</f>
        <v>2.0026702269692924</v>
      </c>
      <c r="N22" s="133">
        <f>B22+H22</f>
        <v>8</v>
      </c>
      <c r="O22" s="84">
        <f>N22/212*100</f>
        <v>3.7735849056603774</v>
      </c>
      <c r="P22" s="189">
        <f>D22+J22</f>
        <v>52</v>
      </c>
      <c r="Q22" s="119">
        <f>P22/2820*100</f>
        <v>1.8439716312056738</v>
      </c>
      <c r="R22" s="77">
        <f>N22+P22</f>
        <v>60</v>
      </c>
      <c r="S22" s="89">
        <f>R22/3032*100</f>
        <v>1.978891820580475</v>
      </c>
    </row>
    <row r="23" spans="1:19" s="74" customFormat="1" ht="12.75">
      <c r="A23" s="128" t="s">
        <v>49</v>
      </c>
      <c r="B23" s="202"/>
      <c r="C23" s="212"/>
      <c r="D23" s="204"/>
      <c r="E23" s="205"/>
      <c r="F23" s="206"/>
      <c r="G23" s="207"/>
      <c r="H23" s="208"/>
      <c r="I23" s="209"/>
      <c r="J23" s="210">
        <v>8</v>
      </c>
      <c r="K23" s="211">
        <f>J23/2803*100</f>
        <v>0.28540849090260434</v>
      </c>
      <c r="L23" s="208">
        <f>H23+J23</f>
        <v>8</v>
      </c>
      <c r="M23" s="209">
        <f>L23/2996*100</f>
        <v>0.26702269692923897</v>
      </c>
      <c r="N23" s="132"/>
      <c r="O23" s="83"/>
      <c r="P23" s="188">
        <f>D23+J23</f>
        <v>8</v>
      </c>
      <c r="Q23" s="118">
        <f>P23/2820*100</f>
        <v>0.28368794326241137</v>
      </c>
      <c r="R23" s="78">
        <f>N23+P23</f>
        <v>8</v>
      </c>
      <c r="S23" s="88">
        <f>R23/3032*100</f>
        <v>0.2638522427440633</v>
      </c>
    </row>
    <row r="24" spans="1:19" s="74" customFormat="1" ht="12.75">
      <c r="A24" s="129" t="s">
        <v>50</v>
      </c>
      <c r="B24" s="137"/>
      <c r="C24" s="85"/>
      <c r="D24" s="124"/>
      <c r="E24" s="125"/>
      <c r="F24" s="77"/>
      <c r="G24" s="134"/>
      <c r="H24" s="77"/>
      <c r="I24" s="84"/>
      <c r="J24" s="124"/>
      <c r="K24" s="125"/>
      <c r="L24" s="77"/>
      <c r="M24" s="84"/>
      <c r="N24" s="133"/>
      <c r="O24" s="84"/>
      <c r="P24" s="189"/>
      <c r="Q24" s="119"/>
      <c r="R24" s="77"/>
      <c r="S24" s="89"/>
    </row>
    <row r="25" spans="1:19" s="74" customFormat="1" ht="12.75">
      <c r="A25" s="128" t="s">
        <v>51</v>
      </c>
      <c r="B25" s="202"/>
      <c r="C25" s="212"/>
      <c r="D25" s="204"/>
      <c r="E25" s="205"/>
      <c r="F25" s="206"/>
      <c r="G25" s="207"/>
      <c r="H25" s="208"/>
      <c r="I25" s="209"/>
      <c r="J25" s="210">
        <v>3</v>
      </c>
      <c r="K25" s="211">
        <f>J25/2803*100</f>
        <v>0.10702818408847663</v>
      </c>
      <c r="L25" s="208">
        <f>H25+J25</f>
        <v>3</v>
      </c>
      <c r="M25" s="209">
        <f>L25/2996*100</f>
        <v>0.10013351134846463</v>
      </c>
      <c r="N25" s="132"/>
      <c r="O25" s="83"/>
      <c r="P25" s="188">
        <f>D25+J25</f>
        <v>3</v>
      </c>
      <c r="Q25" s="118">
        <f>P25/2820*100</f>
        <v>0.10638297872340426</v>
      </c>
      <c r="R25" s="78">
        <f>N25+P25</f>
        <v>3</v>
      </c>
      <c r="S25" s="88">
        <f>R25/3032*100</f>
        <v>0.09894459102902375</v>
      </c>
    </row>
    <row r="26" spans="1:19" s="74" customFormat="1" ht="12.75">
      <c r="A26" s="129" t="s">
        <v>52</v>
      </c>
      <c r="B26" s="137"/>
      <c r="C26" s="85"/>
      <c r="D26" s="124"/>
      <c r="E26" s="125"/>
      <c r="F26" s="77"/>
      <c r="G26" s="134"/>
      <c r="H26" s="77"/>
      <c r="I26" s="84"/>
      <c r="J26" s="124">
        <v>1</v>
      </c>
      <c r="K26" s="125">
        <f>J26/2803*100</f>
        <v>0.03567606136282554</v>
      </c>
      <c r="L26" s="77">
        <f>H26+J26</f>
        <v>1</v>
      </c>
      <c r="M26" s="84">
        <f>L26/2996*100</f>
        <v>0.03337783711615487</v>
      </c>
      <c r="N26" s="133"/>
      <c r="O26" s="84"/>
      <c r="P26" s="189">
        <f>D26+J26</f>
        <v>1</v>
      </c>
      <c r="Q26" s="119">
        <f>P26/2820*100</f>
        <v>0.03546099290780142</v>
      </c>
      <c r="R26" s="77">
        <f>N26+P26</f>
        <v>1</v>
      </c>
      <c r="S26" s="89">
        <f>R26/3032*100</f>
        <v>0.032981530343007916</v>
      </c>
    </row>
    <row r="27" spans="1:19" s="74" customFormat="1" ht="12.75">
      <c r="A27" s="128" t="s">
        <v>53</v>
      </c>
      <c r="B27" s="202"/>
      <c r="C27" s="212"/>
      <c r="D27" s="204"/>
      <c r="E27" s="205"/>
      <c r="F27" s="206"/>
      <c r="G27" s="207"/>
      <c r="H27" s="208"/>
      <c r="I27" s="209"/>
      <c r="J27" s="210">
        <v>4</v>
      </c>
      <c r="K27" s="211">
        <f>J27/2803*100</f>
        <v>0.14270424545130217</v>
      </c>
      <c r="L27" s="208">
        <f>H27+J27</f>
        <v>4</v>
      </c>
      <c r="M27" s="209">
        <f>L27/2996*100</f>
        <v>0.13351134846461948</v>
      </c>
      <c r="N27" s="132"/>
      <c r="O27" s="83"/>
      <c r="P27" s="188">
        <f>D27+J27</f>
        <v>4</v>
      </c>
      <c r="Q27" s="118">
        <f>P27/2820*100</f>
        <v>0.14184397163120568</v>
      </c>
      <c r="R27" s="78">
        <f>N27+P27</f>
        <v>4</v>
      </c>
      <c r="S27" s="88">
        <f>R27/3032*100</f>
        <v>0.13192612137203166</v>
      </c>
    </row>
    <row r="28" spans="1:19" s="74" customFormat="1" ht="12.75">
      <c r="A28" s="129" t="s">
        <v>54</v>
      </c>
      <c r="B28" s="137"/>
      <c r="C28" s="85"/>
      <c r="D28" s="124"/>
      <c r="E28" s="125"/>
      <c r="F28" s="77"/>
      <c r="G28" s="134"/>
      <c r="H28" s="77">
        <v>3</v>
      </c>
      <c r="I28" s="84">
        <f>H28/193*100</f>
        <v>1.5544041450777202</v>
      </c>
      <c r="J28" s="124">
        <v>1156</v>
      </c>
      <c r="K28" s="125">
        <f>J28/2803*100</f>
        <v>41.24152693542633</v>
      </c>
      <c r="L28" s="77">
        <f>H28+J28</f>
        <v>1159</v>
      </c>
      <c r="M28" s="84">
        <f>L28/2996*100</f>
        <v>38.684913217623496</v>
      </c>
      <c r="N28" s="133">
        <f>B28+H28</f>
        <v>3</v>
      </c>
      <c r="O28" s="84">
        <f>N28/212*100</f>
        <v>1.4150943396226416</v>
      </c>
      <c r="P28" s="189">
        <f>D28+J28</f>
        <v>1156</v>
      </c>
      <c r="Q28" s="119">
        <f>P28/2820*100</f>
        <v>40.99290780141844</v>
      </c>
      <c r="R28" s="77">
        <f>N28+P28</f>
        <v>1159</v>
      </c>
      <c r="S28" s="89">
        <f>R28/3032*100</f>
        <v>38.22559366754618</v>
      </c>
    </row>
    <row r="29" spans="1:19" s="74" customFormat="1" ht="12.75">
      <c r="A29" s="128" t="s">
        <v>55</v>
      </c>
      <c r="B29" s="202"/>
      <c r="C29" s="212"/>
      <c r="D29" s="204"/>
      <c r="E29" s="205"/>
      <c r="F29" s="206"/>
      <c r="G29" s="207"/>
      <c r="H29" s="208"/>
      <c r="I29" s="209"/>
      <c r="J29" s="210"/>
      <c r="K29" s="211"/>
      <c r="L29" s="208"/>
      <c r="M29" s="209"/>
      <c r="N29" s="132"/>
      <c r="O29" s="83"/>
      <c r="P29" s="188"/>
      <c r="Q29" s="118"/>
      <c r="R29" s="78"/>
      <c r="S29" s="88"/>
    </row>
    <row r="30" spans="1:19" s="74" customFormat="1" ht="12.75">
      <c r="A30" s="129" t="s">
        <v>56</v>
      </c>
      <c r="B30" s="137"/>
      <c r="C30" s="85"/>
      <c r="D30" s="124"/>
      <c r="E30" s="125"/>
      <c r="F30" s="77"/>
      <c r="G30" s="134"/>
      <c r="H30" s="77">
        <v>2</v>
      </c>
      <c r="I30" s="84">
        <f>H30/193*100</f>
        <v>1.0362694300518136</v>
      </c>
      <c r="J30" s="124">
        <v>3</v>
      </c>
      <c r="K30" s="125">
        <f>J30/2803*100</f>
        <v>0.10702818408847663</v>
      </c>
      <c r="L30" s="77">
        <f>H30+J30</f>
        <v>5</v>
      </c>
      <c r="M30" s="84">
        <f>L30/2996*100</f>
        <v>0.16688918558077437</v>
      </c>
      <c r="N30" s="133">
        <f>B30+H30</f>
        <v>2</v>
      </c>
      <c r="O30" s="84">
        <f>N30/212*100</f>
        <v>0.9433962264150944</v>
      </c>
      <c r="P30" s="189">
        <f>D30+J30</f>
        <v>3</v>
      </c>
      <c r="Q30" s="119">
        <f>P30/2820*100</f>
        <v>0.10638297872340426</v>
      </c>
      <c r="R30" s="77">
        <f>N30+P30</f>
        <v>5</v>
      </c>
      <c r="S30" s="89">
        <f>R30/3032*100</f>
        <v>0.16490765171503957</v>
      </c>
    </row>
    <row r="31" spans="1:19" s="74" customFormat="1" ht="12.75">
      <c r="A31" s="128" t="s">
        <v>57</v>
      </c>
      <c r="B31" s="202"/>
      <c r="C31" s="212"/>
      <c r="D31" s="204"/>
      <c r="E31" s="205"/>
      <c r="F31" s="206"/>
      <c r="G31" s="207"/>
      <c r="H31" s="208"/>
      <c r="I31" s="209"/>
      <c r="J31" s="210">
        <v>2</v>
      </c>
      <c r="K31" s="211">
        <f>J31/2803*100</f>
        <v>0.07135212272565108</v>
      </c>
      <c r="L31" s="208">
        <v>2</v>
      </c>
      <c r="M31" s="209">
        <f>L31/2996*100</f>
        <v>0.06675567423230974</v>
      </c>
      <c r="N31" s="132"/>
      <c r="O31" s="83"/>
      <c r="P31" s="188">
        <f>D31+J31</f>
        <v>2</v>
      </c>
      <c r="Q31" s="118">
        <f>P31/2820*100</f>
        <v>0.07092198581560284</v>
      </c>
      <c r="R31" s="78">
        <f>N31+P31</f>
        <v>2</v>
      </c>
      <c r="S31" s="88">
        <f>R31/3032*100</f>
        <v>0.06596306068601583</v>
      </c>
    </row>
    <row r="32" spans="1:19" s="74" customFormat="1" ht="12.75">
      <c r="A32" s="129" t="s">
        <v>58</v>
      </c>
      <c r="B32" s="137"/>
      <c r="C32" s="85"/>
      <c r="D32" s="124"/>
      <c r="E32" s="125"/>
      <c r="F32" s="77"/>
      <c r="G32" s="134"/>
      <c r="H32" s="77"/>
      <c r="I32" s="84"/>
      <c r="J32" s="124"/>
      <c r="K32" s="125"/>
      <c r="L32" s="77"/>
      <c r="M32" s="84"/>
      <c r="N32" s="133"/>
      <c r="O32" s="84"/>
      <c r="P32" s="189"/>
      <c r="Q32" s="119"/>
      <c r="R32" s="77"/>
      <c r="S32" s="89"/>
    </row>
    <row r="33" spans="1:19" s="74" customFormat="1" ht="12.75">
      <c r="A33" s="128" t="s">
        <v>59</v>
      </c>
      <c r="B33" s="202"/>
      <c r="C33" s="212"/>
      <c r="D33" s="204"/>
      <c r="E33" s="205"/>
      <c r="F33" s="206"/>
      <c r="G33" s="207"/>
      <c r="H33" s="208"/>
      <c r="I33" s="209"/>
      <c r="J33" s="210">
        <v>1</v>
      </c>
      <c r="K33" s="211">
        <f>J33/2803*100</f>
        <v>0.03567606136282554</v>
      </c>
      <c r="L33" s="208">
        <f>H33+J33</f>
        <v>1</v>
      </c>
      <c r="M33" s="209">
        <f>L33/2996*100</f>
        <v>0.03337783711615487</v>
      </c>
      <c r="N33" s="132"/>
      <c r="O33" s="83"/>
      <c r="P33" s="188">
        <v>1</v>
      </c>
      <c r="Q33" s="118">
        <f>P33/2820*100</f>
        <v>0.03546099290780142</v>
      </c>
      <c r="R33" s="78">
        <v>1</v>
      </c>
      <c r="S33" s="88">
        <f>R33/3032*100</f>
        <v>0.032981530343007916</v>
      </c>
    </row>
    <row r="34" spans="1:19" s="74" customFormat="1" ht="12.75">
      <c r="A34" s="129" t="s">
        <v>60</v>
      </c>
      <c r="B34" s="137"/>
      <c r="C34" s="85"/>
      <c r="D34" s="124"/>
      <c r="E34" s="125"/>
      <c r="F34" s="77"/>
      <c r="G34" s="134"/>
      <c r="H34" s="77">
        <v>2</v>
      </c>
      <c r="I34" s="84">
        <f>H34/193*100</f>
        <v>1.0362694300518136</v>
      </c>
      <c r="J34" s="124">
        <v>25</v>
      </c>
      <c r="K34" s="125">
        <f>J34/2803*100</f>
        <v>0.8919015340706385</v>
      </c>
      <c r="L34" s="77">
        <f>H34+J34</f>
        <v>27</v>
      </c>
      <c r="M34" s="84">
        <f>L34/2996*100</f>
        <v>0.9012016021361816</v>
      </c>
      <c r="N34" s="133">
        <f>B34+H34</f>
        <v>2</v>
      </c>
      <c r="O34" s="84">
        <f>N34/212*100</f>
        <v>0.9433962264150944</v>
      </c>
      <c r="P34" s="189">
        <f>D34+J34</f>
        <v>25</v>
      </c>
      <c r="Q34" s="119">
        <f>P34/2820*100</f>
        <v>0.8865248226950355</v>
      </c>
      <c r="R34" s="77">
        <f>N34+P34</f>
        <v>27</v>
      </c>
      <c r="S34" s="89">
        <f>R34/3032*100</f>
        <v>0.8905013192612138</v>
      </c>
    </row>
    <row r="35" spans="1:19" s="74" customFormat="1" ht="12.75">
      <c r="A35" s="128" t="s">
        <v>61</v>
      </c>
      <c r="B35" s="202"/>
      <c r="C35" s="212"/>
      <c r="D35" s="204">
        <v>7</v>
      </c>
      <c r="E35" s="205">
        <f>D35/17*100</f>
        <v>41.17647058823529</v>
      </c>
      <c r="F35" s="206">
        <v>7</v>
      </c>
      <c r="G35" s="207">
        <f>F35/36*100</f>
        <v>19.444444444444446</v>
      </c>
      <c r="H35" s="208">
        <v>12</v>
      </c>
      <c r="I35" s="209">
        <f>H35/193*100</f>
        <v>6.217616580310881</v>
      </c>
      <c r="J35" s="210">
        <v>322</v>
      </c>
      <c r="K35" s="211">
        <f>J35/2803*100</f>
        <v>11.487691758829826</v>
      </c>
      <c r="L35" s="208">
        <f>H35+J35</f>
        <v>334</v>
      </c>
      <c r="M35" s="209">
        <f>L35/2996*100</f>
        <v>11.148197596795729</v>
      </c>
      <c r="N35" s="132">
        <f>B35+H35</f>
        <v>12</v>
      </c>
      <c r="O35" s="83">
        <f>N35/212*100</f>
        <v>5.660377358490567</v>
      </c>
      <c r="P35" s="188">
        <f>D35+J35</f>
        <v>329</v>
      </c>
      <c r="Q35" s="118">
        <f>P35/2820*100</f>
        <v>11.666666666666666</v>
      </c>
      <c r="R35" s="78">
        <f>N35+P35</f>
        <v>341</v>
      </c>
      <c r="S35" s="88">
        <f>R35/3032*100</f>
        <v>11.2467018469657</v>
      </c>
    </row>
    <row r="36" spans="1:19" s="107" customFormat="1" ht="13.5" thickBot="1">
      <c r="A36" s="130" t="s">
        <v>32</v>
      </c>
      <c r="B36" s="138">
        <v>19</v>
      </c>
      <c r="C36" s="86">
        <f>B36/19*100</f>
        <v>100</v>
      </c>
      <c r="D36" s="126">
        <f>SUM(D9:D35)</f>
        <v>17</v>
      </c>
      <c r="E36" s="127">
        <f>D36/17*100</f>
        <v>100</v>
      </c>
      <c r="F36" s="105">
        <v>36</v>
      </c>
      <c r="G36" s="136">
        <f>F36/36*100</f>
        <v>100</v>
      </c>
      <c r="H36" s="105">
        <v>193</v>
      </c>
      <c r="I36" s="86">
        <f>H36/193*100</f>
        <v>100</v>
      </c>
      <c r="J36" s="126">
        <f>SUM(J9:J35)</f>
        <v>2803</v>
      </c>
      <c r="K36" s="127">
        <f>J36/2803*100</f>
        <v>100</v>
      </c>
      <c r="L36" s="106">
        <f>H36+J36</f>
        <v>2996</v>
      </c>
      <c r="M36" s="86">
        <f>L36/2996*100</f>
        <v>100</v>
      </c>
      <c r="N36" s="135">
        <f>SUM(N9:N35)</f>
        <v>212</v>
      </c>
      <c r="O36" s="86">
        <f>N36/212*100</f>
        <v>100</v>
      </c>
      <c r="P36" s="120">
        <f>SUM(P9:P35)</f>
        <v>2820</v>
      </c>
      <c r="Q36" s="121">
        <f>P36/2820*100</f>
        <v>100</v>
      </c>
      <c r="R36" s="106">
        <f>SUM(R9:R35)</f>
        <v>3032</v>
      </c>
      <c r="S36" s="90">
        <f>R36/3032*100</f>
        <v>100</v>
      </c>
    </row>
    <row r="37" ht="13.5" thickTop="1"/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4">
    <mergeCell ref="B7:C7"/>
    <mergeCell ref="D7:E7"/>
    <mergeCell ref="F7:G7"/>
    <mergeCell ref="H7:I7"/>
    <mergeCell ref="A6:A8"/>
    <mergeCell ref="A3:S3"/>
    <mergeCell ref="R7:S7"/>
    <mergeCell ref="H6:M6"/>
    <mergeCell ref="N6:S6"/>
    <mergeCell ref="B6:G6"/>
    <mergeCell ref="J7:K7"/>
    <mergeCell ref="L7:M7"/>
    <mergeCell ref="N7:O7"/>
    <mergeCell ref="P7:Q7"/>
  </mergeCells>
  <printOptions/>
  <pageMargins left="0.5905511811023623" right="0.3937007874015748" top="0.7874015748031497" bottom="0.3937007874015748" header="0.31496062992125984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C31">
      <selection activeCell="F40" sqref="F40"/>
    </sheetView>
  </sheetViews>
  <sheetFormatPr defaultColWidth="9.140625" defaultRowHeight="12.75"/>
  <cols>
    <col min="1" max="1" width="32.421875" style="0" customWidth="1"/>
    <col min="2" max="2" width="29.00390625" style="0" customWidth="1"/>
    <col min="3" max="4" width="13.7109375" style="0" customWidth="1"/>
    <col min="5" max="5" width="17.00390625" style="0" customWidth="1"/>
    <col min="6" max="6" width="32.421875" style="0" customWidth="1"/>
  </cols>
  <sheetData>
    <row r="1" ht="12.75">
      <c r="F1" s="92" t="s">
        <v>102</v>
      </c>
    </row>
    <row r="2" spans="1:6" s="7" customFormat="1" ht="18">
      <c r="A2" s="287" t="s">
        <v>108</v>
      </c>
      <c r="B2" s="287"/>
      <c r="C2" s="287"/>
      <c r="D2" s="287"/>
      <c r="E2" s="287"/>
      <c r="F2" s="287"/>
    </row>
    <row r="3" ht="13.5" thickBot="1"/>
    <row r="4" spans="2:5" ht="24">
      <c r="B4" s="47"/>
      <c r="C4" s="108" t="s">
        <v>83</v>
      </c>
      <c r="D4" s="109" t="s">
        <v>95</v>
      </c>
      <c r="E4" s="110" t="s">
        <v>98</v>
      </c>
    </row>
    <row r="5" spans="2:5" ht="12.75">
      <c r="B5" s="18" t="s">
        <v>0</v>
      </c>
      <c r="C5" s="48">
        <v>1405</v>
      </c>
      <c r="D5" s="48">
        <v>6</v>
      </c>
      <c r="E5" s="49">
        <f>SUM(C5:D5)</f>
        <v>1411</v>
      </c>
    </row>
    <row r="6" spans="2:5" ht="12.75">
      <c r="B6" s="18" t="s">
        <v>1</v>
      </c>
      <c r="C6" s="48">
        <v>995</v>
      </c>
      <c r="D6" s="48">
        <v>149</v>
      </c>
      <c r="E6" s="49">
        <f>SUM(C6:D6)</f>
        <v>1144</v>
      </c>
    </row>
    <row r="7" spans="2:5" ht="13.5" thickBot="1">
      <c r="B7" s="18" t="s">
        <v>2</v>
      </c>
      <c r="C7" s="48">
        <v>420</v>
      </c>
      <c r="D7" s="48">
        <v>57</v>
      </c>
      <c r="E7" s="49">
        <f>SUM(C7:D7)</f>
        <v>477</v>
      </c>
    </row>
    <row r="8" spans="2:5" ht="13.5" thickBot="1">
      <c r="B8" s="36" t="s">
        <v>9</v>
      </c>
      <c r="C8" s="146">
        <f>SUM(C5:C7)</f>
        <v>2820</v>
      </c>
      <c r="D8" s="146">
        <f>SUM(D5:D7)</f>
        <v>212</v>
      </c>
      <c r="E8" s="147">
        <f>SUM(C8:D8)</f>
        <v>3032</v>
      </c>
    </row>
  </sheetData>
  <mergeCells count="1">
    <mergeCell ref="A2:F2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6">
      <selection activeCell="A33" sqref="A33"/>
    </sheetView>
  </sheetViews>
  <sheetFormatPr defaultColWidth="9.140625" defaultRowHeight="12.75"/>
  <cols>
    <col min="1" max="1" width="32.421875" style="0" customWidth="1"/>
    <col min="2" max="2" width="29.00390625" style="0" customWidth="1"/>
    <col min="3" max="4" width="13.7109375" style="0" customWidth="1"/>
    <col min="5" max="5" width="17.00390625" style="0" customWidth="1"/>
    <col min="6" max="6" width="32.421875" style="0" customWidth="1"/>
  </cols>
  <sheetData>
    <row r="1" ht="12.75">
      <c r="F1" s="92" t="s">
        <v>101</v>
      </c>
    </row>
    <row r="2" ht="12.75">
      <c r="F2" s="92"/>
    </row>
    <row r="3" spans="1:6" s="7" customFormat="1" ht="18">
      <c r="A3" s="287" t="s">
        <v>106</v>
      </c>
      <c r="B3" s="287"/>
      <c r="C3" s="287"/>
      <c r="D3" s="287"/>
      <c r="E3" s="287"/>
      <c r="F3" s="287"/>
    </row>
    <row r="5" ht="13.5" thickBot="1"/>
    <row r="6" spans="2:5" ht="12.75">
      <c r="B6" s="17"/>
      <c r="C6" s="219" t="s">
        <v>86</v>
      </c>
      <c r="D6" s="219" t="s">
        <v>83</v>
      </c>
      <c r="E6" s="230" t="s">
        <v>85</v>
      </c>
    </row>
    <row r="7" spans="2:5" ht="12.75">
      <c r="B7" s="18" t="s">
        <v>0</v>
      </c>
      <c r="C7" s="14">
        <v>34</v>
      </c>
      <c r="D7" s="14">
        <v>1405</v>
      </c>
      <c r="E7" s="228">
        <f>D7-C7</f>
        <v>1371</v>
      </c>
    </row>
    <row r="8" spans="2:5" ht="12.75">
      <c r="B8" s="18" t="s">
        <v>1</v>
      </c>
      <c r="C8" s="14">
        <v>891</v>
      </c>
      <c r="D8" s="14">
        <v>995</v>
      </c>
      <c r="E8" s="228">
        <f>D8-C8</f>
        <v>104</v>
      </c>
    </row>
    <row r="9" spans="2:5" ht="13.5" thickBot="1">
      <c r="B9" s="18" t="s">
        <v>2</v>
      </c>
      <c r="C9" s="14">
        <v>257</v>
      </c>
      <c r="D9" s="14">
        <v>420</v>
      </c>
      <c r="E9" s="228">
        <f>D9-C9</f>
        <v>163</v>
      </c>
    </row>
    <row r="10" spans="2:5" ht="13.5" thickBot="1">
      <c r="B10" s="36" t="s">
        <v>9</v>
      </c>
      <c r="C10" s="220">
        <f>SUM(C7:C9)</f>
        <v>1182</v>
      </c>
      <c r="D10" s="220">
        <f>SUM(D7:D9)</f>
        <v>2820</v>
      </c>
      <c r="E10" s="229">
        <f>D10-C10</f>
        <v>1638</v>
      </c>
    </row>
    <row r="11" spans="2:5" ht="12.75">
      <c r="B11" s="217"/>
      <c r="C11" s="218"/>
      <c r="D11" s="218"/>
      <c r="E11" s="218"/>
    </row>
    <row r="34" ht="12.75">
      <c r="A34" s="13"/>
    </row>
  </sheetData>
  <mergeCells count="1">
    <mergeCell ref="A3:F3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9">
      <selection activeCell="A38" sqref="A38"/>
    </sheetView>
  </sheetViews>
  <sheetFormatPr defaultColWidth="9.140625" defaultRowHeight="12.75"/>
  <cols>
    <col min="1" max="1" width="11.8515625" style="0" customWidth="1"/>
    <col min="2" max="2" width="15.0039062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8.7109375" style="175" customWidth="1"/>
  </cols>
  <sheetData>
    <row r="1" spans="8:9" ht="12.75">
      <c r="H1" s="292" t="s">
        <v>67</v>
      </c>
      <c r="I1" s="288"/>
    </row>
    <row r="3" spans="1:9" ht="18" customHeight="1">
      <c r="A3" s="279" t="s">
        <v>109</v>
      </c>
      <c r="B3" s="288"/>
      <c r="C3" s="288"/>
      <c r="D3" s="288"/>
      <c r="E3" s="288"/>
      <c r="F3" s="288"/>
      <c r="G3" s="288"/>
      <c r="H3" s="288"/>
      <c r="I3" s="288"/>
    </row>
    <row r="4" spans="1:9" ht="18" customHeight="1">
      <c r="A4" s="279" t="s">
        <v>110</v>
      </c>
      <c r="B4" s="288"/>
      <c r="C4" s="288"/>
      <c r="D4" s="288"/>
      <c r="E4" s="288"/>
      <c r="F4" s="288"/>
      <c r="G4" s="288"/>
      <c r="H4" s="288"/>
      <c r="I4" s="288"/>
    </row>
    <row r="7" spans="2:9" s="150" customFormat="1" ht="12" customHeight="1">
      <c r="B7" s="154"/>
      <c r="C7" s="280" t="s">
        <v>100</v>
      </c>
      <c r="D7" s="281"/>
      <c r="E7" s="280" t="s">
        <v>83</v>
      </c>
      <c r="F7" s="280"/>
      <c r="G7" s="293" t="s">
        <v>85</v>
      </c>
      <c r="H7" s="294"/>
      <c r="I7" s="176"/>
    </row>
    <row r="8" spans="2:9" s="9" customFormat="1" ht="11.25" hidden="1">
      <c r="B8" s="149"/>
      <c r="C8" s="214" t="s">
        <v>63</v>
      </c>
      <c r="D8" s="215" t="s">
        <v>64</v>
      </c>
      <c r="E8" s="214" t="s">
        <v>63</v>
      </c>
      <c r="F8" s="214" t="s">
        <v>64</v>
      </c>
      <c r="G8" s="216" t="s">
        <v>63</v>
      </c>
      <c r="H8" s="215" t="s">
        <v>64</v>
      </c>
      <c r="I8" s="177"/>
    </row>
    <row r="9" spans="2:9" ht="12.75">
      <c r="B9" s="50" t="s">
        <v>19</v>
      </c>
      <c r="C9" s="21">
        <v>248</v>
      </c>
      <c r="D9" s="155">
        <f>C9/1182</f>
        <v>0.2098138747884941</v>
      </c>
      <c r="E9" s="21">
        <v>17</v>
      </c>
      <c r="F9" s="148">
        <f>E9/2820</f>
        <v>0.006028368794326241</v>
      </c>
      <c r="G9" s="232">
        <f>E9-C9</f>
        <v>-231</v>
      </c>
      <c r="H9" s="233">
        <f>G9/C9</f>
        <v>-0.9314516129032258</v>
      </c>
      <c r="I9" s="148"/>
    </row>
    <row r="10" spans="2:9" ht="12.75">
      <c r="B10" s="50" t="s">
        <v>20</v>
      </c>
      <c r="C10" s="21">
        <v>933</v>
      </c>
      <c r="D10" s="155">
        <f>C10/1182</f>
        <v>0.7893401015228426</v>
      </c>
      <c r="E10" s="68">
        <v>2803</v>
      </c>
      <c r="F10" s="213">
        <f>E10/2820</f>
        <v>0.9939716312056738</v>
      </c>
      <c r="G10" s="234">
        <f>E10-C10</f>
        <v>1870</v>
      </c>
      <c r="H10" s="233">
        <f>G10/C10</f>
        <v>2.0042872454448015</v>
      </c>
      <c r="I10" s="148"/>
    </row>
    <row r="11" spans="2:9" ht="13.5" thickBot="1">
      <c r="B11" s="158" t="s">
        <v>81</v>
      </c>
      <c r="C11" s="151">
        <v>1</v>
      </c>
      <c r="D11" s="160">
        <f>C11/1182</f>
        <v>0.0008460236886632825</v>
      </c>
      <c r="E11" s="151"/>
      <c r="F11" s="159"/>
      <c r="G11" s="235">
        <f>E11-C11</f>
        <v>-1</v>
      </c>
      <c r="H11" s="236">
        <f>G11/C11</f>
        <v>-1</v>
      </c>
      <c r="I11" s="148"/>
    </row>
    <row r="12" spans="2:9" ht="12.75">
      <c r="B12" s="157" t="s">
        <v>3</v>
      </c>
      <c r="C12" s="152">
        <f>SUM(C9:C11)</f>
        <v>1182</v>
      </c>
      <c r="D12" s="156">
        <f>C12/1182</f>
        <v>1</v>
      </c>
      <c r="E12" s="152">
        <f>SUM(E9:E10)</f>
        <v>2820</v>
      </c>
      <c r="F12" s="153">
        <f>E12/2820</f>
        <v>1</v>
      </c>
      <c r="G12" s="237">
        <f>E12-C12</f>
        <v>1638</v>
      </c>
      <c r="H12" s="238">
        <f>G12/C12</f>
        <v>1.385786802030457</v>
      </c>
      <c r="I12" s="148"/>
    </row>
    <row r="16" ht="12.75" customHeight="1"/>
  </sheetData>
  <mergeCells count="6">
    <mergeCell ref="H1:I1"/>
    <mergeCell ref="G7:H7"/>
    <mergeCell ref="A3:I3"/>
    <mergeCell ref="C7:D7"/>
    <mergeCell ref="E7:F7"/>
    <mergeCell ref="A4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22">
      <selection activeCell="A38" sqref="A38"/>
    </sheetView>
  </sheetViews>
  <sheetFormatPr defaultColWidth="9.140625" defaultRowHeight="12.75"/>
  <cols>
    <col min="1" max="1" width="14.57421875" style="0" customWidth="1"/>
    <col min="2" max="14" width="6.7109375" style="0" customWidth="1"/>
    <col min="15" max="15" width="9.57421875" style="0" customWidth="1"/>
    <col min="16" max="17" width="13.7109375" style="0" customWidth="1"/>
  </cols>
  <sheetData>
    <row r="1" ht="12.75">
      <c r="Q1" s="92" t="s">
        <v>93</v>
      </c>
    </row>
    <row r="3" spans="1:17" ht="18">
      <c r="A3" s="287" t="s">
        <v>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5" spans="1:16" ht="13.5" thickBo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17" ht="13.5" thickTop="1">
      <c r="A6" s="23"/>
      <c r="B6" s="43">
        <v>38718</v>
      </c>
      <c r="C6" s="43">
        <v>38749</v>
      </c>
      <c r="D6" s="43">
        <v>38777</v>
      </c>
      <c r="E6" s="43">
        <v>38808</v>
      </c>
      <c r="F6" s="43">
        <v>38838</v>
      </c>
      <c r="G6" s="43">
        <v>38869</v>
      </c>
      <c r="H6" s="43">
        <v>38899</v>
      </c>
      <c r="I6" s="43">
        <v>38930</v>
      </c>
      <c r="J6" s="43">
        <v>38961</v>
      </c>
      <c r="K6" s="43">
        <v>38991</v>
      </c>
      <c r="L6" s="43">
        <v>39022</v>
      </c>
      <c r="M6" s="43">
        <v>39052</v>
      </c>
      <c r="N6" s="231" t="s">
        <v>99</v>
      </c>
      <c r="O6" s="44" t="s">
        <v>83</v>
      </c>
      <c r="P6" s="45" t="s">
        <v>75</v>
      </c>
      <c r="Q6" s="46" t="s">
        <v>80</v>
      </c>
    </row>
    <row r="7" spans="1:17" ht="12.75">
      <c r="A7" s="26" t="s">
        <v>19</v>
      </c>
      <c r="B7" s="24">
        <v>5</v>
      </c>
      <c r="C7" s="24">
        <v>3</v>
      </c>
      <c r="D7" s="24">
        <v>2</v>
      </c>
      <c r="E7" s="24">
        <v>0</v>
      </c>
      <c r="F7" s="24">
        <v>2</v>
      </c>
      <c r="G7" s="24">
        <v>2</v>
      </c>
      <c r="H7" s="24">
        <v>0</v>
      </c>
      <c r="I7" s="24">
        <v>1</v>
      </c>
      <c r="J7" s="24">
        <v>1</v>
      </c>
      <c r="K7" s="24">
        <v>0</v>
      </c>
      <c r="L7" s="24">
        <v>0</v>
      </c>
      <c r="M7" s="24">
        <v>1</v>
      </c>
      <c r="N7" s="276">
        <f>O7/12</f>
        <v>1.4166666666666667</v>
      </c>
      <c r="O7" s="24">
        <f>SUM(B7:M7)</f>
        <v>17</v>
      </c>
      <c r="P7" s="24">
        <v>19</v>
      </c>
      <c r="Q7" s="25">
        <f>SUM(O7:P7)</f>
        <v>36</v>
      </c>
    </row>
    <row r="8" spans="1:17" ht="12.75">
      <c r="A8" s="26" t="s">
        <v>20</v>
      </c>
      <c r="B8" s="24">
        <v>100</v>
      </c>
      <c r="C8" s="24">
        <v>114</v>
      </c>
      <c r="D8" s="24">
        <v>161</v>
      </c>
      <c r="E8" s="24">
        <v>134</v>
      </c>
      <c r="F8" s="24">
        <v>141</v>
      </c>
      <c r="G8" s="24">
        <v>154</v>
      </c>
      <c r="H8" s="24">
        <v>122</v>
      </c>
      <c r="I8" s="24">
        <v>203</v>
      </c>
      <c r="J8" s="24">
        <v>161</v>
      </c>
      <c r="K8" s="24">
        <v>178</v>
      </c>
      <c r="L8" s="24">
        <v>580</v>
      </c>
      <c r="M8" s="24">
        <v>755</v>
      </c>
      <c r="N8" s="276">
        <f>O8/12</f>
        <v>233.58333333333334</v>
      </c>
      <c r="O8" s="24">
        <f>SUM(B8:M8)</f>
        <v>2803</v>
      </c>
      <c r="P8" s="24">
        <v>193</v>
      </c>
      <c r="Q8" s="25">
        <f>SUM(O8:P8)</f>
        <v>2996</v>
      </c>
    </row>
    <row r="9" spans="1:17" ht="26.25" thickBot="1">
      <c r="A9" s="112" t="s">
        <v>3</v>
      </c>
      <c r="B9" s="111">
        <f>SUM(B7:B8)</f>
        <v>105</v>
      </c>
      <c r="C9" s="111">
        <f aca="true" t="shared" si="0" ref="C9:Q9">SUM(C7:C8)</f>
        <v>117</v>
      </c>
      <c r="D9" s="111">
        <f t="shared" si="0"/>
        <v>163</v>
      </c>
      <c r="E9" s="111">
        <f t="shared" si="0"/>
        <v>134</v>
      </c>
      <c r="F9" s="111">
        <f t="shared" si="0"/>
        <v>143</v>
      </c>
      <c r="G9" s="111">
        <f t="shared" si="0"/>
        <v>156</v>
      </c>
      <c r="H9" s="111">
        <f aca="true" t="shared" si="1" ref="H9:M9">SUM(H7:H8)</f>
        <v>122</v>
      </c>
      <c r="I9" s="111">
        <f t="shared" si="1"/>
        <v>204</v>
      </c>
      <c r="J9" s="111">
        <f t="shared" si="1"/>
        <v>162</v>
      </c>
      <c r="K9" s="111">
        <f t="shared" si="1"/>
        <v>178</v>
      </c>
      <c r="L9" s="111">
        <f t="shared" si="1"/>
        <v>580</v>
      </c>
      <c r="M9" s="111">
        <f t="shared" si="1"/>
        <v>756</v>
      </c>
      <c r="N9" s="277">
        <f>O9/12</f>
        <v>235</v>
      </c>
      <c r="O9" s="111">
        <f t="shared" si="0"/>
        <v>2820</v>
      </c>
      <c r="P9" s="111">
        <f t="shared" si="0"/>
        <v>212</v>
      </c>
      <c r="Q9" s="113">
        <f t="shared" si="0"/>
        <v>3032</v>
      </c>
    </row>
    <row r="10" spans="1:17" s="9" customFormat="1" ht="12.75" thickBot="1" thickTop="1">
      <c r="A10" s="114" t="s">
        <v>34</v>
      </c>
      <c r="B10" s="115">
        <f>B9/2820</f>
        <v>0.03723404255319149</v>
      </c>
      <c r="C10" s="115">
        <f aca="true" t="shared" si="2" ref="C10:O10">C9/2820</f>
        <v>0.04148936170212766</v>
      </c>
      <c r="D10" s="115">
        <f t="shared" si="2"/>
        <v>0.05780141843971631</v>
      </c>
      <c r="E10" s="115">
        <f t="shared" si="2"/>
        <v>0.0475177304964539</v>
      </c>
      <c r="F10" s="115">
        <f t="shared" si="2"/>
        <v>0.050709219858156025</v>
      </c>
      <c r="G10" s="115">
        <f t="shared" si="2"/>
        <v>0.05531914893617021</v>
      </c>
      <c r="H10" s="115">
        <f t="shared" si="2"/>
        <v>0.04326241134751773</v>
      </c>
      <c r="I10" s="115">
        <f t="shared" si="2"/>
        <v>0.07234042553191489</v>
      </c>
      <c r="J10" s="115">
        <f t="shared" si="2"/>
        <v>0.0574468085106383</v>
      </c>
      <c r="K10" s="115">
        <f t="shared" si="2"/>
        <v>0.06312056737588652</v>
      </c>
      <c r="L10" s="115">
        <f t="shared" si="2"/>
        <v>0.20567375886524822</v>
      </c>
      <c r="M10" s="115">
        <f t="shared" si="2"/>
        <v>0.2680851063829787</v>
      </c>
      <c r="N10" s="278">
        <f>O10/12</f>
        <v>0.08333333333333333</v>
      </c>
      <c r="O10" s="115">
        <f t="shared" si="2"/>
        <v>1</v>
      </c>
      <c r="P10" s="116"/>
      <c r="Q10" s="117"/>
    </row>
    <row r="11" ht="13.5" thickTop="1"/>
  </sheetData>
  <mergeCells count="2">
    <mergeCell ref="A5:P5"/>
    <mergeCell ref="A3:Q3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22">
      <selection activeCell="A40" sqref="A40"/>
    </sheetView>
  </sheetViews>
  <sheetFormatPr defaultColWidth="9.140625" defaultRowHeight="12.75"/>
  <cols>
    <col min="1" max="1" width="7.421875" style="0" customWidth="1"/>
    <col min="2" max="2" width="34.8515625" style="0" customWidth="1"/>
    <col min="3" max="10" width="7.7109375" style="0" customWidth="1"/>
    <col min="11" max="11" width="3.7109375" style="0" customWidth="1"/>
    <col min="12" max="12" width="26.28125" style="0" customWidth="1"/>
  </cols>
  <sheetData>
    <row r="1" ht="12.75">
      <c r="L1" s="92" t="s">
        <v>68</v>
      </c>
    </row>
    <row r="2" spans="1:12" ht="18">
      <c r="A2" s="287" t="s">
        <v>87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2:11" ht="12.75" customHeight="1">
      <c r="B3" s="4"/>
      <c r="C3" s="4"/>
      <c r="D3" s="4"/>
      <c r="E3" s="5"/>
      <c r="F3" s="5"/>
      <c r="G3" s="2"/>
      <c r="H3" s="2"/>
      <c r="I3" s="2"/>
      <c r="J3" s="6"/>
      <c r="K3" s="6"/>
    </row>
    <row r="4" spans="2:11" ht="8.25" customHeight="1" thickBot="1">
      <c r="B4" s="4"/>
      <c r="C4" s="4"/>
      <c r="D4" s="4"/>
      <c r="E4" s="5"/>
      <c r="F4" s="5"/>
      <c r="G4" s="2"/>
      <c r="H4" s="2"/>
      <c r="I4" s="2"/>
      <c r="J4" s="6"/>
      <c r="K4" s="6"/>
    </row>
    <row r="5" spans="2:11" ht="37.5" customHeight="1">
      <c r="B5" s="55"/>
      <c r="C5" s="298" t="s">
        <v>0</v>
      </c>
      <c r="D5" s="299"/>
      <c r="E5" s="300" t="s">
        <v>1</v>
      </c>
      <c r="F5" s="300"/>
      <c r="G5" s="301" t="s">
        <v>2</v>
      </c>
      <c r="H5" s="302"/>
      <c r="I5" s="303" t="s">
        <v>8</v>
      </c>
      <c r="J5" s="304"/>
      <c r="K5" s="239"/>
    </row>
    <row r="6" spans="2:12" ht="12.75">
      <c r="B6" s="50" t="s">
        <v>4</v>
      </c>
      <c r="C6" s="63">
        <v>279</v>
      </c>
      <c r="D6" s="155">
        <f>C6/1405</f>
        <v>0.19857651245551602</v>
      </c>
      <c r="E6" s="20">
        <v>210.5</v>
      </c>
      <c r="F6" s="148">
        <f aca="true" t="shared" si="0" ref="F6:F11">E6/995</f>
        <v>0.21155778894472363</v>
      </c>
      <c r="G6" s="63">
        <v>92</v>
      </c>
      <c r="H6" s="155">
        <f aca="true" t="shared" si="1" ref="H6:H11">G6/420</f>
        <v>0.21904761904761905</v>
      </c>
      <c r="I6" s="20">
        <f>C6+E6+G6</f>
        <v>581.5</v>
      </c>
      <c r="J6" s="155">
        <f aca="true" t="shared" si="2" ref="J6:J11">I6/2820</f>
        <v>0.20620567375886525</v>
      </c>
      <c r="K6" s="148"/>
      <c r="L6" s="296" t="s">
        <v>107</v>
      </c>
    </row>
    <row r="7" spans="2:12" ht="12.75" customHeight="1">
      <c r="B7" s="50" t="s">
        <v>5</v>
      </c>
      <c r="C7" s="63">
        <v>177</v>
      </c>
      <c r="D7" s="155">
        <f>C7/1405</f>
        <v>0.12597864768683273</v>
      </c>
      <c r="E7" s="20">
        <v>537.5</v>
      </c>
      <c r="F7" s="148">
        <f t="shared" si="0"/>
        <v>0.5402010050251256</v>
      </c>
      <c r="G7" s="63">
        <v>249</v>
      </c>
      <c r="H7" s="155">
        <f t="shared" si="1"/>
        <v>0.5928571428571429</v>
      </c>
      <c r="I7" s="20">
        <f>C7+E7+G7</f>
        <v>963.5</v>
      </c>
      <c r="J7" s="155">
        <f t="shared" si="2"/>
        <v>0.3416666666666667</v>
      </c>
      <c r="K7" s="148"/>
      <c r="L7" s="297"/>
    </row>
    <row r="8" spans="2:12" s="1" customFormat="1" ht="12.75">
      <c r="B8" s="53" t="s">
        <v>6</v>
      </c>
      <c r="C8" s="63">
        <v>7</v>
      </c>
      <c r="D8" s="155">
        <f>C8/1405</f>
        <v>0.00498220640569395</v>
      </c>
      <c r="E8" s="20">
        <v>84</v>
      </c>
      <c r="F8" s="148">
        <f t="shared" si="0"/>
        <v>0.08442211055276382</v>
      </c>
      <c r="G8" s="63">
        <v>19</v>
      </c>
      <c r="H8" s="155">
        <f t="shared" si="1"/>
        <v>0.04523809523809524</v>
      </c>
      <c r="I8" s="20">
        <f>C8+E8+G8</f>
        <v>110</v>
      </c>
      <c r="J8" s="155">
        <f t="shared" si="2"/>
        <v>0.03900709219858156</v>
      </c>
      <c r="K8" s="148"/>
      <c r="L8" s="297"/>
    </row>
    <row r="9" spans="2:12" ht="12.75">
      <c r="B9" s="50" t="s">
        <v>22</v>
      </c>
      <c r="C9" s="63"/>
      <c r="D9" s="155"/>
      <c r="E9" s="20">
        <v>10</v>
      </c>
      <c r="F9" s="148">
        <f t="shared" si="0"/>
        <v>0.010050251256281407</v>
      </c>
      <c r="G9" s="63">
        <v>4</v>
      </c>
      <c r="H9" s="155">
        <f t="shared" si="1"/>
        <v>0.009523809523809525</v>
      </c>
      <c r="I9" s="20">
        <f>C9+E9+G9</f>
        <v>14</v>
      </c>
      <c r="J9" s="155">
        <f t="shared" si="2"/>
        <v>0.004964539007092199</v>
      </c>
      <c r="K9" s="148"/>
      <c r="L9" s="297"/>
    </row>
    <row r="10" spans="2:12" ht="12.75">
      <c r="B10" s="50" t="s">
        <v>23</v>
      </c>
      <c r="C10" s="63">
        <v>942</v>
      </c>
      <c r="D10" s="155">
        <f>C10/1405</f>
        <v>0.6704626334519573</v>
      </c>
      <c r="E10" s="20">
        <v>153</v>
      </c>
      <c r="F10" s="148">
        <f t="shared" si="0"/>
        <v>0.15376884422110554</v>
      </c>
      <c r="G10" s="63">
        <v>56</v>
      </c>
      <c r="H10" s="155">
        <f t="shared" si="1"/>
        <v>0.13333333333333333</v>
      </c>
      <c r="I10" s="20">
        <f>C10+E10+G10</f>
        <v>1151</v>
      </c>
      <c r="J10" s="155">
        <f t="shared" si="2"/>
        <v>0.40815602836879433</v>
      </c>
      <c r="K10" s="148"/>
      <c r="L10" s="297"/>
    </row>
    <row r="11" spans="2:12" s="3" customFormat="1" ht="12.75">
      <c r="B11" s="161" t="s">
        <v>7</v>
      </c>
      <c r="C11" s="242">
        <f>SUM(C6:C10)</f>
        <v>1405</v>
      </c>
      <c r="D11" s="222">
        <f>C11/1405</f>
        <v>1</v>
      </c>
      <c r="E11" s="162">
        <f>SUM(E6:E10)</f>
        <v>995</v>
      </c>
      <c r="F11" s="221">
        <f t="shared" si="0"/>
        <v>1</v>
      </c>
      <c r="G11" s="242">
        <f>SUM(G6:G10)</f>
        <v>420</v>
      </c>
      <c r="H11" s="222">
        <f t="shared" si="1"/>
        <v>1</v>
      </c>
      <c r="I11" s="162">
        <f>SUM(I6:I10)</f>
        <v>2820</v>
      </c>
      <c r="J11" s="222">
        <f t="shared" si="2"/>
        <v>1</v>
      </c>
      <c r="K11" s="240"/>
      <c r="L11" s="297"/>
    </row>
    <row r="12" spans="2:11" ht="12.75">
      <c r="B12" s="54"/>
      <c r="C12" s="63"/>
      <c r="D12" s="51"/>
      <c r="E12" s="20"/>
      <c r="F12" s="20"/>
      <c r="G12" s="63"/>
      <c r="H12" s="51"/>
      <c r="I12" s="20"/>
      <c r="J12" s="223"/>
      <c r="K12" s="241"/>
    </row>
    <row r="13" spans="2:11" ht="13.5" thickBot="1">
      <c r="B13" s="56" t="s">
        <v>21</v>
      </c>
      <c r="C13" s="243">
        <v>13</v>
      </c>
      <c r="D13" s="52"/>
      <c r="E13" s="27">
        <v>323</v>
      </c>
      <c r="F13" s="27"/>
      <c r="G13" s="243">
        <v>62</v>
      </c>
      <c r="H13" s="52"/>
      <c r="I13" s="27">
        <f>SUM(C13:G13)</f>
        <v>398</v>
      </c>
      <c r="J13" s="224"/>
      <c r="K13" s="241"/>
    </row>
  </sheetData>
  <mergeCells count="6">
    <mergeCell ref="L6:L11"/>
    <mergeCell ref="A2:L2"/>
    <mergeCell ref="C5:D5"/>
    <mergeCell ref="E5:F5"/>
    <mergeCell ref="G5:H5"/>
    <mergeCell ref="I5:J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1"/>
  <sheetViews>
    <sheetView workbookViewId="0" topLeftCell="A31">
      <selection activeCell="B40" sqref="B40"/>
    </sheetView>
  </sheetViews>
  <sheetFormatPr defaultColWidth="9.140625" defaultRowHeight="12.75"/>
  <cols>
    <col min="1" max="1" width="7.00390625" style="0" customWidth="1"/>
    <col min="2" max="2" width="33.7109375" style="0" customWidth="1"/>
    <col min="3" max="13" width="7.421875" style="0" customWidth="1"/>
    <col min="14" max="14" width="8.7109375" style="0" customWidth="1"/>
    <col min="15" max="15" width="7.421875" style="0" customWidth="1"/>
    <col min="16" max="16" width="10.7109375" style="0" customWidth="1"/>
  </cols>
  <sheetData>
    <row r="1" ht="12.75">
      <c r="O1" s="92" t="s">
        <v>69</v>
      </c>
    </row>
    <row r="3" spans="2:16" ht="18" customHeight="1">
      <c r="B3" s="279" t="s">
        <v>88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13"/>
      <c r="P3" s="13"/>
    </row>
    <row r="4" ht="13.5" thickBot="1"/>
    <row r="5" spans="2:14" ht="12.75">
      <c r="B5" s="37"/>
      <c r="C5" s="308" t="s">
        <v>30</v>
      </c>
      <c r="D5" s="308"/>
      <c r="E5" s="308"/>
      <c r="F5" s="308" t="s">
        <v>31</v>
      </c>
      <c r="G5" s="308"/>
      <c r="H5" s="308"/>
      <c r="I5" s="308"/>
      <c r="J5" s="308"/>
      <c r="K5" s="308"/>
      <c r="L5" s="308"/>
      <c r="M5" s="308"/>
      <c r="N5" s="309" t="s">
        <v>77</v>
      </c>
    </row>
    <row r="6" spans="2:14" ht="12.75">
      <c r="B6" s="38"/>
      <c r="C6" s="39" t="s">
        <v>27</v>
      </c>
      <c r="D6" s="39" t="s">
        <v>28</v>
      </c>
      <c r="E6" s="39" t="s">
        <v>29</v>
      </c>
      <c r="F6" s="40" t="s">
        <v>11</v>
      </c>
      <c r="G6" s="40" t="s">
        <v>12</v>
      </c>
      <c r="H6" s="41" t="s">
        <v>13</v>
      </c>
      <c r="I6" s="42" t="s">
        <v>14</v>
      </c>
      <c r="J6" s="42" t="s">
        <v>15</v>
      </c>
      <c r="K6" s="42" t="s">
        <v>16</v>
      </c>
      <c r="L6" s="42" t="s">
        <v>17</v>
      </c>
      <c r="M6" s="42" t="s">
        <v>18</v>
      </c>
      <c r="N6" s="310"/>
    </row>
    <row r="7" spans="2:14" ht="12.75">
      <c r="B7" s="18" t="s">
        <v>4</v>
      </c>
      <c r="C7" s="14">
        <v>279</v>
      </c>
      <c r="D7" s="14">
        <v>24.5</v>
      </c>
      <c r="E7" s="14">
        <v>62</v>
      </c>
      <c r="F7" s="29">
        <v>29</v>
      </c>
      <c r="G7" s="30">
        <v>16.5</v>
      </c>
      <c r="H7" s="29">
        <v>14</v>
      </c>
      <c r="I7" s="29">
        <v>18</v>
      </c>
      <c r="J7" s="29">
        <v>51</v>
      </c>
      <c r="K7" s="30">
        <v>26.5</v>
      </c>
      <c r="L7" s="29">
        <v>30</v>
      </c>
      <c r="M7" s="29">
        <v>31</v>
      </c>
      <c r="N7" s="16">
        <f aca="true" t="shared" si="0" ref="N7:N12">SUM(C7:M7)</f>
        <v>581.5</v>
      </c>
    </row>
    <row r="8" spans="2:14" ht="12.75">
      <c r="B8" s="18" t="s">
        <v>5</v>
      </c>
      <c r="C8" s="14">
        <v>176</v>
      </c>
      <c r="D8" s="14">
        <v>80</v>
      </c>
      <c r="E8" s="14">
        <v>144</v>
      </c>
      <c r="F8" s="30">
        <v>87.8333</v>
      </c>
      <c r="G8" s="30">
        <v>48.5</v>
      </c>
      <c r="H8" s="14">
        <v>65.5</v>
      </c>
      <c r="I8" s="29">
        <v>65</v>
      </c>
      <c r="J8" s="30">
        <v>70.333</v>
      </c>
      <c r="K8" s="14">
        <v>69</v>
      </c>
      <c r="L8" s="30">
        <v>101.333</v>
      </c>
      <c r="M8" s="14">
        <v>56</v>
      </c>
      <c r="N8" s="16">
        <f t="shared" si="0"/>
        <v>963.4993</v>
      </c>
    </row>
    <row r="9" spans="2:14" ht="12.75">
      <c r="B9" s="32" t="s">
        <v>6</v>
      </c>
      <c r="C9" s="31">
        <v>6</v>
      </c>
      <c r="D9" s="31">
        <v>23</v>
      </c>
      <c r="E9" s="31">
        <v>10</v>
      </c>
      <c r="F9" s="14">
        <v>5</v>
      </c>
      <c r="G9" s="14">
        <v>6</v>
      </c>
      <c r="H9" s="14">
        <v>18</v>
      </c>
      <c r="I9" s="14">
        <v>12</v>
      </c>
      <c r="J9" s="29">
        <v>6</v>
      </c>
      <c r="K9" s="14">
        <v>6</v>
      </c>
      <c r="L9" s="14">
        <v>6</v>
      </c>
      <c r="M9" s="14">
        <v>12</v>
      </c>
      <c r="N9" s="15">
        <f t="shared" si="0"/>
        <v>110</v>
      </c>
    </row>
    <row r="10" spans="2:14" ht="12.75">
      <c r="B10" s="18" t="s">
        <v>22</v>
      </c>
      <c r="C10" s="14"/>
      <c r="D10" s="14"/>
      <c r="E10" s="14">
        <v>1</v>
      </c>
      <c r="F10" s="14">
        <v>2</v>
      </c>
      <c r="G10" s="14"/>
      <c r="H10" s="14">
        <v>3</v>
      </c>
      <c r="I10" s="14"/>
      <c r="J10" s="29">
        <v>4</v>
      </c>
      <c r="K10" s="14">
        <v>2</v>
      </c>
      <c r="L10" s="14"/>
      <c r="M10" s="14">
        <v>2</v>
      </c>
      <c r="N10" s="15">
        <f t="shared" si="0"/>
        <v>14</v>
      </c>
    </row>
    <row r="11" spans="2:14" ht="13.5" thickBot="1">
      <c r="B11" s="18" t="s">
        <v>23</v>
      </c>
      <c r="C11" s="14">
        <v>942</v>
      </c>
      <c r="D11" s="14">
        <v>13</v>
      </c>
      <c r="E11" s="14">
        <v>30</v>
      </c>
      <c r="F11" s="29">
        <v>33</v>
      </c>
      <c r="G11" s="14">
        <v>14</v>
      </c>
      <c r="H11" s="14">
        <v>20</v>
      </c>
      <c r="I11" s="14">
        <v>32</v>
      </c>
      <c r="J11" s="29">
        <v>13</v>
      </c>
      <c r="K11" s="14">
        <v>9</v>
      </c>
      <c r="L11" s="14">
        <v>27.5</v>
      </c>
      <c r="M11" s="14">
        <v>17.5</v>
      </c>
      <c r="N11" s="250">
        <f t="shared" si="0"/>
        <v>1151</v>
      </c>
    </row>
    <row r="12" spans="2:14" s="3" customFormat="1" ht="13.5" thickBot="1">
      <c r="B12" s="178" t="s">
        <v>7</v>
      </c>
      <c r="C12" s="179">
        <f aca="true" t="shared" si="1" ref="C12:M12">SUM(C7:C11)</f>
        <v>1403</v>
      </c>
      <c r="D12" s="179">
        <f t="shared" si="1"/>
        <v>140.5</v>
      </c>
      <c r="E12" s="179">
        <f t="shared" si="1"/>
        <v>247</v>
      </c>
      <c r="F12" s="180">
        <f t="shared" si="1"/>
        <v>156.8333</v>
      </c>
      <c r="G12" s="179">
        <f t="shared" si="1"/>
        <v>85</v>
      </c>
      <c r="H12" s="179">
        <f t="shared" si="1"/>
        <v>120.5</v>
      </c>
      <c r="I12" s="181">
        <f t="shared" si="1"/>
        <v>127</v>
      </c>
      <c r="J12" s="180">
        <f t="shared" si="1"/>
        <v>144.333</v>
      </c>
      <c r="K12" s="179">
        <f t="shared" si="1"/>
        <v>112.5</v>
      </c>
      <c r="L12" s="180">
        <f t="shared" si="1"/>
        <v>164.833</v>
      </c>
      <c r="M12" s="180">
        <f t="shared" si="1"/>
        <v>118.5</v>
      </c>
      <c r="N12" s="165">
        <f t="shared" si="0"/>
        <v>2819.9993000000004</v>
      </c>
    </row>
    <row r="13" spans="2:14" s="3" customFormat="1" ht="13.5" thickBot="1">
      <c r="B13" s="163" t="s">
        <v>103</v>
      </c>
      <c r="C13" s="182">
        <f>C12/2820</f>
        <v>0.4975177304964539</v>
      </c>
      <c r="D13" s="182">
        <f aca="true" t="shared" si="2" ref="D13:N13">D12/2820</f>
        <v>0.049822695035460995</v>
      </c>
      <c r="E13" s="182">
        <f t="shared" si="2"/>
        <v>0.0875886524822695</v>
      </c>
      <c r="F13" s="182">
        <f t="shared" si="2"/>
        <v>0.055614645390070924</v>
      </c>
      <c r="G13" s="182">
        <f t="shared" si="2"/>
        <v>0.030141843971631204</v>
      </c>
      <c r="H13" s="182">
        <f t="shared" si="2"/>
        <v>0.04273049645390071</v>
      </c>
      <c r="I13" s="182">
        <f t="shared" si="2"/>
        <v>0.045035460992907804</v>
      </c>
      <c r="J13" s="182">
        <f t="shared" si="2"/>
        <v>0.05118191489361702</v>
      </c>
      <c r="K13" s="182">
        <f t="shared" si="2"/>
        <v>0.0398936170212766</v>
      </c>
      <c r="L13" s="182">
        <f t="shared" si="2"/>
        <v>0.05845141843971631</v>
      </c>
      <c r="M13" s="182">
        <f t="shared" si="2"/>
        <v>0.04202127659574468</v>
      </c>
      <c r="N13" s="183">
        <f t="shared" si="2"/>
        <v>0.9999997517730498</v>
      </c>
    </row>
    <row r="14" spans="2:14" ht="20.25" customHeight="1" thickBot="1">
      <c r="B14" s="34"/>
      <c r="C14" s="14"/>
      <c r="D14" s="14"/>
      <c r="E14" s="14"/>
      <c r="F14" s="14"/>
      <c r="G14" s="14"/>
      <c r="H14" s="14"/>
      <c r="I14" s="14"/>
      <c r="J14" s="29"/>
      <c r="K14" s="14"/>
      <c r="L14" s="14"/>
      <c r="M14" s="14"/>
      <c r="N14" s="251"/>
    </row>
    <row r="15" spans="2:14" ht="26.25" thickBot="1">
      <c r="B15" s="36" t="s">
        <v>21</v>
      </c>
      <c r="C15" s="35">
        <v>13</v>
      </c>
      <c r="D15" s="35">
        <v>135</v>
      </c>
      <c r="E15" s="35">
        <v>26</v>
      </c>
      <c r="F15" s="19">
        <v>13</v>
      </c>
      <c r="G15" s="19">
        <v>28</v>
      </c>
      <c r="H15" s="19">
        <v>31</v>
      </c>
      <c r="I15" s="19">
        <v>18</v>
      </c>
      <c r="J15" s="33">
        <v>44</v>
      </c>
      <c r="K15" s="19">
        <v>24</v>
      </c>
      <c r="L15" s="19">
        <v>38</v>
      </c>
      <c r="M15" s="19">
        <v>28</v>
      </c>
      <c r="N15" s="252">
        <f>SUM(C15:M15)</f>
        <v>398</v>
      </c>
    </row>
    <row r="20" spans="13:14" ht="12.75">
      <c r="M20" s="305" t="s">
        <v>111</v>
      </c>
      <c r="N20" s="306"/>
    </row>
    <row r="21" spans="13:14" ht="12.75">
      <c r="M21" s="306"/>
      <c r="N21" s="306"/>
    </row>
    <row r="22" spans="13:14" ht="12.75">
      <c r="M22" s="306"/>
      <c r="N22" s="306"/>
    </row>
    <row r="23" spans="13:14" ht="12.75">
      <c r="M23" s="306"/>
      <c r="N23" s="306"/>
    </row>
    <row r="24" spans="13:14" ht="12.75">
      <c r="M24" s="306"/>
      <c r="N24" s="306"/>
    </row>
    <row r="25" spans="13:14" ht="12.75">
      <c r="M25" s="306"/>
      <c r="N25" s="306"/>
    </row>
    <row r="26" spans="13:14" ht="12.75">
      <c r="M26" s="306"/>
      <c r="N26" s="306"/>
    </row>
    <row r="27" spans="13:14" ht="12.75">
      <c r="M27" s="306"/>
      <c r="N27" s="306"/>
    </row>
    <row r="28" spans="13:14" ht="12.75">
      <c r="M28" s="306"/>
      <c r="N28" s="306"/>
    </row>
    <row r="29" spans="13:14" ht="12.75">
      <c r="M29" s="306"/>
      <c r="N29" s="306"/>
    </row>
    <row r="30" spans="13:14" ht="12.75">
      <c r="M30" s="306"/>
      <c r="N30" s="306"/>
    </row>
    <row r="31" spans="13:14" ht="12.75">
      <c r="M31" s="306"/>
      <c r="N31" s="306"/>
    </row>
  </sheetData>
  <mergeCells count="5">
    <mergeCell ref="M20:N31"/>
    <mergeCell ref="B3:N3"/>
    <mergeCell ref="C5:E5"/>
    <mergeCell ref="F5:M5"/>
    <mergeCell ref="N5:N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28">
      <selection activeCell="A47" sqref="A47"/>
    </sheetView>
  </sheetViews>
  <sheetFormatPr defaultColWidth="9.140625" defaultRowHeight="12.75"/>
  <cols>
    <col min="1" max="1" width="6.8515625" style="0" customWidth="1"/>
    <col min="2" max="4" width="15.7109375" style="0" customWidth="1"/>
    <col min="5" max="5" width="16.00390625" style="0" customWidth="1"/>
    <col min="6" max="6" width="15.7109375" style="0" customWidth="1"/>
    <col min="7" max="7" width="6.8515625" style="0" customWidth="1"/>
  </cols>
  <sheetData>
    <row r="1" ht="12.75">
      <c r="G1" s="92" t="s">
        <v>70</v>
      </c>
    </row>
    <row r="2" ht="12.75">
      <c r="G2" s="92"/>
    </row>
    <row r="4" spans="1:7" ht="18">
      <c r="A4" s="287" t="s">
        <v>89</v>
      </c>
      <c r="B4" s="288"/>
      <c r="C4" s="288"/>
      <c r="D4" s="288"/>
      <c r="E4" s="288"/>
      <c r="F4" s="288"/>
      <c r="G4" s="288"/>
    </row>
    <row r="5" spans="1:7" ht="18">
      <c r="A5" s="287" t="s">
        <v>112</v>
      </c>
      <c r="B5" s="288"/>
      <c r="C5" s="288"/>
      <c r="D5" s="288"/>
      <c r="E5" s="288"/>
      <c r="F5" s="288"/>
      <c r="G5" s="288"/>
    </row>
    <row r="8" ht="13.5" thickBot="1">
      <c r="B8" s="3" t="s">
        <v>24</v>
      </c>
    </row>
    <row r="9" spans="2:6" ht="24">
      <c r="B9" s="272"/>
      <c r="C9" s="273" t="s">
        <v>0</v>
      </c>
      <c r="D9" s="273" t="s">
        <v>1</v>
      </c>
      <c r="E9" s="274" t="s">
        <v>2</v>
      </c>
      <c r="F9" s="275" t="s">
        <v>8</v>
      </c>
    </row>
    <row r="10" spans="2:6" ht="12.75">
      <c r="B10" s="265" t="s">
        <v>4</v>
      </c>
      <c r="C10" s="266">
        <v>279</v>
      </c>
      <c r="D10" s="266">
        <v>210.5</v>
      </c>
      <c r="E10" s="266">
        <v>92</v>
      </c>
      <c r="F10" s="267">
        <f>SUM(C10:E10)</f>
        <v>581.5</v>
      </c>
    </row>
    <row r="11" spans="2:6" ht="13.5" thickBot="1">
      <c r="B11" s="253" t="s">
        <v>5</v>
      </c>
      <c r="C11" s="254">
        <v>177</v>
      </c>
      <c r="D11" s="254">
        <v>537.5</v>
      </c>
      <c r="E11" s="254">
        <v>249</v>
      </c>
      <c r="F11" s="255">
        <f>SUM(C11:E11)</f>
        <v>963.5</v>
      </c>
    </row>
    <row r="12" spans="2:6" s="3" customFormat="1" ht="13.5" thickBot="1">
      <c r="B12" s="163" t="s">
        <v>10</v>
      </c>
      <c r="C12" s="164">
        <f>SUM(C10:C11)</f>
        <v>456</v>
      </c>
      <c r="D12" s="164">
        <f>SUM(D10:D11)</f>
        <v>748</v>
      </c>
      <c r="E12" s="164">
        <f>SUM(E10:E11)</f>
        <v>341</v>
      </c>
      <c r="F12" s="165">
        <f>SUM(F10:F11)</f>
        <v>1545</v>
      </c>
    </row>
    <row r="15" ht="13.5" thickBot="1">
      <c r="B15" s="3" t="s">
        <v>25</v>
      </c>
    </row>
    <row r="16" spans="2:6" ht="24">
      <c r="B16" s="268"/>
      <c r="C16" s="269" t="s">
        <v>0</v>
      </c>
      <c r="D16" s="269" t="s">
        <v>1</v>
      </c>
      <c r="E16" s="270" t="s">
        <v>2</v>
      </c>
      <c r="F16" s="271" t="s">
        <v>8</v>
      </c>
    </row>
    <row r="17" spans="2:6" ht="12.75">
      <c r="B17" s="262" t="s">
        <v>4</v>
      </c>
      <c r="C17" s="263">
        <f>C10/456</f>
        <v>0.6118421052631579</v>
      </c>
      <c r="D17" s="263">
        <f>D10/748</f>
        <v>0.28141711229946526</v>
      </c>
      <c r="E17" s="263">
        <f>E10/341</f>
        <v>0.2697947214076246</v>
      </c>
      <c r="F17" s="264">
        <f>F10/1545</f>
        <v>0.37637540453074436</v>
      </c>
    </row>
    <row r="18" spans="2:6" ht="13.5" thickBot="1">
      <c r="B18" s="256" t="s">
        <v>5</v>
      </c>
      <c r="C18" s="258">
        <f>C11/456</f>
        <v>0.3881578947368421</v>
      </c>
      <c r="D18" s="258">
        <f>D11/748</f>
        <v>0.7185828877005348</v>
      </c>
      <c r="E18" s="258">
        <f>E11/341</f>
        <v>0.7302052785923754</v>
      </c>
      <c r="F18" s="259">
        <f>F11/1545</f>
        <v>0.6236245954692556</v>
      </c>
    </row>
    <row r="19" spans="2:6" ht="13.5" thickBot="1">
      <c r="B19" s="257" t="s">
        <v>10</v>
      </c>
      <c r="C19" s="260">
        <f>C12/456</f>
        <v>1</v>
      </c>
      <c r="D19" s="260">
        <f>D12/748</f>
        <v>1</v>
      </c>
      <c r="E19" s="260">
        <f>E12/341</f>
        <v>1</v>
      </c>
      <c r="F19" s="261">
        <f>F12/1545</f>
        <v>1</v>
      </c>
    </row>
  </sheetData>
  <mergeCells count="2">
    <mergeCell ref="A4:G4"/>
    <mergeCell ref="A5:G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6"/>
  <sheetViews>
    <sheetView workbookViewId="0" topLeftCell="A28">
      <selection activeCell="B40" sqref="B40"/>
    </sheetView>
  </sheetViews>
  <sheetFormatPr defaultColWidth="9.140625" defaultRowHeight="12.75"/>
  <cols>
    <col min="2" max="2" width="15.421875" style="0" customWidth="1"/>
    <col min="3" max="13" width="8.28125" style="0" customWidth="1"/>
    <col min="14" max="14" width="10.8515625" style="0" customWidth="1"/>
  </cols>
  <sheetData>
    <row r="1" ht="12.75">
      <c r="O1" s="92" t="s">
        <v>71</v>
      </c>
    </row>
    <row r="2" spans="3:14" ht="36" customHeight="1">
      <c r="C2" s="279" t="s">
        <v>90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139"/>
    </row>
    <row r="4" spans="2:5" ht="13.5" thickBot="1">
      <c r="B4" s="3" t="s">
        <v>24</v>
      </c>
      <c r="C4" s="3"/>
      <c r="D4" s="3"/>
      <c r="E4" s="3"/>
    </row>
    <row r="5" spans="2:14" ht="12.75">
      <c r="B5" s="58"/>
      <c r="C5" s="311" t="s">
        <v>30</v>
      </c>
      <c r="D5" s="312"/>
      <c r="E5" s="312"/>
      <c r="F5" s="311" t="s">
        <v>33</v>
      </c>
      <c r="G5" s="312"/>
      <c r="H5" s="312"/>
      <c r="I5" s="312"/>
      <c r="J5" s="312"/>
      <c r="K5" s="312"/>
      <c r="L5" s="312"/>
      <c r="M5" s="312"/>
      <c r="N5" s="316" t="s">
        <v>32</v>
      </c>
    </row>
    <row r="6" spans="2:14" ht="12.75">
      <c r="B6" s="59"/>
      <c r="C6" s="67" t="s">
        <v>27</v>
      </c>
      <c r="D6" s="64" t="s">
        <v>28</v>
      </c>
      <c r="E6" s="64" t="s">
        <v>29</v>
      </c>
      <c r="F6" s="70" t="s">
        <v>11</v>
      </c>
      <c r="G6" s="65" t="s">
        <v>12</v>
      </c>
      <c r="H6" s="66" t="s">
        <v>13</v>
      </c>
      <c r="I6" s="64" t="s">
        <v>14</v>
      </c>
      <c r="J6" s="64" t="s">
        <v>15</v>
      </c>
      <c r="K6" s="64" t="s">
        <v>16</v>
      </c>
      <c r="L6" s="64" t="s">
        <v>17</v>
      </c>
      <c r="M6" s="64" t="s">
        <v>18</v>
      </c>
      <c r="N6" s="317"/>
    </row>
    <row r="7" spans="2:14" ht="12.75">
      <c r="B7" s="50" t="s">
        <v>4</v>
      </c>
      <c r="C7" s="68">
        <v>279</v>
      </c>
      <c r="D7" s="22">
        <v>24.5</v>
      </c>
      <c r="E7" s="21">
        <v>62</v>
      </c>
      <c r="F7" s="68">
        <v>29</v>
      </c>
      <c r="G7" s="22">
        <v>16.5</v>
      </c>
      <c r="H7" s="21">
        <v>14</v>
      </c>
      <c r="I7" s="21">
        <v>18</v>
      </c>
      <c r="J7" s="21">
        <v>51</v>
      </c>
      <c r="K7" s="22">
        <v>26.5</v>
      </c>
      <c r="L7" s="21">
        <v>30</v>
      </c>
      <c r="M7" s="21">
        <v>31</v>
      </c>
      <c r="N7" s="71">
        <f>SUM(C7:M7)</f>
        <v>581.5</v>
      </c>
    </row>
    <row r="8" spans="2:14" ht="12.75">
      <c r="B8" s="50" t="s">
        <v>5</v>
      </c>
      <c r="C8" s="68">
        <v>176</v>
      </c>
      <c r="D8" s="21">
        <v>80</v>
      </c>
      <c r="E8" s="21">
        <v>144</v>
      </c>
      <c r="F8" s="184">
        <v>87.8333</v>
      </c>
      <c r="G8" s="22">
        <v>48.5</v>
      </c>
      <c r="H8" s="20">
        <v>65.5</v>
      </c>
      <c r="I8" s="21">
        <v>65</v>
      </c>
      <c r="J8" s="22">
        <v>70.333</v>
      </c>
      <c r="K8" s="21">
        <v>69</v>
      </c>
      <c r="L8" s="22">
        <v>101.333</v>
      </c>
      <c r="M8" s="21">
        <v>56</v>
      </c>
      <c r="N8" s="71">
        <f>SUM(C8:M8)</f>
        <v>963.4993</v>
      </c>
    </row>
    <row r="9" spans="2:14" ht="13.5" thickBot="1">
      <c r="B9" s="60" t="s">
        <v>10</v>
      </c>
      <c r="C9" s="69">
        <f>SUM(C7:C8)</f>
        <v>455</v>
      </c>
      <c r="D9" s="57">
        <f>SUM(D7:D8)</f>
        <v>104.5</v>
      </c>
      <c r="E9" s="28">
        <f>SUM(E7:E8)</f>
        <v>206</v>
      </c>
      <c r="F9" s="185">
        <f aca="true" t="shared" si="0" ref="F9:M9">SUM(F7:F8)</f>
        <v>116.8333</v>
      </c>
      <c r="G9" s="27">
        <f t="shared" si="0"/>
        <v>65</v>
      </c>
      <c r="H9" s="27">
        <f t="shared" si="0"/>
        <v>79.5</v>
      </c>
      <c r="I9" s="28">
        <f t="shared" si="0"/>
        <v>83</v>
      </c>
      <c r="J9" s="57">
        <f t="shared" si="0"/>
        <v>121.333</v>
      </c>
      <c r="K9" s="57">
        <f t="shared" si="0"/>
        <v>95.5</v>
      </c>
      <c r="L9" s="57">
        <f t="shared" si="0"/>
        <v>131.333</v>
      </c>
      <c r="M9" s="28">
        <f t="shared" si="0"/>
        <v>87</v>
      </c>
      <c r="N9" s="186">
        <f>SUM(C9:M9)</f>
        <v>1544.9993000000002</v>
      </c>
    </row>
    <row r="11" spans="2:9" ht="13.5" thickBot="1">
      <c r="B11" s="3" t="s">
        <v>26</v>
      </c>
      <c r="C11" s="3"/>
      <c r="D11" s="3"/>
      <c r="E11" s="3"/>
      <c r="F11" s="4"/>
      <c r="G11" s="4"/>
      <c r="H11" s="5"/>
      <c r="I11" s="2"/>
    </row>
    <row r="12" spans="2:14" ht="12.75">
      <c r="B12" s="61"/>
      <c r="C12" s="311" t="s">
        <v>30</v>
      </c>
      <c r="D12" s="312"/>
      <c r="E12" s="313"/>
      <c r="F12" s="311" t="s">
        <v>33</v>
      </c>
      <c r="G12" s="312"/>
      <c r="H12" s="312"/>
      <c r="I12" s="312"/>
      <c r="J12" s="312"/>
      <c r="K12" s="312"/>
      <c r="L12" s="312"/>
      <c r="M12" s="313"/>
      <c r="N12" s="314" t="s">
        <v>32</v>
      </c>
    </row>
    <row r="13" spans="2:14" ht="12.75">
      <c r="B13" s="62"/>
      <c r="C13" s="67" t="s">
        <v>27</v>
      </c>
      <c r="D13" s="64" t="s">
        <v>28</v>
      </c>
      <c r="E13" s="72" t="s">
        <v>29</v>
      </c>
      <c r="F13" s="70" t="s">
        <v>11</v>
      </c>
      <c r="G13" s="65" t="s">
        <v>12</v>
      </c>
      <c r="H13" s="66" t="s">
        <v>13</v>
      </c>
      <c r="I13" s="64" t="s">
        <v>14</v>
      </c>
      <c r="J13" s="64" t="s">
        <v>15</v>
      </c>
      <c r="K13" s="64" t="s">
        <v>16</v>
      </c>
      <c r="L13" s="64" t="s">
        <v>17</v>
      </c>
      <c r="M13" s="72" t="s">
        <v>18</v>
      </c>
      <c r="N13" s="315"/>
    </row>
    <row r="14" spans="2:14" ht="12.75">
      <c r="B14" s="244" t="s">
        <v>4</v>
      </c>
      <c r="C14" s="225">
        <f>C7/455</f>
        <v>0.6131868131868132</v>
      </c>
      <c r="D14" s="148">
        <f>D7/104.5</f>
        <v>0.23444976076555024</v>
      </c>
      <c r="E14" s="155">
        <f>E7/206</f>
        <v>0.30097087378640774</v>
      </c>
      <c r="F14" s="225">
        <f>F7/F9</f>
        <v>0.24821690391352466</v>
      </c>
      <c r="G14" s="148">
        <f>G7/65</f>
        <v>0.25384615384615383</v>
      </c>
      <c r="H14" s="148">
        <f>H7/79.5</f>
        <v>0.1761006289308176</v>
      </c>
      <c r="I14" s="148">
        <f>I7/83</f>
        <v>0.21686746987951808</v>
      </c>
      <c r="J14" s="148">
        <f>J7/J9</f>
        <v>0.4203308250846843</v>
      </c>
      <c r="K14" s="148">
        <f>K7/95.5</f>
        <v>0.2774869109947644</v>
      </c>
      <c r="L14" s="148">
        <f>L7/L9</f>
        <v>0.228426975702984</v>
      </c>
      <c r="M14" s="155">
        <f>M7/87</f>
        <v>0.3563218390804598</v>
      </c>
      <c r="N14" s="247">
        <f>N7/1545</f>
        <v>0.37637540453074436</v>
      </c>
    </row>
    <row r="15" spans="2:14" ht="12.75">
      <c r="B15" s="245" t="s">
        <v>5</v>
      </c>
      <c r="C15" s="226">
        <f>C8/455</f>
        <v>0.3868131868131868</v>
      </c>
      <c r="D15" s="153">
        <f>D8/104.5</f>
        <v>0.7655502392344498</v>
      </c>
      <c r="E15" s="156">
        <f>E8/206</f>
        <v>0.6990291262135923</v>
      </c>
      <c r="F15" s="226">
        <f>F8/F9</f>
        <v>0.7517830960864753</v>
      </c>
      <c r="G15" s="153">
        <f>G8/65</f>
        <v>0.7461538461538462</v>
      </c>
      <c r="H15" s="153">
        <f>H8/79.5</f>
        <v>0.8238993710691824</v>
      </c>
      <c r="I15" s="153">
        <f>I8/83</f>
        <v>0.7831325301204819</v>
      </c>
      <c r="J15" s="153">
        <f>J8/J9</f>
        <v>0.5796691749153157</v>
      </c>
      <c r="K15" s="153">
        <f>K8/95.5</f>
        <v>0.7225130890052356</v>
      </c>
      <c r="L15" s="153">
        <f>L8/L9</f>
        <v>0.771573024297016</v>
      </c>
      <c r="M15" s="156">
        <f>M8/87</f>
        <v>0.6436781609195402</v>
      </c>
      <c r="N15" s="248">
        <f>N8/1545</f>
        <v>0.623624142394822</v>
      </c>
    </row>
    <row r="16" spans="2:14" ht="13.5" thickBot="1">
      <c r="B16" s="246" t="s">
        <v>10</v>
      </c>
      <c r="C16" s="227">
        <f>C9/455</f>
        <v>1</v>
      </c>
      <c r="D16" s="159">
        <f>D9/104.5</f>
        <v>1</v>
      </c>
      <c r="E16" s="160">
        <f>E9/206</f>
        <v>1</v>
      </c>
      <c r="F16" s="227">
        <f>F9/F9</f>
        <v>1</v>
      </c>
      <c r="G16" s="159">
        <f>G9/65</f>
        <v>1</v>
      </c>
      <c r="H16" s="159">
        <f>H9/79.5</f>
        <v>1</v>
      </c>
      <c r="I16" s="159">
        <f>I9/83</f>
        <v>1</v>
      </c>
      <c r="J16" s="159">
        <f>J9/J9</f>
        <v>1</v>
      </c>
      <c r="K16" s="159">
        <f>K9/95.5</f>
        <v>1</v>
      </c>
      <c r="L16" s="159">
        <f>L9/L9</f>
        <v>1</v>
      </c>
      <c r="M16" s="160">
        <f>M9/87</f>
        <v>1</v>
      </c>
      <c r="N16" s="249">
        <f>N9/1545</f>
        <v>0.9999995469255665</v>
      </c>
    </row>
  </sheetData>
  <mergeCells count="7">
    <mergeCell ref="C2:M2"/>
    <mergeCell ref="C12:E12"/>
    <mergeCell ref="F12:M12"/>
    <mergeCell ref="N12:N13"/>
    <mergeCell ref="C5:E5"/>
    <mergeCell ref="F5:M5"/>
    <mergeCell ref="N5:N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UDZS</dc:creator>
  <cp:keywords/>
  <dc:description/>
  <cp:lastModifiedBy>drlikova</cp:lastModifiedBy>
  <cp:lastPrinted>2007-02-20T13:06:08Z</cp:lastPrinted>
  <dcterms:created xsi:type="dcterms:W3CDTF">2006-05-29T09:28:48Z</dcterms:created>
  <dcterms:modified xsi:type="dcterms:W3CDTF">2007-06-05T17:26:20Z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