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75" windowHeight="4200" activeTab="0"/>
  </bookViews>
  <sheets>
    <sheet name="oč.real.(4)-mesiace" sheetId="1" r:id="rId1"/>
  </sheets>
  <definedNames/>
  <calcPr fullCalcOnLoad="1"/>
</workbook>
</file>

<file path=xl/sharedStrings.xml><?xml version="1.0" encoding="utf-8"?>
<sst xmlns="http://schemas.openxmlformats.org/spreadsheetml/2006/main" count="112" uniqueCount="55">
  <si>
    <t>Spolu</t>
  </si>
  <si>
    <t>Bankers Trust - fiduc. úver</t>
  </si>
  <si>
    <t>Bankers Trust</t>
  </si>
  <si>
    <t>CALEX, a.s. Zlaté Moravce</t>
  </si>
  <si>
    <t>kompres</t>
  </si>
  <si>
    <t>Názov organizácie a projektu</t>
  </si>
  <si>
    <t xml:space="preserve">Dátum </t>
  </si>
  <si>
    <t>prevzatia</t>
  </si>
  <si>
    <t>št. záruky</t>
  </si>
  <si>
    <t>Mena</t>
  </si>
  <si>
    <t>DEM</t>
  </si>
  <si>
    <t>ATS</t>
  </si>
  <si>
    <t>USD</t>
  </si>
  <si>
    <t>Sk</t>
  </si>
  <si>
    <t>EUR</t>
  </si>
  <si>
    <t>CHF</t>
  </si>
  <si>
    <t>JPY</t>
  </si>
  <si>
    <t>FRF</t>
  </si>
  <si>
    <t>CZK</t>
  </si>
  <si>
    <t>istina</t>
  </si>
  <si>
    <t>úrok</t>
  </si>
  <si>
    <t>I.</t>
  </si>
  <si>
    <t>II.</t>
  </si>
  <si>
    <t>LS Zbudza</t>
  </si>
  <si>
    <t>Imuna, š.p. Šarišské Michaľany</t>
  </si>
  <si>
    <t>SPOLU</t>
  </si>
  <si>
    <t>Splátky úverov</t>
  </si>
  <si>
    <t>v Sk v roku</t>
  </si>
  <si>
    <t>%  rizika</t>
  </si>
  <si>
    <t>Očak. realizácia</t>
  </si>
  <si>
    <t>Nový Calex,a.s., VÚB,a.s.</t>
  </si>
  <si>
    <t xml:space="preserve">Očak. </t>
  </si>
  <si>
    <t>realizácia</t>
  </si>
  <si>
    <t>v Sk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</si>
  <si>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</si>
  <si>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</si>
  <si>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</si>
  <si>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</si>
  <si>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</si>
  <si>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</si>
  <si>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</si>
  <si>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</si>
  <si>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</si>
  <si>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</si>
  <si>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</si>
  <si>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</si>
  <si>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Vodohosp. výstavba,š.p. Bratislava</t>
  </si>
  <si>
    <t>Úhrada z prechádzajúcich rokov</t>
  </si>
  <si>
    <t>Kumulativ</t>
  </si>
  <si>
    <t>kurz k 31.12.2000</t>
  </si>
  <si>
    <t>Chemicelulóza, š.p. Žilina *</t>
  </si>
  <si>
    <t>Solivary, a.s. Prešov**</t>
  </si>
  <si>
    <t>* Chemicelulóza,š.p., (PT Žilina,a.s.,) - v dôsledku vyhl. konkurzu sa očakáva predčasné splatenie úveru oproti pôvodnym splátkovým kalendárom</t>
  </si>
  <si>
    <t xml:space="preserve">** Solivary Prešov, a.s., - nepredpokladá sa v súvislosti s privatizáciou využitie opcie na predľženie splatnosti úveru </t>
  </si>
  <si>
    <t xml:space="preserve"> ZTS Martin v konkurze - úroky + neuhradené poplatky 774 769 885,- Sk eviduje VÚB,a.s., MF SR predmetnú sumu neuznalo v konkurznej prihláške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</si>
</sst>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mmm\ yyyy"/>
    <numFmt numFmtId="165" formatCode="0.0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double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" fontId="0" fillId="0" borderId="4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6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19" xfId="0" applyNumberFormat="1" applyBorder="1" applyAlignment="1">
      <alignment/>
    </xf>
    <xf numFmtId="0" fontId="2" fillId="0" borderId="4" xfId="0" applyFont="1" applyBorder="1" applyAlignment="1">
      <alignment/>
    </xf>
    <xf numFmtId="4" fontId="2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14" fontId="0" fillId="0" borderId="6" xfId="0" applyNumberFormat="1" applyBorder="1" applyAlignment="1">
      <alignment/>
    </xf>
    <xf numFmtId="0" fontId="1" fillId="0" borderId="19" xfId="0" applyFont="1" applyBorder="1" applyAlignment="1">
      <alignment/>
    </xf>
    <xf numFmtId="4" fontId="1" fillId="0" borderId="19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3" xfId="0" applyNumberForma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0" xfId="0" applyNumberForma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25" xfId="0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4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28" xfId="0" applyFont="1" applyBorder="1" applyAlignment="1">
      <alignment horizontal="center"/>
    </xf>
    <xf numFmtId="4" fontId="0" fillId="0" borderId="29" xfId="0" applyNumberFormat="1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4" fontId="0" fillId="0" borderId="5" xfId="0" applyNumberFormat="1" applyBorder="1" applyAlignment="1">
      <alignment/>
    </xf>
    <xf numFmtId="0" fontId="2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4" fontId="0" fillId="0" borderId="34" xfId="0" applyNumberFormat="1" applyFont="1" applyBorder="1" applyAlignment="1">
      <alignment/>
    </xf>
    <xf numFmtId="4" fontId="0" fillId="0" borderId="34" xfId="0" applyNumberForma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4" fontId="0" fillId="0" borderId="38" xfId="0" applyNumberFormat="1" applyBorder="1" applyAlignment="1">
      <alignment/>
    </xf>
    <xf numFmtId="0" fontId="0" fillId="0" borderId="38" xfId="0" applyBorder="1" applyAlignment="1">
      <alignment/>
    </xf>
    <xf numFmtId="4" fontId="0" fillId="0" borderId="39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1" fillId="0" borderId="41" xfId="0" applyFont="1" applyBorder="1" applyAlignment="1">
      <alignment horizontal="center"/>
    </xf>
    <xf numFmtId="4" fontId="0" fillId="0" borderId="33" xfId="0" applyNumberFormat="1" applyBorder="1" applyAlignment="1">
      <alignment/>
    </xf>
    <xf numFmtId="0" fontId="0" fillId="0" borderId="42" xfId="0" applyBorder="1" applyAlignment="1">
      <alignment/>
    </xf>
    <xf numFmtId="4" fontId="0" fillId="0" borderId="43" xfId="0" applyNumberFormat="1" applyBorder="1" applyAlignment="1">
      <alignment/>
    </xf>
    <xf numFmtId="0" fontId="1" fillId="0" borderId="44" xfId="0" applyFont="1" applyBorder="1" applyAlignment="1">
      <alignment horizontal="center"/>
    </xf>
    <xf numFmtId="4" fontId="2" fillId="0" borderId="42" xfId="0" applyNumberFormat="1" applyFont="1" applyBorder="1" applyAlignment="1">
      <alignment/>
    </xf>
    <xf numFmtId="0" fontId="0" fillId="0" borderId="26" xfId="0" applyBorder="1" applyAlignment="1">
      <alignment/>
    </xf>
    <xf numFmtId="0" fontId="1" fillId="0" borderId="25" xfId="0" applyFont="1" applyBorder="1" applyAlignment="1">
      <alignment horizontal="center"/>
    </xf>
    <xf numFmtId="4" fontId="0" fillId="0" borderId="45" xfId="0" applyNumberFormat="1" applyBorder="1" applyAlignment="1">
      <alignment/>
    </xf>
    <xf numFmtId="4" fontId="0" fillId="0" borderId="46" xfId="0" applyNumberForma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3" xfId="0" applyNumberFormat="1" applyFont="1" applyBorder="1" applyAlignment="1">
      <alignment/>
    </xf>
    <xf numFmtId="0" fontId="1" fillId="0" borderId="4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5" xfId="0" applyFont="1" applyBorder="1" applyAlignment="1">
      <alignment/>
    </xf>
    <xf numFmtId="4" fontId="0" fillId="0" borderId="0" xfId="0" applyNumberFormat="1" applyAlignment="1">
      <alignment/>
    </xf>
    <xf numFmtId="0" fontId="0" fillId="0" borderId="40" xfId="0" applyBorder="1" applyAlignment="1">
      <alignment/>
    </xf>
    <xf numFmtId="4" fontId="0" fillId="0" borderId="40" xfId="0" applyNumberFormat="1" applyBorder="1" applyAlignment="1">
      <alignment horizontal="left" indent="1"/>
    </xf>
    <xf numFmtId="4" fontId="0" fillId="0" borderId="1" xfId="0" applyNumberFormat="1" applyBorder="1" applyAlignment="1">
      <alignment/>
    </xf>
    <xf numFmtId="0" fontId="0" fillId="0" borderId="46" xfId="0" applyBorder="1" applyAlignment="1">
      <alignment/>
    </xf>
    <xf numFmtId="0" fontId="3" fillId="0" borderId="0" xfId="0" applyFont="1" applyBorder="1" applyAlignment="1">
      <alignment/>
    </xf>
    <xf numFmtId="0" fontId="4" fillId="0" borderId="2" xfId="0" applyFont="1" applyBorder="1" applyAlignment="1">
      <alignment/>
    </xf>
    <xf numFmtId="1" fontId="0" fillId="0" borderId="6" xfId="0" applyNumberFormat="1" applyFont="1" applyBorder="1" applyAlignment="1">
      <alignment/>
    </xf>
    <xf numFmtId="4" fontId="2" fillId="0" borderId="2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0" fontId="0" fillId="0" borderId="6" xfId="0" applyFont="1" applyBorder="1" applyAlignment="1">
      <alignment/>
    </xf>
    <xf numFmtId="0" fontId="0" fillId="0" borderId="48" xfId="0" applyBorder="1" applyAlignment="1">
      <alignment/>
    </xf>
    <xf numFmtId="0" fontId="4" fillId="0" borderId="20" xfId="0" applyFont="1" applyBorder="1" applyAlignment="1">
      <alignment/>
    </xf>
    <xf numFmtId="4" fontId="0" fillId="0" borderId="20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SheetLayoutView="100" workbookViewId="0" topLeftCell="A41">
      <selection activeCell="A48" sqref="A48"/>
    </sheetView>
  </sheetViews>
  <sheetFormatPr defaultColWidth="9.00390625" defaultRowHeight="12.75"/>
  <cols>
    <col min="1" max="1" width="31.625" style="0" customWidth="1"/>
    <col min="2" max="2" width="13.625" style="0" customWidth="1"/>
    <col min="3" max="3" width="7.125" style="0" customWidth="1"/>
    <col min="4" max="4" width="7.00390625" style="0" customWidth="1"/>
    <col min="5" max="5" width="17.625" style="0" customWidth="1"/>
    <col min="7" max="7" width="16.875" style="0" customWidth="1"/>
    <col min="8" max="8" width="14.625" style="0" customWidth="1"/>
    <col min="9" max="9" width="16.75390625" style="0" customWidth="1"/>
    <col min="10" max="10" width="16.125" style="0" customWidth="1"/>
    <col min="11" max="11" width="15.00390625" style="0" customWidth="1"/>
    <col min="12" max="12" width="15.625" style="0" customWidth="1"/>
    <col min="13" max="15" width="17.25390625" style="0" customWidth="1"/>
    <col min="16" max="16" width="18.625" style="0" customWidth="1"/>
    <col min="17" max="17" width="18.75390625" style="0" customWidth="1"/>
    <col min="18" max="18" width="18.00390625" style="0" customWidth="1"/>
    <col min="19" max="19" width="18.25390625" style="0" customWidth="1"/>
    <col min="20" max="20" width="15.25390625" style="0" bestFit="1" customWidth="1"/>
  </cols>
  <sheetData>
    <row r="1" spans="1:19" ht="12.75">
      <c r="A1" s="10" t="s">
        <v>5</v>
      </c>
      <c r="B1" s="11" t="s">
        <v>6</v>
      </c>
      <c r="C1" s="12" t="s">
        <v>9</v>
      </c>
      <c r="D1" s="12"/>
      <c r="E1" s="49" t="s">
        <v>26</v>
      </c>
      <c r="F1" s="53" t="s">
        <v>28</v>
      </c>
      <c r="G1" s="52" t="s">
        <v>31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19" ht="12.75">
      <c r="A2" s="13"/>
      <c r="B2" s="1" t="s">
        <v>7</v>
      </c>
      <c r="C2" s="4"/>
      <c r="D2" s="4"/>
      <c r="E2" s="41" t="s">
        <v>27</v>
      </c>
      <c r="F2" s="55"/>
      <c r="G2" s="73" t="s">
        <v>32</v>
      </c>
      <c r="H2" s="87" t="s">
        <v>34</v>
      </c>
      <c r="I2" s="87" t="s">
        <v>35</v>
      </c>
      <c r="J2" s="87" t="s">
        <v>36</v>
      </c>
      <c r="K2" s="87" t="s">
        <v>37</v>
      </c>
      <c r="L2" s="87" t="s">
        <v>38</v>
      </c>
      <c r="M2" s="87" t="s">
        <v>39</v>
      </c>
      <c r="N2" s="87" t="s">
        <v>40</v>
      </c>
      <c r="O2" s="87" t="s">
        <v>41</v>
      </c>
      <c r="P2" s="87" t="s">
        <v>42</v>
      </c>
      <c r="Q2" s="87" t="s">
        <v>43</v>
      </c>
      <c r="R2" s="87" t="s">
        <v>44</v>
      </c>
      <c r="S2" s="87" t="s">
        <v>45</v>
      </c>
    </row>
    <row r="3" spans="1:19" ht="13.5" thickBot="1">
      <c r="A3" s="14"/>
      <c r="B3" s="61" t="s">
        <v>8</v>
      </c>
      <c r="C3" s="7"/>
      <c r="D3" s="7"/>
      <c r="E3" s="69">
        <v>2001</v>
      </c>
      <c r="F3" s="56"/>
      <c r="G3" s="74" t="s">
        <v>33</v>
      </c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3.5" thickTop="1">
      <c r="A4" s="15" t="s">
        <v>46</v>
      </c>
      <c r="B4" s="5"/>
      <c r="C4" s="5"/>
      <c r="D4" s="5"/>
      <c r="E4" s="27"/>
      <c r="F4" s="46"/>
      <c r="G4" s="76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2.75">
      <c r="A5" s="16" t="s">
        <v>1</v>
      </c>
      <c r="B5" s="3">
        <v>35415</v>
      </c>
      <c r="C5" s="2" t="s">
        <v>12</v>
      </c>
      <c r="D5" s="2" t="s">
        <v>19</v>
      </c>
      <c r="E5" s="2"/>
      <c r="F5" s="47"/>
      <c r="G5" s="76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ht="12.75">
      <c r="A6" s="16"/>
      <c r="B6" s="2"/>
      <c r="C6" s="2"/>
      <c r="D6" s="2" t="s">
        <v>20</v>
      </c>
      <c r="E6" s="28">
        <f>SUM(H6:S6)</f>
        <v>687140500</v>
      </c>
      <c r="F6" s="90">
        <v>100</v>
      </c>
      <c r="G6" s="76">
        <f>E6*F6/100</f>
        <v>687140500</v>
      </c>
      <c r="H6" s="28"/>
      <c r="I6" s="28"/>
      <c r="J6" s="28"/>
      <c r="K6" s="28"/>
      <c r="L6" s="28"/>
      <c r="M6" s="28">
        <f>7250000*B60</f>
        <v>343570250</v>
      </c>
      <c r="N6" s="28"/>
      <c r="O6" s="28"/>
      <c r="P6" s="28"/>
      <c r="Q6" s="28"/>
      <c r="R6" s="28"/>
      <c r="S6" s="28">
        <f>7250000*B60</f>
        <v>343570250</v>
      </c>
    </row>
    <row r="7" spans="1:19" ht="12.75">
      <c r="A7" s="16" t="s">
        <v>2</v>
      </c>
      <c r="B7" s="3">
        <v>35982</v>
      </c>
      <c r="C7" s="2" t="s">
        <v>10</v>
      </c>
      <c r="D7" s="2" t="s">
        <v>19</v>
      </c>
      <c r="E7" s="28">
        <f>SUM(H7:S7)</f>
        <v>3936625000</v>
      </c>
      <c r="F7" s="90">
        <v>100</v>
      </c>
      <c r="G7" s="76">
        <f>E7*F7/100</f>
        <v>3936625000</v>
      </c>
      <c r="H7" s="28"/>
      <c r="I7" s="28"/>
      <c r="J7" s="28"/>
      <c r="K7" s="28"/>
      <c r="L7" s="28"/>
      <c r="M7" s="28"/>
      <c r="N7" s="28">
        <f>175000000*B59</f>
        <v>3936625000</v>
      </c>
      <c r="O7" s="28"/>
      <c r="P7" s="28"/>
      <c r="Q7" s="28"/>
      <c r="R7" s="28"/>
      <c r="S7" s="28"/>
    </row>
    <row r="8" spans="1:19" ht="12.75">
      <c r="A8" s="16"/>
      <c r="B8" s="2"/>
      <c r="C8" s="2"/>
      <c r="D8" s="2" t="s">
        <v>20</v>
      </c>
      <c r="E8" s="28">
        <f>SUM(H8:S8)</f>
        <v>314930000</v>
      </c>
      <c r="F8" s="90">
        <v>100</v>
      </c>
      <c r="G8" s="76">
        <f>E8*F8/100</f>
        <v>314930000</v>
      </c>
      <c r="H8" s="28"/>
      <c r="I8" s="28"/>
      <c r="J8" s="28"/>
      <c r="K8" s="28"/>
      <c r="L8" s="28"/>
      <c r="M8" s="28"/>
      <c r="N8" s="28">
        <f>14000000*B59</f>
        <v>314930000</v>
      </c>
      <c r="O8" s="28"/>
      <c r="P8" s="28"/>
      <c r="Q8" s="28"/>
      <c r="R8" s="28"/>
      <c r="S8" s="28"/>
    </row>
    <row r="9" spans="1:19" ht="12.75">
      <c r="A9" s="16" t="s">
        <v>2</v>
      </c>
      <c r="B9" s="3">
        <v>36370</v>
      </c>
      <c r="C9" s="2" t="s">
        <v>14</v>
      </c>
      <c r="D9" s="2" t="s">
        <v>19</v>
      </c>
      <c r="E9" s="28"/>
      <c r="F9" s="90"/>
      <c r="G9" s="77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</row>
    <row r="10" spans="1:19" ht="13.5" thickBot="1">
      <c r="A10" s="17"/>
      <c r="B10" s="8"/>
      <c r="C10" s="8"/>
      <c r="D10" s="8" t="s">
        <v>20</v>
      </c>
      <c r="E10" s="29">
        <f>SUM(H10:S10)</f>
        <v>161333332</v>
      </c>
      <c r="F10" s="90">
        <v>100</v>
      </c>
      <c r="G10" s="76">
        <f>E10*F10/100</f>
        <v>161333332</v>
      </c>
      <c r="H10" s="29"/>
      <c r="I10" s="29"/>
      <c r="J10" s="29"/>
      <c r="K10" s="29"/>
      <c r="L10" s="29"/>
      <c r="M10" s="29"/>
      <c r="N10" s="29"/>
      <c r="O10" s="29">
        <f>2775000*B62</f>
        <v>122088900</v>
      </c>
      <c r="P10" s="29">
        <f>892000*B62</f>
        <v>39244432</v>
      </c>
      <c r="Q10" s="29"/>
      <c r="R10" s="29"/>
      <c r="S10" s="29"/>
    </row>
    <row r="11" spans="1:19" ht="14.25" thickBot="1" thickTop="1">
      <c r="A11" s="21" t="s">
        <v>0</v>
      </c>
      <c r="B11" s="22"/>
      <c r="C11" s="22"/>
      <c r="D11" s="22"/>
      <c r="E11" s="57">
        <f>SUM(E5:E10)</f>
        <v>5100028832</v>
      </c>
      <c r="F11" s="91">
        <v>100</v>
      </c>
      <c r="G11" s="78">
        <f>SUM(G6:G10)</f>
        <v>5100028832</v>
      </c>
      <c r="H11" s="88"/>
      <c r="I11" s="88"/>
      <c r="J11" s="88"/>
      <c r="K11" s="88"/>
      <c r="L11" s="88"/>
      <c r="M11" s="88">
        <f>SUM(M6:M10)</f>
        <v>343570250</v>
      </c>
      <c r="N11" s="88">
        <f>SUM(N7:N10)</f>
        <v>4251555000</v>
      </c>
      <c r="O11" s="88">
        <f>SUM(O10)</f>
        <v>122088900</v>
      </c>
      <c r="P11" s="88">
        <f>SUM(P10)</f>
        <v>39244432</v>
      </c>
      <c r="Q11" s="88"/>
      <c r="R11" s="88"/>
      <c r="S11" s="88">
        <f>SUM(S6:S10)</f>
        <v>343570250</v>
      </c>
    </row>
    <row r="12" spans="1:19" ht="13.5" thickBot="1">
      <c r="A12" s="18"/>
      <c r="B12" s="9"/>
      <c r="C12" s="9"/>
      <c r="D12" s="9"/>
      <c r="E12" s="9"/>
      <c r="F12" s="64"/>
      <c r="G12" s="7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</row>
    <row r="13" spans="1:19" ht="12.75">
      <c r="A13" s="10" t="s">
        <v>5</v>
      </c>
      <c r="B13" s="11" t="s">
        <v>6</v>
      </c>
      <c r="C13" s="12" t="s">
        <v>9</v>
      </c>
      <c r="D13" s="12"/>
      <c r="E13" s="50" t="s">
        <v>26</v>
      </c>
      <c r="F13" s="65" t="s">
        <v>28</v>
      </c>
      <c r="G13" s="80" t="s">
        <v>29</v>
      </c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19" ht="12.75">
      <c r="A14" s="13"/>
      <c r="B14" s="1" t="s">
        <v>7</v>
      </c>
      <c r="C14" s="4"/>
      <c r="D14" s="4"/>
      <c r="E14" s="51" t="s">
        <v>27</v>
      </c>
      <c r="F14" s="55"/>
      <c r="G14" s="94" t="s">
        <v>33</v>
      </c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</row>
    <row r="15" spans="1:19" ht="13.5" thickBot="1">
      <c r="A15" s="14"/>
      <c r="B15" s="61" t="s">
        <v>8</v>
      </c>
      <c r="C15" s="7"/>
      <c r="D15" s="7"/>
      <c r="E15" s="63">
        <v>2001</v>
      </c>
      <c r="F15" s="56"/>
      <c r="G15" s="81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</row>
    <row r="16" spans="1:19" ht="13.5" thickTop="1">
      <c r="A16" s="15" t="s">
        <v>3</v>
      </c>
      <c r="B16" s="5"/>
      <c r="C16" s="5"/>
      <c r="D16" s="5"/>
      <c r="E16" s="27"/>
      <c r="F16" s="59"/>
      <c r="G16" s="82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19" ht="12.75">
      <c r="A17" s="16" t="s">
        <v>4</v>
      </c>
      <c r="B17" s="3">
        <v>33581</v>
      </c>
      <c r="C17" s="2" t="s">
        <v>12</v>
      </c>
      <c r="D17" s="2" t="s">
        <v>19</v>
      </c>
      <c r="E17" s="28">
        <f>SUM(H17:S17)</f>
        <v>784140315.25718</v>
      </c>
      <c r="F17" s="46">
        <v>100</v>
      </c>
      <c r="G17" s="76">
        <f>E17*F17/100</f>
        <v>784140315.25718</v>
      </c>
      <c r="H17" s="28"/>
      <c r="I17" s="28"/>
      <c r="J17" s="28"/>
      <c r="K17" s="28">
        <f>8273442.31*B60</f>
        <v>392070157.62859</v>
      </c>
      <c r="L17" s="28"/>
      <c r="M17" s="28"/>
      <c r="N17" s="28"/>
      <c r="O17" s="28"/>
      <c r="P17" s="28"/>
      <c r="Q17" s="28">
        <f>8273442.31*B60</f>
        <v>392070157.62859</v>
      </c>
      <c r="R17" s="28"/>
      <c r="S17" s="28"/>
    </row>
    <row r="18" spans="1:19" ht="12.75">
      <c r="A18" s="16"/>
      <c r="B18" s="2"/>
      <c r="C18" s="2"/>
      <c r="D18" s="2" t="s">
        <v>20</v>
      </c>
      <c r="E18" s="28">
        <f>SUM(H18:S18)</f>
        <v>47360441.49304</v>
      </c>
      <c r="F18" s="46">
        <v>100</v>
      </c>
      <c r="G18" s="76">
        <f>E18*F18/100</f>
        <v>47360441.493039995</v>
      </c>
      <c r="H18" s="28"/>
      <c r="I18" s="28"/>
      <c r="J18" s="28"/>
      <c r="K18" s="28">
        <f>665046.87*B60</f>
        <v>31515906.12243</v>
      </c>
      <c r="L18" s="28"/>
      <c r="M18" s="28"/>
      <c r="N18" s="28"/>
      <c r="O18" s="28"/>
      <c r="P18" s="28"/>
      <c r="Q18" s="28">
        <f>334350.49*B60</f>
        <v>15844535.37061</v>
      </c>
      <c r="R18" s="28"/>
      <c r="S18" s="28"/>
    </row>
    <row r="19" spans="1:19" ht="13.5" thickBot="1">
      <c r="A19" s="21" t="s">
        <v>0</v>
      </c>
      <c r="B19" s="2"/>
      <c r="C19" s="2"/>
      <c r="D19" s="2"/>
      <c r="E19" s="105">
        <f>SUM(E17:E18)</f>
        <v>831500756.75022</v>
      </c>
      <c r="F19" s="46">
        <v>100</v>
      </c>
      <c r="G19" s="105">
        <f>SUM(G17:G18)</f>
        <v>831500756.75022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</row>
    <row r="20" spans="1:19" ht="12.75">
      <c r="A20" s="15" t="s">
        <v>30</v>
      </c>
      <c r="B20" s="3">
        <v>36724</v>
      </c>
      <c r="C20" s="2" t="s">
        <v>13</v>
      </c>
      <c r="D20" s="2" t="s">
        <v>19</v>
      </c>
      <c r="E20" s="28">
        <f>SUM(H20:S20)</f>
        <v>60000000</v>
      </c>
      <c r="F20" s="93">
        <v>100</v>
      </c>
      <c r="G20" s="106">
        <f>E20*F20/100</f>
        <v>60000000</v>
      </c>
      <c r="H20" s="28"/>
      <c r="I20" s="28"/>
      <c r="J20" s="28"/>
      <c r="K20" s="28"/>
      <c r="L20" s="28"/>
      <c r="M20" s="28"/>
      <c r="N20" s="28"/>
      <c r="O20" s="28"/>
      <c r="P20" s="28">
        <f>30000000*B68</f>
        <v>30000000</v>
      </c>
      <c r="Q20" s="28"/>
      <c r="R20" s="28"/>
      <c r="S20" s="28">
        <f>30000000*B68</f>
        <v>30000000</v>
      </c>
    </row>
    <row r="21" spans="1:19" ht="13.5" thickBot="1">
      <c r="A21" s="66"/>
      <c r="B21" s="7"/>
      <c r="C21" s="7"/>
      <c r="D21" s="7" t="s">
        <v>20</v>
      </c>
      <c r="E21" s="28">
        <f>SUM(H21:S21)</f>
        <v>32550000</v>
      </c>
      <c r="F21" s="104">
        <v>100</v>
      </c>
      <c r="G21" s="29">
        <f>E21*F21/100</f>
        <v>32550000</v>
      </c>
      <c r="H21" s="29"/>
      <c r="I21" s="29"/>
      <c r="J21" s="29"/>
      <c r="K21" s="29"/>
      <c r="L21" s="29"/>
      <c r="M21" s="29"/>
      <c r="N21" s="29"/>
      <c r="O21" s="29"/>
      <c r="P21" s="29">
        <f>16275000*B68</f>
        <v>16275000</v>
      </c>
      <c r="Q21" s="29"/>
      <c r="R21" s="29"/>
      <c r="S21" s="29">
        <f>16275000*B68</f>
        <v>16275000</v>
      </c>
    </row>
    <row r="22" spans="1:19" ht="14.25" thickBot="1" thickTop="1">
      <c r="A22" s="21" t="s">
        <v>0</v>
      </c>
      <c r="B22" s="22"/>
      <c r="C22" s="22"/>
      <c r="D22" s="22"/>
      <c r="E22" s="30">
        <f>SUM(E20:E21)</f>
        <v>92550000</v>
      </c>
      <c r="F22" s="95">
        <v>100</v>
      </c>
      <c r="G22" s="30">
        <f>SUM(G20:G21)</f>
        <v>92550000</v>
      </c>
      <c r="H22" s="88"/>
      <c r="I22" s="88"/>
      <c r="J22" s="88"/>
      <c r="K22" s="88">
        <f>SUM(K17:K21)</f>
        <v>423586063.75102</v>
      </c>
      <c r="L22" s="88"/>
      <c r="M22" s="88"/>
      <c r="N22" s="88"/>
      <c r="O22" s="88"/>
      <c r="P22" s="88">
        <f>SUM(P20:P21)</f>
        <v>46275000</v>
      </c>
      <c r="Q22" s="88">
        <f>SUM(Q17:Q21)</f>
        <v>407914692.9992</v>
      </c>
      <c r="R22" s="88"/>
      <c r="S22" s="88">
        <f>SUM(S20:S21)</f>
        <v>46275000</v>
      </c>
    </row>
    <row r="23" spans="1:19" ht="13.5" thickBot="1">
      <c r="A23" s="20"/>
      <c r="B23" s="9"/>
      <c r="C23" s="9"/>
      <c r="D23" s="9"/>
      <c r="E23" s="19"/>
      <c r="F23" s="92"/>
      <c r="G23" s="83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</row>
    <row r="24" spans="1:19" ht="12.75">
      <c r="A24" s="10" t="s">
        <v>5</v>
      </c>
      <c r="B24" s="11" t="s">
        <v>6</v>
      </c>
      <c r="C24" s="12" t="s">
        <v>9</v>
      </c>
      <c r="D24" s="12"/>
      <c r="E24" s="50" t="s">
        <v>26</v>
      </c>
      <c r="F24" s="58" t="s">
        <v>28</v>
      </c>
      <c r="G24" s="84" t="s">
        <v>29</v>
      </c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19" ht="13.5" thickBot="1">
      <c r="A25" s="13"/>
      <c r="B25" s="1" t="s">
        <v>7</v>
      </c>
      <c r="C25" s="4"/>
      <c r="D25" s="4"/>
      <c r="E25" s="51" t="s">
        <v>27</v>
      </c>
      <c r="F25" s="55"/>
      <c r="G25" s="94" t="s">
        <v>33</v>
      </c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32"/>
      <c r="S25" s="28"/>
    </row>
    <row r="26" spans="1:19" ht="13.5" thickBot="1">
      <c r="A26" s="14"/>
      <c r="B26" s="72" t="s">
        <v>8</v>
      </c>
      <c r="C26" s="7"/>
      <c r="D26" s="7"/>
      <c r="E26" s="63">
        <v>2001</v>
      </c>
      <c r="F26" s="56"/>
      <c r="G26" s="81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67"/>
      <c r="S26" s="29"/>
    </row>
    <row r="27" spans="1:19" ht="13.5" thickTop="1">
      <c r="A27" s="15" t="s">
        <v>50</v>
      </c>
      <c r="B27" s="6"/>
      <c r="C27" s="6"/>
      <c r="D27" s="6"/>
      <c r="E27" s="31"/>
      <c r="F27" s="59"/>
      <c r="G27" s="82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12.75">
      <c r="A28" s="16" t="s">
        <v>21</v>
      </c>
      <c r="B28" s="3">
        <v>33646</v>
      </c>
      <c r="C28" s="2" t="s">
        <v>12</v>
      </c>
      <c r="D28" s="2" t="s">
        <v>19</v>
      </c>
      <c r="E28" s="28">
        <f>SUM(H28:S28)</f>
        <v>1916088658.4255102</v>
      </c>
      <c r="F28" s="46">
        <v>100</v>
      </c>
      <c r="G28" s="28">
        <f>40433194.59*B60</f>
        <v>1916088658.4255102</v>
      </c>
      <c r="H28" s="28"/>
      <c r="I28" s="28"/>
      <c r="J28" s="28">
        <f>40433194.59*B60</f>
        <v>1916088658.4255102</v>
      </c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2.75">
      <c r="A29" s="16"/>
      <c r="B29" s="2"/>
      <c r="C29" s="2"/>
      <c r="D29" s="2" t="s">
        <v>20</v>
      </c>
      <c r="E29" s="28">
        <f>SUM(H29:S29)</f>
        <v>140103205.25888002</v>
      </c>
      <c r="F29" s="46">
        <v>100</v>
      </c>
      <c r="G29" s="76">
        <f>E29*F29/100</f>
        <v>140103205.25888002</v>
      </c>
      <c r="H29" s="28"/>
      <c r="I29" s="28"/>
      <c r="J29" s="28">
        <f>2956449.92*B60</f>
        <v>140103205.25888002</v>
      </c>
      <c r="K29" s="28"/>
      <c r="L29" s="28"/>
      <c r="M29" s="28"/>
      <c r="N29" s="28"/>
      <c r="O29" s="28"/>
      <c r="P29" s="28"/>
      <c r="Q29" s="28"/>
      <c r="R29" s="28"/>
      <c r="S29" s="28"/>
    </row>
    <row r="30" spans="1:19" ht="12.75">
      <c r="A30" s="16" t="s">
        <v>22</v>
      </c>
      <c r="B30" s="3">
        <v>33679</v>
      </c>
      <c r="C30" s="2" t="s">
        <v>10</v>
      </c>
      <c r="D30" s="2" t="s">
        <v>19</v>
      </c>
      <c r="E30" s="28">
        <f>SUM(H30:S30)</f>
        <v>420008020.21365</v>
      </c>
      <c r="F30" s="46">
        <v>100</v>
      </c>
      <c r="G30" s="76">
        <f>E30*F30/100</f>
        <v>420008020.21365</v>
      </c>
      <c r="H30" s="28"/>
      <c r="I30" s="28"/>
      <c r="J30" s="28">
        <f>18671172.27*B59</f>
        <v>420008020.21365</v>
      </c>
      <c r="K30" s="28"/>
      <c r="L30" s="28"/>
      <c r="M30" s="28"/>
      <c r="N30" s="28"/>
      <c r="O30" s="28"/>
      <c r="P30" s="28"/>
      <c r="Q30" s="28"/>
      <c r="R30" s="28"/>
      <c r="S30" s="28"/>
    </row>
    <row r="31" spans="1:19" ht="12.75">
      <c r="A31" s="16"/>
      <c r="B31" s="2"/>
      <c r="C31" s="2"/>
      <c r="D31" s="2" t="s">
        <v>20</v>
      </c>
      <c r="E31" s="28"/>
      <c r="F31" s="46"/>
      <c r="G31" s="76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</row>
    <row r="32" spans="1:19" ht="12.75">
      <c r="A32" s="2" t="s">
        <v>47</v>
      </c>
      <c r="B32" s="3">
        <v>35501</v>
      </c>
      <c r="C32" s="2" t="s">
        <v>13</v>
      </c>
      <c r="D32" s="2" t="s">
        <v>19</v>
      </c>
      <c r="E32" s="28">
        <f>SUM(H32:S32)</f>
        <v>252891067</v>
      </c>
      <c r="F32" s="46">
        <v>100</v>
      </c>
      <c r="G32" s="76">
        <f>E32*F32/100</f>
        <v>252891067</v>
      </c>
      <c r="H32" s="28"/>
      <c r="I32" s="28"/>
      <c r="J32" s="28">
        <v>252891067</v>
      </c>
      <c r="K32" s="28"/>
      <c r="L32" s="28"/>
      <c r="M32" s="28"/>
      <c r="N32" s="28"/>
      <c r="O32" s="28"/>
      <c r="P32" s="28"/>
      <c r="Q32" s="28"/>
      <c r="R32" s="28"/>
      <c r="S32" s="28"/>
    </row>
    <row r="33" spans="1:19" ht="13.5" thickBot="1">
      <c r="A33" s="66"/>
      <c r="B33" s="7"/>
      <c r="C33" s="7"/>
      <c r="D33" s="7" t="s">
        <v>20</v>
      </c>
      <c r="E33" s="67"/>
      <c r="F33" s="96"/>
      <c r="G33" s="67"/>
      <c r="H33" s="45"/>
      <c r="I33" s="45"/>
      <c r="J33" s="29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4.25" thickBot="1" thickTop="1">
      <c r="A34" s="21" t="s">
        <v>0</v>
      </c>
      <c r="B34" s="22"/>
      <c r="C34" s="22"/>
      <c r="D34" s="22"/>
      <c r="E34" s="30">
        <f>SUM(E28:E33)</f>
        <v>2729090950.89804</v>
      </c>
      <c r="F34" s="95">
        <v>100</v>
      </c>
      <c r="G34" s="83">
        <f>E34*F34/100</f>
        <v>2729090950.89804</v>
      </c>
      <c r="H34" s="88"/>
      <c r="I34" s="88"/>
      <c r="J34" s="30">
        <f>SUM(J28:J33)</f>
        <v>2729090950.89804</v>
      </c>
      <c r="K34" s="88"/>
      <c r="L34" s="88"/>
      <c r="M34" s="88"/>
      <c r="N34" s="88"/>
      <c r="O34" s="88"/>
      <c r="P34" s="88"/>
      <c r="Q34" s="88"/>
      <c r="R34" s="88"/>
      <c r="S34" s="88"/>
    </row>
    <row r="35" spans="1:19" ht="13.5" thickBot="1">
      <c r="A35" s="18"/>
      <c r="B35" s="9"/>
      <c r="C35" s="9"/>
      <c r="D35" s="9"/>
      <c r="E35" s="9"/>
      <c r="F35" s="70"/>
      <c r="G35" s="71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2.75">
      <c r="A36" s="24" t="s">
        <v>51</v>
      </c>
      <c r="B36" s="3">
        <v>35417</v>
      </c>
      <c r="C36" s="2" t="s">
        <v>10</v>
      </c>
      <c r="D36" s="2" t="s">
        <v>19</v>
      </c>
      <c r="E36" s="28">
        <f>SUM(H36:S36)</f>
        <v>566874000</v>
      </c>
      <c r="F36" s="46">
        <v>100</v>
      </c>
      <c r="G36" s="76">
        <f>E36*F36/100</f>
        <v>566874000</v>
      </c>
      <c r="H36" s="28"/>
      <c r="I36" s="28"/>
      <c r="J36" s="28"/>
      <c r="K36" s="28">
        <f>2100000*B59</f>
        <v>47239500</v>
      </c>
      <c r="L36" s="28"/>
      <c r="M36" s="28"/>
      <c r="N36" s="28">
        <f>23100000*B59</f>
        <v>519634500</v>
      </c>
      <c r="O36" s="28"/>
      <c r="P36" s="28"/>
      <c r="Q36" s="28"/>
      <c r="R36" s="28"/>
      <c r="S36" s="28"/>
    </row>
    <row r="37" spans="1:19" ht="12.75">
      <c r="A37" s="16" t="s">
        <v>23</v>
      </c>
      <c r="B37" s="3"/>
      <c r="C37" s="2"/>
      <c r="D37" s="2" t="s">
        <v>20</v>
      </c>
      <c r="E37" s="28">
        <f>SUM(H37:S37)</f>
        <v>11854162.03125</v>
      </c>
      <c r="F37" s="46">
        <v>100</v>
      </c>
      <c r="G37" s="76">
        <f>E37*F37/100</f>
        <v>11854162.03125</v>
      </c>
      <c r="H37" s="28"/>
      <c r="I37" s="28"/>
      <c r="J37" s="28"/>
      <c r="K37" s="28">
        <f>263484.38*B59</f>
        <v>5927081.1281</v>
      </c>
      <c r="L37" s="28"/>
      <c r="M37" s="28"/>
      <c r="N37" s="28">
        <f>263484.37*B59</f>
        <v>5927080.903150001</v>
      </c>
      <c r="O37" s="28"/>
      <c r="P37" s="28"/>
      <c r="Q37" s="28"/>
      <c r="R37" s="28"/>
      <c r="S37" s="28"/>
    </row>
    <row r="38" spans="1:19" ht="12.75">
      <c r="A38" s="16"/>
      <c r="B38" s="3"/>
      <c r="C38" s="2" t="s">
        <v>12</v>
      </c>
      <c r="D38" s="2" t="s">
        <v>19</v>
      </c>
      <c r="E38" s="28">
        <f>SUM(H38:S38)</f>
        <v>568668000</v>
      </c>
      <c r="F38" s="46">
        <v>100</v>
      </c>
      <c r="G38" s="76">
        <f>E38*F38/100</f>
        <v>568668000</v>
      </c>
      <c r="H38" s="28"/>
      <c r="I38" s="28"/>
      <c r="J38" s="28"/>
      <c r="K38" s="28">
        <f>1000000*B60</f>
        <v>47389000</v>
      </c>
      <c r="L38" s="28"/>
      <c r="M38" s="28"/>
      <c r="N38" s="28">
        <f>11000000*B60</f>
        <v>521279000.00000006</v>
      </c>
      <c r="O38" s="28"/>
      <c r="P38" s="28"/>
      <c r="Q38" s="28"/>
      <c r="R38" s="28"/>
      <c r="S38" s="28"/>
    </row>
    <row r="39" spans="1:19" ht="13.5" thickBot="1">
      <c r="A39" s="17"/>
      <c r="B39" s="37"/>
      <c r="C39" s="8"/>
      <c r="D39" s="8" t="s">
        <v>20</v>
      </c>
      <c r="E39" s="28">
        <f>SUM(H39:S39)</f>
        <v>19059263.4375</v>
      </c>
      <c r="F39" s="107">
        <v>100</v>
      </c>
      <c r="G39" s="29">
        <f>E39*F39/100</f>
        <v>19059263.4375</v>
      </c>
      <c r="H39" s="29"/>
      <c r="I39" s="29"/>
      <c r="J39" s="29"/>
      <c r="K39" s="29">
        <f>201093.75*B60</f>
        <v>9529631.71875</v>
      </c>
      <c r="L39" s="29"/>
      <c r="M39" s="29"/>
      <c r="N39" s="29">
        <f>201093.75*B60</f>
        <v>9529631.71875</v>
      </c>
      <c r="O39" s="29"/>
      <c r="P39" s="29"/>
      <c r="Q39" s="29"/>
      <c r="R39" s="29"/>
      <c r="S39" s="29"/>
    </row>
    <row r="40" spans="1:19" ht="13.5" thickTop="1">
      <c r="A40" s="36" t="s">
        <v>0</v>
      </c>
      <c r="B40" s="33"/>
      <c r="C40" s="33"/>
      <c r="D40" s="33"/>
      <c r="E40" s="34">
        <f>SUM(E36:E39)</f>
        <v>1166455425.46875</v>
      </c>
      <c r="F40" s="59">
        <v>100</v>
      </c>
      <c r="G40" s="106">
        <f>E40*F40/100</f>
        <v>1166455425.46875</v>
      </c>
      <c r="H40" s="27"/>
      <c r="I40" s="27"/>
      <c r="J40" s="27"/>
      <c r="K40" s="27">
        <f>SUM(K36:K39)</f>
        <v>110085212.84685001</v>
      </c>
      <c r="L40" s="27"/>
      <c r="M40" s="27"/>
      <c r="N40" s="27">
        <f>SUM(N36:N39)</f>
        <v>1056370212.6219001</v>
      </c>
      <c r="O40" s="27"/>
      <c r="P40" s="27"/>
      <c r="Q40" s="27"/>
      <c r="R40" s="27"/>
      <c r="S40" s="27"/>
    </row>
    <row r="41" spans="1:19" ht="13.5" thickBot="1">
      <c r="A41" s="25"/>
      <c r="B41" s="26"/>
      <c r="C41" s="26"/>
      <c r="D41" s="26"/>
      <c r="E41" s="32"/>
      <c r="F41" s="60"/>
      <c r="G41" s="78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</row>
    <row r="42" spans="1:19" ht="12.75">
      <c r="A42" s="36"/>
      <c r="B42" s="6"/>
      <c r="C42" s="6"/>
      <c r="D42" s="6"/>
      <c r="E42" s="31"/>
      <c r="F42" s="34"/>
      <c r="G42" s="85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2.75">
      <c r="A43" s="24" t="s">
        <v>24</v>
      </c>
      <c r="B43" s="3">
        <v>36066</v>
      </c>
      <c r="C43" s="2" t="s">
        <v>10</v>
      </c>
      <c r="D43" s="2" t="s">
        <v>19</v>
      </c>
      <c r="E43" s="28">
        <f>SUM(H43:S43)</f>
        <v>28118750</v>
      </c>
      <c r="F43" s="46">
        <v>100</v>
      </c>
      <c r="G43" s="76">
        <f>E43*F43/100</f>
        <v>28118750</v>
      </c>
      <c r="H43" s="28"/>
      <c r="I43" s="28"/>
      <c r="J43" s="28">
        <f>625000*B59</f>
        <v>14059375</v>
      </c>
      <c r="K43" s="28"/>
      <c r="L43" s="28"/>
      <c r="M43" s="28">
        <f>625000*B59</f>
        <v>14059375</v>
      </c>
      <c r="N43" s="28"/>
      <c r="O43" s="28"/>
      <c r="P43" s="28"/>
      <c r="Q43" s="28"/>
      <c r="R43" s="28"/>
      <c r="S43" s="28"/>
    </row>
    <row r="44" spans="1:19" ht="13.5" thickBot="1">
      <c r="A44" s="17"/>
      <c r="B44" s="37"/>
      <c r="C44" s="8"/>
      <c r="D44" s="8" t="s">
        <v>20</v>
      </c>
      <c r="E44" s="28">
        <f>SUM(H44:S44)</f>
        <v>8172011.71875</v>
      </c>
      <c r="F44" s="107">
        <v>100</v>
      </c>
      <c r="G44" s="29">
        <f>E44*F44/100</f>
        <v>8172011.71875</v>
      </c>
      <c r="H44" s="29"/>
      <c r="I44" s="29"/>
      <c r="J44" s="29">
        <f>193750*B59</f>
        <v>4358406.25</v>
      </c>
      <c r="K44" s="29"/>
      <c r="L44" s="29"/>
      <c r="M44" s="29">
        <f>169531.25*B59</f>
        <v>3813605.46875</v>
      </c>
      <c r="N44" s="29"/>
      <c r="O44" s="29"/>
      <c r="P44" s="29"/>
      <c r="Q44" s="29"/>
      <c r="R44" s="29"/>
      <c r="S44" s="29"/>
    </row>
    <row r="45" spans="1:19" ht="13.5" thickTop="1">
      <c r="A45" s="36" t="s">
        <v>0</v>
      </c>
      <c r="B45" s="33"/>
      <c r="C45" s="33"/>
      <c r="D45" s="33"/>
      <c r="E45" s="34">
        <f>SUM(E43:E44)</f>
        <v>36290761.71875</v>
      </c>
      <c r="F45" s="59">
        <v>100</v>
      </c>
      <c r="G45" s="106">
        <f>E45*F45/100</f>
        <v>36290761.71875</v>
      </c>
      <c r="H45" s="27"/>
      <c r="I45" s="27"/>
      <c r="J45" s="27">
        <f>SUM(J43:J44)</f>
        <v>18417781.25</v>
      </c>
      <c r="K45" s="27"/>
      <c r="L45" s="27"/>
      <c r="M45" s="27">
        <f>SUM(M43:M44)</f>
        <v>17872980.46875</v>
      </c>
      <c r="N45" s="27"/>
      <c r="O45" s="27"/>
      <c r="P45" s="27"/>
      <c r="Q45" s="27"/>
      <c r="R45" s="27"/>
      <c r="S45" s="27"/>
    </row>
    <row r="46" spans="1:19" ht="13.5" thickBot="1">
      <c r="A46" s="25"/>
      <c r="B46" s="38"/>
      <c r="C46" s="38"/>
      <c r="D46" s="38"/>
      <c r="E46" s="39"/>
      <c r="F46" s="60"/>
      <c r="G46" s="78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ht="13.5" thickBot="1">
      <c r="A47" s="68"/>
      <c r="B47" s="22"/>
      <c r="C47" s="22"/>
      <c r="D47" s="22"/>
      <c r="E47" s="30"/>
      <c r="F47" s="62"/>
      <c r="G47" s="78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20" ht="16.5" thickBot="1">
      <c r="A48" s="103" t="s">
        <v>25</v>
      </c>
      <c r="B48" s="101"/>
      <c r="C48" s="23"/>
      <c r="D48" s="48"/>
      <c r="E48" s="48">
        <f>SUM(E45+E40+E34+E22+E19+E11)</f>
        <v>9955916726.83576</v>
      </c>
      <c r="F48" s="89"/>
      <c r="G48" s="48">
        <f aca="true" t="shared" si="0" ref="G48:L48">SUM(G45+G40+G34+G22+G19+G11)</f>
        <v>9955916726.83576</v>
      </c>
      <c r="H48" s="48">
        <f t="shared" si="0"/>
        <v>0</v>
      </c>
      <c r="I48" s="48">
        <f t="shared" si="0"/>
        <v>0</v>
      </c>
      <c r="J48" s="48">
        <f t="shared" si="0"/>
        <v>2747508732.14804</v>
      </c>
      <c r="K48" s="48">
        <f t="shared" si="0"/>
        <v>533671276.59787</v>
      </c>
      <c r="L48" s="48">
        <f t="shared" si="0"/>
        <v>0</v>
      </c>
      <c r="M48" s="89">
        <f>SUM(M11+M19+M22+M34+M40+M45)</f>
        <v>361443230.46875</v>
      </c>
      <c r="N48" s="48">
        <f aca="true" t="shared" si="1" ref="N48:S48">SUM(N45+N40+N34+N22+N19+N11)</f>
        <v>5307925212.621901</v>
      </c>
      <c r="O48" s="110">
        <f t="shared" si="1"/>
        <v>122088900</v>
      </c>
      <c r="P48" s="48">
        <f t="shared" si="1"/>
        <v>85519432</v>
      </c>
      <c r="Q48" s="48">
        <f t="shared" si="1"/>
        <v>407914692.9992</v>
      </c>
      <c r="R48" s="48">
        <f t="shared" si="1"/>
        <v>0</v>
      </c>
      <c r="S48" s="48">
        <f t="shared" si="1"/>
        <v>389845250</v>
      </c>
      <c r="T48" s="97"/>
    </row>
    <row r="49" spans="1:20" ht="16.5" thickBot="1">
      <c r="A49" s="109" t="s">
        <v>48</v>
      </c>
      <c r="B49" s="108"/>
      <c r="C49" s="98"/>
      <c r="D49" s="98"/>
      <c r="E49" s="79"/>
      <c r="F49" s="79"/>
      <c r="G49" s="79"/>
      <c r="H49" s="79">
        <v>0</v>
      </c>
      <c r="I49" s="79">
        <f>SUM(H48+I48)</f>
        <v>0</v>
      </c>
      <c r="J49" s="79">
        <f aca="true" t="shared" si="2" ref="J49:S49">SUM(I49+J48)</f>
        <v>2747508732.14804</v>
      </c>
      <c r="K49" s="79">
        <f t="shared" si="2"/>
        <v>3281180008.7459097</v>
      </c>
      <c r="L49" s="79">
        <f t="shared" si="2"/>
        <v>3281180008.7459097</v>
      </c>
      <c r="M49" s="99">
        <f t="shared" si="2"/>
        <v>3642623239.2146597</v>
      </c>
      <c r="N49" s="99">
        <f t="shared" si="2"/>
        <v>8950548451.83656</v>
      </c>
      <c r="O49" s="99">
        <f t="shared" si="2"/>
        <v>9072637351.83656</v>
      </c>
      <c r="P49" s="99">
        <f t="shared" si="2"/>
        <v>9158156783.83656</v>
      </c>
      <c r="Q49" s="99">
        <f t="shared" si="2"/>
        <v>9566071476.83576</v>
      </c>
      <c r="R49" s="99">
        <f t="shared" si="2"/>
        <v>9566071476.83576</v>
      </c>
      <c r="S49" s="99">
        <f t="shared" si="2"/>
        <v>9955916726.83576</v>
      </c>
      <c r="T49" s="100"/>
    </row>
    <row r="50" spans="1:20" ht="15">
      <c r="A50" s="102" t="s">
        <v>49</v>
      </c>
      <c r="B50" s="9"/>
      <c r="C50" s="9"/>
      <c r="D50" s="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97"/>
    </row>
    <row r="51" spans="1:20" ht="15">
      <c r="A51" s="102" t="s">
        <v>52</v>
      </c>
      <c r="B51" s="9"/>
      <c r="C51" s="9"/>
      <c r="D51" s="9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97"/>
    </row>
    <row r="52" spans="1:20" ht="15">
      <c r="A52" s="102" t="s">
        <v>53</v>
      </c>
      <c r="B52" s="9"/>
      <c r="C52" s="9"/>
      <c r="D52" s="9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97"/>
    </row>
    <row r="53" spans="1:20" ht="15">
      <c r="A53" s="102" t="s">
        <v>54</v>
      </c>
      <c r="B53" s="9"/>
      <c r="C53" s="9"/>
      <c r="D53" s="9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97"/>
    </row>
    <row r="54" spans="1:20" ht="15.75">
      <c r="A54" s="54"/>
      <c r="B54" s="9"/>
      <c r="C54" s="9"/>
      <c r="D54" s="9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97"/>
    </row>
    <row r="55" spans="1:20" ht="15.75">
      <c r="A55" s="54"/>
      <c r="B55" s="9"/>
      <c r="C55" s="9"/>
      <c r="D55" s="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97"/>
    </row>
    <row r="56" spans="1:20" ht="15.75">
      <c r="A56" s="54"/>
      <c r="B56" s="9"/>
      <c r="C56" s="9"/>
      <c r="D56" s="9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97"/>
    </row>
    <row r="57" spans="1:20" ht="15.75">
      <c r="A57" s="54"/>
      <c r="B57" s="9"/>
      <c r="C57" s="9"/>
      <c r="D57" s="9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97"/>
    </row>
    <row r="58" spans="1:7" ht="12.75">
      <c r="A58" t="s">
        <v>49</v>
      </c>
      <c r="F58" s="43"/>
      <c r="G58" s="42"/>
    </row>
    <row r="59" spans="1:7" ht="12.75">
      <c r="A59" t="s">
        <v>10</v>
      </c>
      <c r="B59">
        <v>22.495</v>
      </c>
      <c r="F59" s="43"/>
      <c r="G59" s="44"/>
    </row>
    <row r="60" spans="1:7" ht="12.75">
      <c r="A60" t="s">
        <v>12</v>
      </c>
      <c r="B60">
        <v>47.389</v>
      </c>
      <c r="F60" s="43"/>
      <c r="G60" s="44"/>
    </row>
    <row r="61" spans="1:7" ht="12.75">
      <c r="A61" t="s">
        <v>18</v>
      </c>
      <c r="B61">
        <v>1.254</v>
      </c>
      <c r="F61" s="43"/>
      <c r="G61" s="40"/>
    </row>
    <row r="62" spans="1:7" ht="12.75">
      <c r="A62" t="s">
        <v>14</v>
      </c>
      <c r="B62">
        <v>43.996</v>
      </c>
      <c r="F62" s="43"/>
      <c r="G62" s="40"/>
    </row>
    <row r="63" spans="1:7" ht="12.75">
      <c r="A63" t="s">
        <v>11</v>
      </c>
      <c r="B63">
        <v>3.197</v>
      </c>
      <c r="F63" s="43"/>
      <c r="G63" s="42"/>
    </row>
    <row r="64" spans="1:7" ht="12.75">
      <c r="A64" t="s">
        <v>17</v>
      </c>
      <c r="B64">
        <v>6.707</v>
      </c>
      <c r="F64" s="43"/>
      <c r="G64" s="9"/>
    </row>
    <row r="65" spans="1:7" ht="12.75">
      <c r="A65" t="s">
        <v>15</v>
      </c>
      <c r="B65">
        <v>28.82</v>
      </c>
      <c r="F65" s="43"/>
      <c r="G65" s="9"/>
    </row>
    <row r="66" spans="1:7" ht="12.75">
      <c r="A66" t="s">
        <v>16</v>
      </c>
      <c r="B66">
        <v>0.41397</v>
      </c>
      <c r="F66" s="43"/>
      <c r="G66" s="9"/>
    </row>
    <row r="67" spans="6:7" ht="12.75">
      <c r="F67" s="43"/>
      <c r="G67" s="9"/>
    </row>
    <row r="68" spans="1:7" ht="12.75">
      <c r="A68" t="s">
        <v>13</v>
      </c>
      <c r="B68">
        <v>1</v>
      </c>
      <c r="F68" s="43"/>
      <c r="G68" s="9"/>
    </row>
    <row r="69" spans="6:7" ht="12.75">
      <c r="F69" s="43"/>
      <c r="G69" s="9"/>
    </row>
    <row r="70" spans="6:7" ht="12.75">
      <c r="F70" s="43"/>
      <c r="G70" s="9"/>
    </row>
    <row r="71" spans="6:7" ht="12.75">
      <c r="F71" s="43"/>
      <c r="G71" s="9"/>
    </row>
    <row r="72" ht="12.75">
      <c r="F72" s="35"/>
    </row>
  </sheetData>
  <printOptions/>
  <pageMargins left="0.75" right="0.75" top="1" bottom="1" header="0.4921259845" footer="0.4921259845"/>
  <pageSetup horizontalDpi="600" verticalDpi="600" orientation="landscape" paperSize="9" scale="60" r:id="rId1"/>
  <headerFooter alignWithMargins="0">
    <oddHeader>&amp;C&amp;"Arial CE,Tučné"&amp;12Očakávaná realizácia štátnych záruk v roku 2001 (podľa mesiacov)- tabuľka č.2&amp;R
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MF_SR</cp:lastModifiedBy>
  <cp:lastPrinted>2001-02-21T10:18:18Z</cp:lastPrinted>
  <dcterms:created xsi:type="dcterms:W3CDTF">1999-11-30T08:07:18Z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