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371" windowWidth="11340" windowHeight="6540" firstSheet="3" activeTab="7"/>
  </bookViews>
  <sheets>
    <sheet name="Príloha 1" sheetId="1" r:id="rId1"/>
    <sheet name="Príloha 2a" sheetId="2" r:id="rId2"/>
    <sheet name="tržby" sheetId="3" state="hidden" r:id="rId3"/>
    <sheet name="príloha2b" sheetId="4" r:id="rId4"/>
    <sheet name="Príloha 3" sheetId="5" r:id="rId5"/>
    <sheet name="Príloha 4" sheetId="6" r:id="rId6"/>
    <sheet name="Príloha 5" sheetId="7" r:id="rId7"/>
    <sheet name="Príloha 6" sheetId="8" r:id="rId8"/>
    <sheet name="Príloha 7" sheetId="9" r:id="rId9"/>
    <sheet name="príloha 8" sheetId="10" r:id="rId10"/>
  </sheets>
  <externalReferences>
    <externalReference r:id="rId13"/>
  </externalReferences>
  <definedNames>
    <definedName name="_xlnm.Print_Titles" localSheetId="9">'príloha 8'!$1:$1</definedName>
  </definedNames>
  <calcPr fullCalcOnLoad="1"/>
</workbook>
</file>

<file path=xl/sharedStrings.xml><?xml version="1.0" encoding="utf-8"?>
<sst xmlns="http://schemas.openxmlformats.org/spreadsheetml/2006/main" count="782" uniqueCount="431">
  <si>
    <t>VLKM</t>
  </si>
  <si>
    <t>TIS.HRTKM</t>
  </si>
  <si>
    <t>TIS.HRT</t>
  </si>
  <si>
    <t>Osobná doprava</t>
  </si>
  <si>
    <t>Nákladná  doprava</t>
  </si>
  <si>
    <t>SUMA</t>
  </si>
  <si>
    <t>v tom</t>
  </si>
  <si>
    <t>US Steel</t>
  </si>
  <si>
    <t>Železničná spoločnosť, a.s.</t>
  </si>
  <si>
    <t>Kalkulačná položka</t>
  </si>
  <si>
    <t>(tis. Sk)</t>
  </si>
  <si>
    <t>Dopravná cesta celkom</t>
  </si>
  <si>
    <t>1.Spotreba materiálu</t>
  </si>
  <si>
    <t>2.Spotreba energií</t>
  </si>
  <si>
    <t>3.Opravy a údržba</t>
  </si>
  <si>
    <t>4.Mzdové náklady</t>
  </si>
  <si>
    <t>5.Odpisy NIM a HIM</t>
  </si>
  <si>
    <t>6.Ostatné priame náklady</t>
  </si>
  <si>
    <t xml:space="preserve">  Cestovné</t>
  </si>
  <si>
    <t xml:space="preserve">  Ostatné služby</t>
  </si>
  <si>
    <t xml:space="preserve">  Iné priame náklady</t>
  </si>
  <si>
    <t>7.Režijné náklady</t>
  </si>
  <si>
    <t xml:space="preserve">  Prevádzková réžia</t>
  </si>
  <si>
    <t xml:space="preserve">  Správna réžia</t>
  </si>
  <si>
    <t xml:space="preserve">  Správna réžia sieťová</t>
  </si>
  <si>
    <t>8.Finančné náklady  */</t>
  </si>
  <si>
    <t xml:space="preserve">  Úplné vlastné náklady</t>
  </si>
  <si>
    <t>9. Zisk</t>
  </si>
  <si>
    <t>Ukazovateľ</t>
  </si>
  <si>
    <t>M.j.</t>
  </si>
  <si>
    <t>ZVVZ</t>
  </si>
  <si>
    <t>Trate celkom</t>
  </si>
  <si>
    <t>km</t>
  </si>
  <si>
    <t>Dopravný výkon OD (Celkom)</t>
  </si>
  <si>
    <t>tis.vlkm</t>
  </si>
  <si>
    <t>Dopravný výkon ND (Celkom)</t>
  </si>
  <si>
    <t>tis.hrtkm</t>
  </si>
  <si>
    <t>tis.hrt</t>
  </si>
  <si>
    <t>mil.Sk</t>
  </si>
  <si>
    <t>Tržby - poplatok za používanie ŽDC ŽS, a.s.</t>
  </si>
  <si>
    <t>Tržby - poplatok za používanie ŽDC US Steel</t>
  </si>
  <si>
    <t>Úhrada zo ŠR - preddavok</t>
  </si>
  <si>
    <t>ZVVZ 2002</t>
  </si>
  <si>
    <t>skutočnosť 2002</t>
  </si>
  <si>
    <t>skutočnosť</t>
  </si>
  <si>
    <t>plán EON</t>
  </si>
  <si>
    <t xml:space="preserve">  (tis. Sk)</t>
  </si>
  <si>
    <t>celý rok 2002</t>
  </si>
  <si>
    <t>1-6.mes.2002</t>
  </si>
  <si>
    <t xml:space="preserve">  skutočnosť</t>
  </si>
  <si>
    <t>Dopravný výkon ND US Steel</t>
  </si>
  <si>
    <t>Grafikon vlakovej dopravy  ( bez EC, IC)</t>
  </si>
  <si>
    <t>Plnenie GVD (%)</t>
  </si>
  <si>
    <t xml:space="preserve">Plnenie </t>
  </si>
  <si>
    <t>Index</t>
  </si>
  <si>
    <t>Druh vlaku</t>
  </si>
  <si>
    <t xml:space="preserve">  Zmluva</t>
  </si>
  <si>
    <t>Skutočnosť</t>
  </si>
  <si>
    <t>Rozdiel</t>
  </si>
  <si>
    <t>zmluvy</t>
  </si>
  <si>
    <t>2002/2001</t>
  </si>
  <si>
    <t xml:space="preserve"> - medzinárodné rýchliky</t>
  </si>
  <si>
    <t xml:space="preserve"> - vnútroštátne rýchliky</t>
  </si>
  <si>
    <t xml:space="preserve"> - osobné vlaky</t>
  </si>
  <si>
    <t>Osobná doprava celkom</t>
  </si>
  <si>
    <t>Plnenie GVD - vývoj za I. polrok 2002   (bez EC, IC)</t>
  </si>
  <si>
    <t xml:space="preserve">Plnenie GVD podľa </t>
  </si>
  <si>
    <t>I.</t>
  </si>
  <si>
    <t>II.</t>
  </si>
  <si>
    <t>III.</t>
  </si>
  <si>
    <t>IV.</t>
  </si>
  <si>
    <t>V.</t>
  </si>
  <si>
    <t>VI.</t>
  </si>
  <si>
    <t>Km</t>
  </si>
  <si>
    <t>OD</t>
  </si>
  <si>
    <t>DO</t>
  </si>
  <si>
    <t>PCR</t>
  </si>
  <si>
    <t>NTR</t>
  </si>
  <si>
    <t>Čierna nad Tisou štátna hranica</t>
  </si>
  <si>
    <t>Čierna nad Tisou</t>
  </si>
  <si>
    <t>Dobrá pri Čiernej nad Tisou</t>
  </si>
  <si>
    <t>Michaľany</t>
  </si>
  <si>
    <t>Košice</t>
  </si>
  <si>
    <t>Maťovce štátna hranica ŠRT</t>
  </si>
  <si>
    <t>Maťovce ŠRT</t>
  </si>
  <si>
    <t>Vojany ŠRT</t>
  </si>
  <si>
    <t>Haniska pri Košiciach ŠRT</t>
  </si>
  <si>
    <t>Medzilaborce štátna hranica</t>
  </si>
  <si>
    <t>Medzilaborce</t>
  </si>
  <si>
    <t>Humenné</t>
  </si>
  <si>
    <t>Strážske</t>
  </si>
  <si>
    <t>Bánovce nad Ondavou</t>
  </si>
  <si>
    <t>Trebišov</t>
  </si>
  <si>
    <t>Výh. Červený Dvor NR</t>
  </si>
  <si>
    <t>Stakčín</t>
  </si>
  <si>
    <t>Vranov nad Topľou</t>
  </si>
  <si>
    <t>Bardejov</t>
  </si>
  <si>
    <t>Kapušany pri Prešove</t>
  </si>
  <si>
    <t>Maťovce</t>
  </si>
  <si>
    <t>Veľké Kapušany</t>
  </si>
  <si>
    <t>Kysak</t>
  </si>
  <si>
    <t>Margecany</t>
  </si>
  <si>
    <t>Spišská Nová Ves</t>
  </si>
  <si>
    <t>Poprad – Tatry</t>
  </si>
  <si>
    <t>Štrba</t>
  </si>
  <si>
    <t>Liptovský Mikuláš</t>
  </si>
  <si>
    <t>Kraľovany</t>
  </si>
  <si>
    <t>Vrútky</t>
  </si>
  <si>
    <t>Žilina</t>
  </si>
  <si>
    <t>Púchov</t>
  </si>
  <si>
    <t>Čadca</t>
  </si>
  <si>
    <t>Prešov</t>
  </si>
  <si>
    <t>Plaveč</t>
  </si>
  <si>
    <t>Plaveč štátna hranica</t>
  </si>
  <si>
    <t>Barca</t>
  </si>
  <si>
    <t>Haniska pri Košiciach</t>
  </si>
  <si>
    <t>Rožňava</t>
  </si>
  <si>
    <t>Plešivec</t>
  </si>
  <si>
    <t>Čaňa</t>
  </si>
  <si>
    <t>Čaňa štátna hranica</t>
  </si>
  <si>
    <t>Červená Skala</t>
  </si>
  <si>
    <t>Brezno</t>
  </si>
  <si>
    <t>Banská Bystrica</t>
  </si>
  <si>
    <t>Moldava nad Bodvou</t>
  </si>
  <si>
    <t>Medzev</t>
  </si>
  <si>
    <t>Dobšiná</t>
  </si>
  <si>
    <t>Slavošovce</t>
  </si>
  <si>
    <t>Muráň</t>
  </si>
  <si>
    <t>Studený Potok</t>
  </si>
  <si>
    <t>Poprad Tatry</t>
  </si>
  <si>
    <t>Tatranská Lomnica</t>
  </si>
  <si>
    <t>Poprad - Tatry</t>
  </si>
  <si>
    <t>Starý Smokovec</t>
  </si>
  <si>
    <t>Štrbské Pleso</t>
  </si>
  <si>
    <t>Spišské Podhradie</t>
  </si>
  <si>
    <t>Spišské Vlachy</t>
  </si>
  <si>
    <t>Levoča</t>
  </si>
  <si>
    <t>Trstená</t>
  </si>
  <si>
    <t>Skalité</t>
  </si>
  <si>
    <t>Skalité štátna hranica</t>
  </si>
  <si>
    <t>Makov</t>
  </si>
  <si>
    <t>Rajec</t>
  </si>
  <si>
    <t>Lenartovce</t>
  </si>
  <si>
    <t>Jesenské</t>
  </si>
  <si>
    <t>Fiľakovo</t>
  </si>
  <si>
    <t>Lučenec</t>
  </si>
  <si>
    <t>Zvolen nákladná st.</t>
  </si>
  <si>
    <t>Zvolen osobná st.</t>
  </si>
  <si>
    <t>Lenartovce štátna hranica</t>
  </si>
  <si>
    <t>Fiľakovo štátna hranica</t>
  </si>
  <si>
    <t>Rimavská Sobota</t>
  </si>
  <si>
    <t>Tisovec</t>
  </si>
  <si>
    <t>Pohronská Polhora</t>
  </si>
  <si>
    <t>Poltár</t>
  </si>
  <si>
    <t>Veľký Krtíš</t>
  </si>
  <si>
    <t>Malé Straciny</t>
  </si>
  <si>
    <t>Bušince štátna hranica</t>
  </si>
  <si>
    <t>Kalonda štátna hranica</t>
  </si>
  <si>
    <t>Utekáč</t>
  </si>
  <si>
    <t>Breznička</t>
  </si>
  <si>
    <t>Katarínska Huta</t>
  </si>
  <si>
    <t>Hronská Dúbrava</t>
  </si>
  <si>
    <t>Diviaky</t>
  </si>
  <si>
    <t>Martin</t>
  </si>
  <si>
    <t>Šahy</t>
  </si>
  <si>
    <t>Čata</t>
  </si>
  <si>
    <t>Levice</t>
  </si>
  <si>
    <t>Štúrovo</t>
  </si>
  <si>
    <t>Štúrovo štátna hranica</t>
  </si>
  <si>
    <t>Nové Zámky</t>
  </si>
  <si>
    <t>Palárikovo</t>
  </si>
  <si>
    <t>Galanta</t>
  </si>
  <si>
    <t>Bratislava – Vajnory</t>
  </si>
  <si>
    <t>Bratislava hlavná stanica</t>
  </si>
  <si>
    <t>Komárno štátna hranica</t>
  </si>
  <si>
    <t>Komárno</t>
  </si>
  <si>
    <t xml:space="preserve">Komárno </t>
  </si>
  <si>
    <t>Komárno Dunaj</t>
  </si>
  <si>
    <t>Banská Štiavnica</t>
  </si>
  <si>
    <t>Žiar nad Hronom</t>
  </si>
  <si>
    <t>Kozárovce</t>
  </si>
  <si>
    <t>Uľany nad Žitavou</t>
  </si>
  <si>
    <t>Šurany</t>
  </si>
  <si>
    <t>Horná Štubňa</t>
  </si>
  <si>
    <t>Sklené pri Handlovej</t>
  </si>
  <si>
    <t>Handlová</t>
  </si>
  <si>
    <t>Prievidza</t>
  </si>
  <si>
    <t>Chynorany</t>
  </si>
  <si>
    <t>Topoľčany</t>
  </si>
  <si>
    <t>Jelšovce</t>
  </si>
  <si>
    <t>Lužianky</t>
  </si>
  <si>
    <t>Zbehy</t>
  </si>
  <si>
    <t>Nitra</t>
  </si>
  <si>
    <t>Nitrianske Pravno</t>
  </si>
  <si>
    <t>Zlaté Moravce</t>
  </si>
  <si>
    <t>Leopoldov</t>
  </si>
  <si>
    <t>Topoľčianky</t>
  </si>
  <si>
    <t>Úľany nad Žitavou</t>
  </si>
  <si>
    <t>Radošina</t>
  </si>
  <si>
    <t>Neded</t>
  </si>
  <si>
    <t>Šaľa</t>
  </si>
  <si>
    <t>Dunajská Streda</t>
  </si>
  <si>
    <t>Bratislava - Nové Mesto</t>
  </si>
  <si>
    <t>Kolárovo</t>
  </si>
  <si>
    <t>Trenčianska Teplá</t>
  </si>
  <si>
    <t>Trenčín</t>
  </si>
  <si>
    <t>Nové Mesto nad Váhom</t>
  </si>
  <si>
    <t>Trnava</t>
  </si>
  <si>
    <t>Bratislava – Rača</t>
  </si>
  <si>
    <t>Devínska Nová Ves</t>
  </si>
  <si>
    <t>Kúty</t>
  </si>
  <si>
    <t>Kúty štátna hranica</t>
  </si>
  <si>
    <t>Devínska nová Ves</t>
  </si>
  <si>
    <t>Devínska nová Ves štátna hranica</t>
  </si>
  <si>
    <t>Devínske Jazero</t>
  </si>
  <si>
    <t>Stupava</t>
  </si>
  <si>
    <t>Plavecký Mikuláš</t>
  </si>
  <si>
    <t>Zohor</t>
  </si>
  <si>
    <t>Záhorská Ves</t>
  </si>
  <si>
    <t>Rusovce</t>
  </si>
  <si>
    <t>Rusovce štátna hranica</t>
  </si>
  <si>
    <t>Bratislava ústredná nákladná st.</t>
  </si>
  <si>
    <t>Bratislava Petržalka štátna hranica</t>
  </si>
  <si>
    <t>Bratislava – Petržalka</t>
  </si>
  <si>
    <t>Bratislava – Pálenisko</t>
  </si>
  <si>
    <t>Bratislava – Nové Mesto</t>
  </si>
  <si>
    <t>Bratislava – Nové mesto</t>
  </si>
  <si>
    <t>Bratislava predmestie</t>
  </si>
  <si>
    <t>Bratislava východ</t>
  </si>
  <si>
    <t>Bratislava - Rača</t>
  </si>
  <si>
    <t>Bratislava - Vajnory</t>
  </si>
  <si>
    <t>Vajnory - odb. Močiar</t>
  </si>
  <si>
    <t>Sereď</t>
  </si>
  <si>
    <t>Brezová pod Bradlom</t>
  </si>
  <si>
    <t>Jablonica</t>
  </si>
  <si>
    <t>Vrbovce</t>
  </si>
  <si>
    <t>Vrbovce štátna hranica</t>
  </si>
  <si>
    <t>Holíč nad Moravou</t>
  </si>
  <si>
    <t>Skalica na Slovensku</t>
  </si>
  <si>
    <t>Skalica na Slovensku štátna hranica</t>
  </si>
  <si>
    <t>Holíč nad Moravou štátna hranica</t>
  </si>
  <si>
    <t>Trenčianska Teplice</t>
  </si>
  <si>
    <t>Piešťany</t>
  </si>
  <si>
    <t>Vrbové</t>
  </si>
  <si>
    <t>Nemšová</t>
  </si>
  <si>
    <t>Lednické Rovne</t>
  </si>
  <si>
    <t>Čadca štátna hranica</t>
  </si>
  <si>
    <t>Lúky pod Makytou</t>
  </si>
  <si>
    <t>Lúky pod Makytou štátna hranica</t>
  </si>
  <si>
    <t>Nemšová štátna hranica</t>
  </si>
  <si>
    <t>Poznámka</t>
  </si>
  <si>
    <t>Priemerná cestovná rýchlosť</t>
  </si>
  <si>
    <t>Najväčšia traťová rýchlosť</t>
  </si>
  <si>
    <t>OSOBNÁ DOPRAVA</t>
  </si>
  <si>
    <t>KATEGÓRIA</t>
  </si>
  <si>
    <t>VÝKONY</t>
  </si>
  <si>
    <t>TRATE</t>
  </si>
  <si>
    <t>CELKOM</t>
  </si>
  <si>
    <t>NÁKLADNÁ DOPRAVA</t>
  </si>
  <si>
    <t>SPOLU DOPRAVCOVIA</t>
  </si>
  <si>
    <t>Nákladná doprava</t>
  </si>
  <si>
    <t>Spolu</t>
  </si>
  <si>
    <t>Sadzby sú v súlade s cenovým výmerom MF SR č. R-7/1999 a neobsahujú DPH</t>
  </si>
  <si>
    <r>
      <t xml:space="preserve">   </t>
    </r>
    <r>
      <rPr>
        <i/>
        <sz val="10"/>
        <rFont val="Arial CE"/>
        <family val="2"/>
      </rPr>
      <t>Zákonné soc. poistenie</t>
    </r>
  </si>
  <si>
    <t>Finančné náklady za 1. polrok 2002</t>
  </si>
  <si>
    <t>Účet</t>
  </si>
  <si>
    <t>Celkom</t>
  </si>
  <si>
    <t>561 - pred.cenné papiere</t>
  </si>
  <si>
    <t>562 - úroky</t>
  </si>
  <si>
    <t>563 - kurzové straty</t>
  </si>
  <si>
    <t>568 - ost.fin.náklady</t>
  </si>
  <si>
    <t>574 - tvorba rezervy</t>
  </si>
  <si>
    <t>Ostatné tržby hlavnej činnosti</t>
  </si>
  <si>
    <t>ENV</t>
  </si>
  <si>
    <t>66 fin. výnosy spolu</t>
  </si>
  <si>
    <t>Dopravné výkony</t>
  </si>
  <si>
    <t>.</t>
  </si>
  <si>
    <t>Plán</t>
  </si>
  <si>
    <t>Celosieťová réžia</t>
  </si>
  <si>
    <t>po 4. predb.</t>
  </si>
  <si>
    <t>CPN</t>
  </si>
  <si>
    <t xml:space="preserve">CPN </t>
  </si>
  <si>
    <t>Ap. GR</t>
  </si>
  <si>
    <t>Plán CSR</t>
  </si>
  <si>
    <t xml:space="preserve">                                     Skutočnosť</t>
  </si>
  <si>
    <t>Plán PR</t>
  </si>
  <si>
    <t>celkom</t>
  </si>
  <si>
    <t>888 sa</t>
  </si>
  <si>
    <t>880 CPN</t>
  </si>
  <si>
    <t>880 ap. GR</t>
  </si>
  <si>
    <t>ŽDC</t>
  </si>
  <si>
    <t>PR ŽDC</t>
  </si>
  <si>
    <t>501- spotreba materiálu</t>
  </si>
  <si>
    <t>502- spotreba energie</t>
  </si>
  <si>
    <t>503- spotr. ost. neskl. dodávok</t>
  </si>
  <si>
    <t>504- predaný tovar</t>
  </si>
  <si>
    <t>511- opravy a udržiavanie</t>
  </si>
  <si>
    <t>513- nákl. na reprezentáciu</t>
  </si>
  <si>
    <t>523- odmeny členom SR</t>
  </si>
  <si>
    <t>525- ostatné sociálne náklady</t>
  </si>
  <si>
    <t>527- zákonné sociálne náklady</t>
  </si>
  <si>
    <t>528- zákonné sociálne náklady</t>
  </si>
  <si>
    <t>531- cestná daň</t>
  </si>
  <si>
    <t>532- daň z nehnuteľností</t>
  </si>
  <si>
    <t>538- ost. dane a poplatky</t>
  </si>
  <si>
    <t>541- zost. cena vyr. N a HIM</t>
  </si>
  <si>
    <t>542- predaný materiál</t>
  </si>
  <si>
    <t>543- dary</t>
  </si>
  <si>
    <t>544- zmluvné pokuty a penále</t>
  </si>
  <si>
    <t>545- ost. pokuty a penále</t>
  </si>
  <si>
    <t>546- odpis pohľadávky</t>
  </si>
  <si>
    <t>548- ost. prev. náklady</t>
  </si>
  <si>
    <t>551- odpisy  N a HIM a d. prostr</t>
  </si>
  <si>
    <t>559- tvorba opravných položiek</t>
  </si>
  <si>
    <t>562- úroky</t>
  </si>
  <si>
    <t>563- kurzové straty</t>
  </si>
  <si>
    <t>568- ostatné fin. náklady</t>
  </si>
  <si>
    <t>574- tvorba rezerv</t>
  </si>
  <si>
    <t>582- manká a škody</t>
  </si>
  <si>
    <t>58x- ostatné mimor. náklady</t>
  </si>
  <si>
    <t>595 - dodat. náklady</t>
  </si>
  <si>
    <t xml:space="preserve">599 - vnútropodn. náklady </t>
  </si>
  <si>
    <t xml:space="preserve">801 - príspevky pre VOJ </t>
  </si>
  <si>
    <t>892 - vnútropodn. náklady</t>
  </si>
  <si>
    <t>Podiel PR k HČ</t>
  </si>
  <si>
    <t>Prevádzková réžia</t>
  </si>
  <si>
    <t>*/ = finančné náklady sú očistené o regulérne finančné náklady, súvisiace s úvermi</t>
  </si>
  <si>
    <t xml:space="preserve">      so štátnou zárukou, ktoré ŽSR prijali pred 31.12.2001 a splácanie ktorých </t>
  </si>
  <si>
    <t xml:space="preserve">      zostalo na ŽSR aj po 1.1.2002 v zmysle rozhodnutí vlády SR a MDPT k </t>
  </si>
  <si>
    <t xml:space="preserve">      transformácii ŽSR.</t>
  </si>
  <si>
    <t>Rozsah zabezpečených vecných výkonov, podľa objednávky dopravcov</t>
  </si>
  <si>
    <t>Plnenie ZVVZ v %</t>
  </si>
  <si>
    <t>VKLM</t>
  </si>
  <si>
    <t xml:space="preserve">      pri prepise materiálu na rokovanie vlády</t>
  </si>
  <si>
    <t>1. polrok 2002</t>
  </si>
  <si>
    <t>602 - tržby z predaja služieb</t>
  </si>
  <si>
    <t>622 - aktiv. materiálu</t>
  </si>
  <si>
    <t>642 - tržby z predaja mater.</t>
  </si>
  <si>
    <t>644 - zmluvné pokuty</t>
  </si>
  <si>
    <t>645 - ost.pokuty</t>
  </si>
  <si>
    <t>648 - ost.prev.výnosy</t>
  </si>
  <si>
    <t>659 - zúčtov. opr.položiek</t>
  </si>
  <si>
    <t>688 - ostatné mimor.výnosy</t>
  </si>
  <si>
    <t xml:space="preserve">  - z toho 662-úroky</t>
  </si>
  <si>
    <t>663-kurz.zisky</t>
  </si>
  <si>
    <t>668-ost.fin.výn.</t>
  </si>
  <si>
    <t>674-zúčt.rezervy</t>
  </si>
  <si>
    <t>Úvery so štátnou zárukou</t>
  </si>
  <si>
    <t>*/ = finančné náklady a výnosy sú očistené o regulérne finančné náklady a výnosy,</t>
  </si>
  <si>
    <t xml:space="preserve">      súvisiace s úvermi so štátnou zárukou, ktoré ŽSR prijali pred 31.12.2001 a splácanie  </t>
  </si>
  <si>
    <t xml:space="preserve">      ktorých zostalo na ŽSR aj po 1.1.2002 v zmysle rozhodnutí vlády SR a MDPT k </t>
  </si>
  <si>
    <t>evidované na ŽSR k 1.1.2002 */</t>
  </si>
  <si>
    <t>Dopravný výkon ND ŽS, a.s.</t>
  </si>
  <si>
    <t>Náklady ŽSR na výkony vo verejnom záujme */</t>
  </si>
  <si>
    <t>Tržby z fin. operácií k fin. nákladom a ost. tržby spolu */</t>
  </si>
  <si>
    <t>Tržby celkom */</t>
  </si>
  <si>
    <t>Strata - celkom */</t>
  </si>
  <si>
    <t>Podiel preddavku zo ŠR k celkovej strate</t>
  </si>
  <si>
    <t>%</t>
  </si>
  <si>
    <t>Podiel tržieb na celkových nákladoch</t>
  </si>
  <si>
    <t>1.polrok 2002</t>
  </si>
  <si>
    <t>plnenie</t>
  </si>
  <si>
    <t>v %</t>
  </si>
  <si>
    <t>Lv vlaky pre  OD</t>
  </si>
  <si>
    <t>Tržby za použitie dopravnej cesty spolu</t>
  </si>
  <si>
    <t>Železničná spoločnosť, a.s. spolu</t>
  </si>
  <si>
    <t>NÁKLADNÁ DOPRAVA vrátane Lv vlakov  pre ND</t>
  </si>
  <si>
    <t>Tržby US Steel spolu</t>
  </si>
  <si>
    <t>TIS. HRT</t>
  </si>
  <si>
    <t>Výkony a tržby  - Železničná spoločnosť, a.s.</t>
  </si>
  <si>
    <t>Výkony a tržby  -  US Steel</t>
  </si>
  <si>
    <t>DOPRAVCOVIA  SPOLU</t>
  </si>
  <si>
    <r>
      <t>VLKM</t>
    </r>
    <r>
      <rPr>
        <b/>
        <vertAlign val="superscript"/>
        <sz val="10"/>
        <rFont val="Arial CE"/>
        <family val="2"/>
      </rPr>
      <t>1</t>
    </r>
    <r>
      <rPr>
        <b/>
        <sz val="10"/>
        <rFont val="Arial CE"/>
        <family val="2"/>
      </rPr>
      <t>/</t>
    </r>
  </si>
  <si>
    <r>
      <t xml:space="preserve">TIS.HRT 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/</t>
    </r>
  </si>
  <si>
    <r>
      <t xml:space="preserve">Osobná doprava </t>
    </r>
    <r>
      <rPr>
        <b/>
        <i/>
        <vertAlign val="superscript"/>
        <sz val="10"/>
        <rFont val="Arial CE"/>
        <family val="2"/>
      </rPr>
      <t>3/</t>
    </r>
  </si>
  <si>
    <r>
      <t xml:space="preserve">Nákladná  doprava </t>
    </r>
    <r>
      <rPr>
        <b/>
        <i/>
        <vertAlign val="superscript"/>
        <sz val="10"/>
        <rFont val="Arial CE"/>
        <family val="2"/>
      </rPr>
      <t>3/</t>
    </r>
  </si>
  <si>
    <t>1/ = VLKM pre ŽS, a.s. - chyba v rozsahu výkonu</t>
  </si>
  <si>
    <t>3/ = výkony ŽS, a.s. v HRT faktúrované od 1.5.2002</t>
  </si>
  <si>
    <t>2/ = výkony OD  (vr. výkonov LV pre OD), výkony ND(vr. výkonov LV pre ND)</t>
  </si>
  <si>
    <t>Tržby v OD celkom</t>
  </si>
  <si>
    <t>Tržby v ND celkom</t>
  </si>
  <si>
    <t>v tom tržby za LV pre OD</t>
  </si>
  <si>
    <t>v tom tržby za LV pre ND</t>
  </si>
  <si>
    <t xml:space="preserve">512- cestovné </t>
  </si>
  <si>
    <t>518- ostatné služby</t>
  </si>
  <si>
    <t>521- mzdové náklady</t>
  </si>
  <si>
    <t>524- zákonné sociálne poistenie</t>
  </si>
  <si>
    <t>561- predaj cenných pap.</t>
  </si>
  <si>
    <t xml:space="preserve"> v %</t>
  </si>
  <si>
    <t>I. polrok 2002</t>
  </si>
  <si>
    <t>I. polrok 2001</t>
  </si>
  <si>
    <t>mesiacov  v  %</t>
  </si>
  <si>
    <t>Vlakový úsek</t>
  </si>
  <si>
    <t>NTR v km/hod</t>
  </si>
  <si>
    <t>Priepustnosť  vlaky/24 hod</t>
  </si>
  <si>
    <t>PCR  v  km/hod</t>
  </si>
  <si>
    <t>Využitie priepustnosti  vlaky/24 hod</t>
  </si>
  <si>
    <t>Výkony a tržby dopravcov za polrok 2002 podľa Výmeru MF SR č. R-7/1999</t>
  </si>
  <si>
    <t>Výkony Železničnej spoločnosti, a.s.</t>
  </si>
  <si>
    <t>JAZDA VLAKU</t>
  </si>
  <si>
    <t xml:space="preserve">CELKOM </t>
  </si>
  <si>
    <t>SK/VLKM</t>
  </si>
  <si>
    <t>SK/ TIS.HRTKM</t>
  </si>
  <si>
    <r>
      <t>Lv vlaky pre osobnú dopravu</t>
    </r>
    <r>
      <rPr>
        <b/>
        <i/>
        <sz val="10"/>
        <rFont val="Arial CE"/>
        <family val="2"/>
      </rPr>
      <t xml:space="preserve"> účtované cenami nákladnej dopravy</t>
    </r>
  </si>
  <si>
    <t>SK/TIS.HRT</t>
  </si>
  <si>
    <r>
      <t xml:space="preserve">Lv vlaky pre nákladnú dopravu </t>
    </r>
    <r>
      <rPr>
        <b/>
        <i/>
        <sz val="10"/>
        <rFont val="Arial CE"/>
        <family val="2"/>
      </rPr>
      <t>účtované cenami nákladnej dopravy</t>
    </r>
  </si>
  <si>
    <t>Spolu Železničná spoločnosť, a.s.</t>
  </si>
  <si>
    <t>Výkony US Steel</t>
  </si>
  <si>
    <t>Spolu US Steel</t>
  </si>
  <si>
    <t xml:space="preserve"> EON</t>
  </si>
  <si>
    <t>1.-6./2002</t>
  </si>
  <si>
    <t>ENN</t>
  </si>
  <si>
    <t>(tis.Sk)</t>
  </si>
  <si>
    <t>Náklady na výkony VVZ celkom</t>
  </si>
  <si>
    <t>Rozbor režijných nákladov podľa účtov (EON +ENN)</t>
  </si>
  <si>
    <t>( v tis. Sk)</t>
  </si>
  <si>
    <t>CSR celkom</t>
  </si>
  <si>
    <t>Réžia celkom</t>
  </si>
  <si>
    <t>CSR bez fin. nákl.</t>
  </si>
  <si>
    <t>Podiel CSR k ost. činnostiam</t>
  </si>
  <si>
    <t>Podiel CSR k HČ</t>
  </si>
  <si>
    <t>EON</t>
  </si>
  <si>
    <t>CSR</t>
  </si>
  <si>
    <t>rozdiel</t>
  </si>
  <si>
    <t>Náklady EON</t>
  </si>
  <si>
    <t>Strata -po odpočítaní ENN celkom */</t>
  </si>
  <si>
    <t>ENN (rozdiel skutočnosti a EON)</t>
  </si>
  <si>
    <t>Strata nekrytá zo ŠR ku EON</t>
  </si>
  <si>
    <t>(skut.-EON)</t>
  </si>
  <si>
    <t>Strata nekrytá zo ŠR</t>
  </si>
  <si>
    <t>ku plánu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</si>
</sst>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00"/>
    <numFmt numFmtId="173" formatCode="#,##0.000"/>
    <numFmt numFmtId="174" formatCode="#,##0.0"/>
    <numFmt numFmtId="175" formatCode="0.000000"/>
    <numFmt numFmtId="176" formatCode="0.00000"/>
    <numFmt numFmtId="177" formatCode="0.0000"/>
    <numFmt numFmtId="178" formatCode="0.000"/>
    <numFmt numFmtId="179" formatCode="0.0000000"/>
    <numFmt numFmtId="180" formatCode="0.0"/>
    <numFmt numFmtId="181" formatCode="#,##0.00000"/>
  </numFmts>
  <fonts count="28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0"/>
    </font>
    <font>
      <b/>
      <sz val="12"/>
      <color indexed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11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i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4"/>
      <name val="Times New Roman CE"/>
      <family val="1"/>
    </font>
    <font>
      <sz val="12"/>
      <name val="Times New Roman CE"/>
      <family val="1"/>
    </font>
    <font>
      <u val="single"/>
      <sz val="14"/>
      <name val="Times New Roman CE"/>
      <family val="1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vertAlign val="superscript"/>
      <sz val="10"/>
      <name val="Arial CE"/>
      <family val="2"/>
    </font>
    <font>
      <b/>
      <i/>
      <vertAlign val="superscript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0"/>
    </font>
    <font>
      <b/>
      <sz val="12"/>
      <name val="Times New Roman CE"/>
      <family val="0"/>
    </font>
    <font>
      <b/>
      <sz val="8"/>
      <name val="Arial CE"/>
      <family val="2"/>
    </font>
    <font>
      <sz val="8"/>
      <name val="Arial CE"/>
      <family val="2"/>
    </font>
    <font>
      <b/>
      <i/>
      <u val="single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5" xfId="0" applyFont="1" applyBorder="1" applyAlignment="1">
      <alignment horizontal="center"/>
    </xf>
    <xf numFmtId="3" fontId="0" fillId="0" borderId="6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5" xfId="0" applyBorder="1" applyAlignment="1">
      <alignment/>
    </xf>
    <xf numFmtId="0" fontId="5" fillId="0" borderId="9" xfId="0" applyFont="1" applyBorder="1" applyAlignment="1">
      <alignment horizontal="center"/>
    </xf>
    <xf numFmtId="3" fontId="5" fillId="2" borderId="10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7" fillId="0" borderId="0" xfId="20" applyFont="1">
      <alignment/>
      <protection/>
    </xf>
    <xf numFmtId="1" fontId="1" fillId="0" borderId="0" xfId="20" applyNumberFormat="1" applyFont="1">
      <alignment/>
      <protection/>
    </xf>
    <xf numFmtId="1" fontId="8" fillId="0" borderId="0" xfId="20" applyNumberFormat="1" applyFont="1">
      <alignment/>
      <protection/>
    </xf>
    <xf numFmtId="0" fontId="8" fillId="0" borderId="0" xfId="0" applyFont="1" applyAlignment="1">
      <alignment/>
    </xf>
    <xf numFmtId="1" fontId="9" fillId="0" borderId="0" xfId="20" applyNumberFormat="1" applyFont="1">
      <alignment/>
      <protection/>
    </xf>
    <xf numFmtId="0" fontId="5" fillId="0" borderId="11" xfId="0" applyFont="1" applyBorder="1" applyAlignment="1">
      <alignment horizontal="center"/>
    </xf>
    <xf numFmtId="0" fontId="7" fillId="0" borderId="0" xfId="20" applyFont="1" applyBorder="1">
      <alignment/>
      <protection/>
    </xf>
    <xf numFmtId="0" fontId="7" fillId="0" borderId="6" xfId="20" applyFont="1" applyBorder="1">
      <alignment/>
      <protection/>
    </xf>
    <xf numFmtId="0" fontId="7" fillId="0" borderId="8" xfId="20" applyFont="1" applyBorder="1">
      <alignment/>
      <protection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5" fillId="2" borderId="13" xfId="0" applyNumberFormat="1" applyFont="1" applyFill="1" applyBorder="1" applyAlignment="1">
      <alignment/>
    </xf>
    <xf numFmtId="0" fontId="10" fillId="0" borderId="14" xfId="0" applyFont="1" applyBorder="1" applyAlignment="1">
      <alignment horizontal="centerContinuous"/>
    </xf>
    <xf numFmtId="0" fontId="11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7" fillId="0" borderId="18" xfId="20" applyFont="1" applyBorder="1">
      <alignment/>
      <protection/>
    </xf>
    <xf numFmtId="0" fontId="5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4" fontId="12" fillId="0" borderId="1" xfId="0" applyNumberFormat="1" applyFont="1" applyBorder="1" applyAlignment="1">
      <alignment/>
    </xf>
    <xf numFmtId="174" fontId="11" fillId="0" borderId="1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0" fontId="14" fillId="0" borderId="0" xfId="0" applyFont="1" applyAlignment="1">
      <alignment/>
    </xf>
    <xf numFmtId="0" fontId="8" fillId="0" borderId="27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0" fontId="16" fillId="0" borderId="0" xfId="0" applyFont="1" applyAlignment="1">
      <alignment/>
    </xf>
    <xf numFmtId="3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29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/>
    </xf>
    <xf numFmtId="3" fontId="4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Border="1" applyAlignment="1">
      <alignment horizontal="centerContinuous"/>
    </xf>
    <xf numFmtId="3" fontId="0" fillId="0" borderId="0" xfId="0" applyNumberFormat="1" applyBorder="1" applyAlignment="1">
      <alignment horizontal="left"/>
    </xf>
    <xf numFmtId="173" fontId="0" fillId="0" borderId="0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42" fontId="5" fillId="0" borderId="33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42" fontId="0" fillId="0" borderId="0" xfId="0" applyNumberFormat="1" applyFont="1" applyBorder="1" applyAlignment="1">
      <alignment/>
    </xf>
    <xf numFmtId="42" fontId="5" fillId="0" borderId="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0" fillId="0" borderId="47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5" fillId="0" borderId="33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38" xfId="0" applyBorder="1" applyAlignment="1">
      <alignment/>
    </xf>
    <xf numFmtId="3" fontId="0" fillId="0" borderId="41" xfId="0" applyNumberFormat="1" applyBorder="1" applyAlignment="1">
      <alignment horizontal="left"/>
    </xf>
    <xf numFmtId="3" fontId="0" fillId="0" borderId="48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4" xfId="0" applyNumberFormat="1" applyBorder="1" applyAlignment="1">
      <alignment horizontal="left"/>
    </xf>
    <xf numFmtId="3" fontId="0" fillId="0" borderId="50" xfId="0" applyNumberFormat="1" applyBorder="1" applyAlignment="1">
      <alignment/>
    </xf>
    <xf numFmtId="3" fontId="0" fillId="0" borderId="44" xfId="0" applyNumberFormat="1" applyBorder="1" applyAlignment="1">
      <alignment horizontal="center"/>
    </xf>
    <xf numFmtId="3" fontId="0" fillId="0" borderId="46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42" fontId="5" fillId="0" borderId="4" xfId="0" applyNumberFormat="1" applyFont="1" applyBorder="1" applyAlignment="1">
      <alignment/>
    </xf>
    <xf numFmtId="2" fontId="0" fillId="0" borderId="0" xfId="0" applyNumberFormat="1" applyAlignment="1">
      <alignment horizontal="center"/>
    </xf>
    <xf numFmtId="3" fontId="0" fillId="0" borderId="52" xfId="0" applyNumberFormat="1" applyBorder="1" applyAlignment="1">
      <alignment/>
    </xf>
    <xf numFmtId="3" fontId="6" fillId="0" borderId="53" xfId="0" applyNumberFormat="1" applyFont="1" applyBorder="1" applyAlignment="1">
      <alignment/>
    </xf>
    <xf numFmtId="42" fontId="0" fillId="0" borderId="31" xfId="0" applyNumberFormat="1" applyBorder="1" applyAlignment="1">
      <alignment/>
    </xf>
    <xf numFmtId="3" fontId="6" fillId="0" borderId="49" xfId="0" applyNumberFormat="1" applyFont="1" applyBorder="1" applyAlignment="1">
      <alignment/>
    </xf>
    <xf numFmtId="42" fontId="0" fillId="0" borderId="44" xfId="0" applyNumberFormat="1" applyBorder="1" applyAlignment="1">
      <alignment/>
    </xf>
    <xf numFmtId="3" fontId="6" fillId="0" borderId="54" xfId="0" applyNumberFormat="1" applyFont="1" applyBorder="1" applyAlignment="1">
      <alignment/>
    </xf>
    <xf numFmtId="42" fontId="5" fillId="0" borderId="55" xfId="0" applyNumberFormat="1" applyFont="1" applyBorder="1" applyAlignment="1">
      <alignment/>
    </xf>
    <xf numFmtId="3" fontId="1" fillId="0" borderId="0" xfId="19" applyNumberFormat="1" applyFont="1" applyBorder="1">
      <alignment/>
      <protection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42" fontId="0" fillId="0" borderId="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3" fontId="0" fillId="0" borderId="41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36" xfId="0" applyBorder="1" applyAlignment="1">
      <alignment/>
    </xf>
    <xf numFmtId="3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178" fontId="0" fillId="0" borderId="21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58" xfId="0" applyBorder="1" applyAlignment="1">
      <alignment/>
    </xf>
    <xf numFmtId="0" fontId="0" fillId="0" borderId="50" xfId="0" applyBorder="1" applyAlignment="1">
      <alignment/>
    </xf>
    <xf numFmtId="0" fontId="0" fillId="0" borderId="59" xfId="0" applyBorder="1" applyAlignment="1">
      <alignment/>
    </xf>
    <xf numFmtId="3" fontId="5" fillId="2" borderId="11" xfId="0" applyNumberFormat="1" applyFont="1" applyFill="1" applyBorder="1" applyAlignment="1">
      <alignment/>
    </xf>
    <xf numFmtId="0" fontId="0" fillId="0" borderId="17" xfId="0" applyBorder="1" applyAlignment="1">
      <alignment/>
    </xf>
    <xf numFmtId="2" fontId="0" fillId="0" borderId="20" xfId="0" applyNumberFormat="1" applyBorder="1" applyAlignment="1">
      <alignment horizontal="center"/>
    </xf>
    <xf numFmtId="0" fontId="0" fillId="0" borderId="24" xfId="0" applyBorder="1" applyAlignment="1">
      <alignment/>
    </xf>
    <xf numFmtId="2" fontId="0" fillId="0" borderId="2" xfId="0" applyNumberFormat="1" applyBorder="1" applyAlignment="1">
      <alignment horizontal="center"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20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8" fontId="0" fillId="0" borderId="21" xfId="0" applyNumberFormat="1" applyBorder="1" applyAlignment="1">
      <alignment horizontal="center"/>
    </xf>
    <xf numFmtId="178" fontId="0" fillId="0" borderId="20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10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30" xfId="0" applyNumberFormat="1" applyBorder="1" applyAlignment="1">
      <alignment horizontal="center"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3" fontId="0" fillId="3" borderId="12" xfId="0" applyNumberFormat="1" applyFill="1" applyBorder="1" applyAlignment="1">
      <alignment/>
    </xf>
    <xf numFmtId="3" fontId="0" fillId="0" borderId="60" xfId="0" applyNumberFormat="1" applyBorder="1" applyAlignment="1">
      <alignment/>
    </xf>
    <xf numFmtId="2" fontId="0" fillId="0" borderId="43" xfId="0" applyNumberFormat="1" applyBorder="1" applyAlignment="1">
      <alignment horizontal="center"/>
    </xf>
    <xf numFmtId="4" fontId="11" fillId="0" borderId="1" xfId="0" applyNumberFormat="1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4" fontId="11" fillId="0" borderId="1" xfId="0" applyNumberFormat="1" applyFont="1" applyFill="1" applyBorder="1" applyAlignment="1">
      <alignment/>
    </xf>
    <xf numFmtId="173" fontId="11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0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0" fontId="12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10" fillId="0" borderId="56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0" fillId="0" borderId="61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173" fontId="12" fillId="0" borderId="1" xfId="0" applyNumberFormat="1" applyFont="1" applyFill="1" applyBorder="1" applyAlignment="1">
      <alignment/>
    </xf>
    <xf numFmtId="3" fontId="11" fillId="0" borderId="26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/>
    </xf>
    <xf numFmtId="0" fontId="5" fillId="0" borderId="63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173" fontId="0" fillId="0" borderId="1" xfId="0" applyNumberFormat="1" applyBorder="1" applyAlignment="1">
      <alignment/>
    </xf>
    <xf numFmtId="0" fontId="21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3" fontId="0" fillId="0" borderId="13" xfId="0" applyNumberFormat="1" applyFont="1" applyBorder="1" applyAlignment="1">
      <alignment/>
    </xf>
    <xf numFmtId="42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2" fontId="0" fillId="0" borderId="33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65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3" fontId="0" fillId="0" borderId="66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15" fillId="0" borderId="28" xfId="0" applyFont="1" applyBorder="1" applyAlignment="1">
      <alignment/>
    </xf>
    <xf numFmtId="2" fontId="15" fillId="0" borderId="12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67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68" xfId="0" applyFont="1" applyBorder="1" applyAlignment="1">
      <alignment/>
    </xf>
    <xf numFmtId="0" fontId="15" fillId="0" borderId="69" xfId="0" applyFont="1" applyBorder="1" applyAlignment="1">
      <alignment/>
    </xf>
    <xf numFmtId="0" fontId="15" fillId="0" borderId="15" xfId="0" applyFont="1" applyBorder="1" applyAlignment="1">
      <alignment/>
    </xf>
    <xf numFmtId="2" fontId="15" fillId="0" borderId="60" xfId="0" applyNumberFormat="1" applyFont="1" applyBorder="1" applyAlignment="1">
      <alignment horizontal="center"/>
    </xf>
    <xf numFmtId="0" fontId="24" fillId="4" borderId="10" xfId="0" applyFont="1" applyFill="1" applyBorder="1" applyAlignment="1">
      <alignment/>
    </xf>
    <xf numFmtId="0" fontId="8" fillId="0" borderId="67" xfId="0" applyFont="1" applyBorder="1" applyAlignment="1">
      <alignment horizontal="center"/>
    </xf>
    <xf numFmtId="0" fontId="8" fillId="0" borderId="67" xfId="0" applyFont="1" applyBorder="1" applyAlignment="1">
      <alignment/>
    </xf>
    <xf numFmtId="0" fontId="8" fillId="0" borderId="37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9" xfId="0" applyFont="1" applyBorder="1" applyAlignment="1">
      <alignment/>
    </xf>
    <xf numFmtId="2" fontId="24" fillId="4" borderId="2" xfId="0" applyNumberFormat="1" applyFont="1" applyFill="1" applyBorder="1" applyAlignment="1">
      <alignment horizontal="center"/>
    </xf>
    <xf numFmtId="2" fontId="24" fillId="4" borderId="30" xfId="0" applyNumberFormat="1" applyFont="1" applyFill="1" applyBorder="1" applyAlignment="1">
      <alignment horizontal="center"/>
    </xf>
    <xf numFmtId="2" fontId="24" fillId="0" borderId="2" xfId="0" applyNumberFormat="1" applyFont="1" applyBorder="1" applyAlignment="1">
      <alignment horizontal="center"/>
    </xf>
    <xf numFmtId="2" fontId="24" fillId="0" borderId="30" xfId="0" applyNumberFormat="1" applyFont="1" applyBorder="1" applyAlignment="1">
      <alignment horizontal="center"/>
    </xf>
    <xf numFmtId="0" fontId="26" fillId="0" borderId="0" xfId="0" applyFont="1" applyAlignment="1">
      <alignment wrapText="1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 horizontal="center"/>
    </xf>
    <xf numFmtId="1" fontId="26" fillId="0" borderId="0" xfId="0" applyNumberFormat="1" applyFont="1" applyAlignment="1">
      <alignment horizontal="center"/>
    </xf>
    <xf numFmtId="0" fontId="25" fillId="0" borderId="0" xfId="0" applyFont="1" applyBorder="1" applyAlignment="1">
      <alignment/>
    </xf>
    <xf numFmtId="1" fontId="26" fillId="0" borderId="0" xfId="0" applyNumberFormat="1" applyFont="1" applyAlignment="1">
      <alignment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Continuous" vertical="center" wrapText="1"/>
    </xf>
    <xf numFmtId="3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/>
    </xf>
    <xf numFmtId="0" fontId="26" fillId="0" borderId="1" xfId="0" applyFont="1" applyBorder="1" applyAlignment="1">
      <alignment horizontal="center"/>
    </xf>
    <xf numFmtId="3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1" fontId="25" fillId="0" borderId="1" xfId="0" applyNumberFormat="1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3" fontId="5" fillId="0" borderId="71" xfId="0" applyNumberFormat="1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3" fontId="1" fillId="0" borderId="0" xfId="19" applyNumberFormat="1" applyFont="1">
      <alignment/>
      <protection/>
    </xf>
    <xf numFmtId="0" fontId="3" fillId="0" borderId="0" xfId="0" applyFont="1" applyAlignment="1">
      <alignment/>
    </xf>
    <xf numFmtId="3" fontId="5" fillId="0" borderId="18" xfId="0" applyNumberFormat="1" applyFont="1" applyBorder="1" applyAlignment="1">
      <alignment horizontal="centerContinuous"/>
    </xf>
    <xf numFmtId="3" fontId="5" fillId="0" borderId="37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/>
    </xf>
    <xf numFmtId="3" fontId="27" fillId="0" borderId="0" xfId="0" applyNumberFormat="1" applyFont="1" applyBorder="1" applyAlignment="1">
      <alignment horizontal="left"/>
    </xf>
    <xf numFmtId="3" fontId="0" fillId="0" borderId="72" xfId="0" applyNumberFormat="1" applyBorder="1" applyAlignment="1">
      <alignment/>
    </xf>
    <xf numFmtId="3" fontId="5" fillId="2" borderId="33" xfId="0" applyNumberFormat="1" applyFont="1" applyFill="1" applyBorder="1" applyAlignment="1">
      <alignment/>
    </xf>
    <xf numFmtId="173" fontId="0" fillId="0" borderId="23" xfId="0" applyNumberForma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73" xfId="0" applyNumberFormat="1" applyBorder="1" applyAlignment="1">
      <alignment/>
    </xf>
    <xf numFmtId="3" fontId="1" fillId="2" borderId="33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3" fontId="1" fillId="2" borderId="6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0" fillId="0" borderId="74" xfId="0" applyNumberFormat="1" applyFont="1" applyFill="1" applyBorder="1" applyAlignment="1">
      <alignment/>
    </xf>
    <xf numFmtId="2" fontId="0" fillId="0" borderId="74" xfId="0" applyNumberFormat="1" applyFont="1" applyFill="1" applyBorder="1" applyAlignment="1">
      <alignment/>
    </xf>
    <xf numFmtId="3" fontId="0" fillId="0" borderId="74" xfId="0" applyNumberForma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75" xfId="0" applyFont="1" applyBorder="1" applyAlignment="1">
      <alignment/>
    </xf>
    <xf numFmtId="0" fontId="5" fillId="0" borderId="76" xfId="0" applyFont="1" applyBorder="1" applyAlignment="1">
      <alignment/>
    </xf>
    <xf numFmtId="3" fontId="5" fillId="0" borderId="61" xfId="0" applyNumberFormat="1" applyFont="1" applyFill="1" applyBorder="1" applyAlignment="1">
      <alignment/>
    </xf>
    <xf numFmtId="3" fontId="5" fillId="0" borderId="6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26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61" xfId="0" applyNumberFormat="1" applyFont="1" applyBorder="1" applyAlignment="1">
      <alignment/>
    </xf>
    <xf numFmtId="2" fontId="0" fillId="0" borderId="43" xfId="0" applyNumberFormat="1" applyBorder="1" applyAlignment="1">
      <alignment/>
    </xf>
    <xf numFmtId="0" fontId="5" fillId="0" borderId="74" xfId="0" applyFont="1" applyBorder="1" applyAlignment="1">
      <alignment horizontal="center"/>
    </xf>
    <xf numFmtId="3" fontId="1" fillId="0" borderId="0" xfId="19" applyNumberFormat="1" applyFont="1" applyBorder="1" applyAlignment="1">
      <alignment horizontal="centerContinuous"/>
      <protection/>
    </xf>
    <xf numFmtId="0" fontId="5" fillId="0" borderId="0" xfId="0" applyFont="1" applyBorder="1" applyAlignment="1">
      <alignment horizontal="centerContinuous"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52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/>
    </xf>
    <xf numFmtId="3" fontId="0" fillId="0" borderId="76" xfId="0" applyNumberFormat="1" applyFont="1" applyFill="1" applyBorder="1" applyAlignment="1">
      <alignment horizontal="right"/>
    </xf>
    <xf numFmtId="3" fontId="0" fillId="0" borderId="61" xfId="0" applyNumberFormat="1" applyFont="1" applyFill="1" applyBorder="1" applyAlignment="1">
      <alignment horizontal="right"/>
    </xf>
    <xf numFmtId="3" fontId="0" fillId="0" borderId="77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>
      <alignment horizontal="right"/>
    </xf>
    <xf numFmtId="3" fontId="5" fillId="0" borderId="38" xfId="0" applyNumberFormat="1" applyFont="1" applyBorder="1" applyAlignment="1">
      <alignment/>
    </xf>
    <xf numFmtId="0" fontId="5" fillId="0" borderId="13" xfId="0" applyFont="1" applyFill="1" applyBorder="1" applyAlignment="1">
      <alignment horizontal="centerContinuous"/>
    </xf>
    <xf numFmtId="0" fontId="5" fillId="0" borderId="52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Continuous"/>
    </xf>
    <xf numFmtId="3" fontId="5" fillId="0" borderId="4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Font="1" applyBorder="1" applyAlignment="1">
      <alignment horizontal="left"/>
    </xf>
    <xf numFmtId="0" fontId="0" fillId="0" borderId="64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Fill="1" applyBorder="1" applyAlignment="1">
      <alignment horizontal="left"/>
    </xf>
    <xf numFmtId="0" fontId="5" fillId="0" borderId="27" xfId="0" applyFont="1" applyBorder="1" applyAlignment="1">
      <alignment/>
    </xf>
    <xf numFmtId="0" fontId="18" fillId="0" borderId="36" xfId="0" applyFont="1" applyBorder="1" applyAlignment="1">
      <alignment horizontal="center"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5" fillId="0" borderId="55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18" fillId="0" borderId="79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0" fillId="0" borderId="78" xfId="0" applyBorder="1" applyAlignment="1">
      <alignment/>
    </xf>
    <xf numFmtId="3" fontId="17" fillId="0" borderId="80" xfId="0" applyNumberFormat="1" applyFont="1" applyBorder="1" applyAlignment="1">
      <alignment/>
    </xf>
    <xf numFmtId="3" fontId="17" fillId="0" borderId="73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5" fillId="0" borderId="9" xfId="0" applyNumberFormat="1" applyFont="1" applyBorder="1" applyAlignment="1">
      <alignment/>
    </xf>
    <xf numFmtId="0" fontId="5" fillId="0" borderId="46" xfId="0" applyFont="1" applyBorder="1" applyAlignment="1">
      <alignment horizontal="center"/>
    </xf>
    <xf numFmtId="3" fontId="0" fillId="0" borderId="31" xfId="0" applyNumberFormat="1" applyBorder="1" applyAlignment="1">
      <alignment/>
    </xf>
    <xf numFmtId="2" fontId="5" fillId="0" borderId="43" xfId="0" applyNumberFormat="1" applyFont="1" applyBorder="1" applyAlignment="1">
      <alignment/>
    </xf>
    <xf numFmtId="2" fontId="5" fillId="0" borderId="40" xfId="0" applyNumberFormat="1" applyFont="1" applyBorder="1" applyAlignment="1">
      <alignment/>
    </xf>
    <xf numFmtId="2" fontId="5" fillId="0" borderId="81" xfId="0" applyNumberFormat="1" applyFont="1" applyBorder="1" applyAlignment="1">
      <alignment/>
    </xf>
    <xf numFmtId="173" fontId="12" fillId="0" borderId="0" xfId="0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centerContinuous"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3" xfId="0" applyFont="1" applyBorder="1" applyAlignment="1">
      <alignment/>
    </xf>
    <xf numFmtId="3" fontId="5" fillId="0" borderId="19" xfId="0" applyNumberFormat="1" applyFont="1" applyBorder="1" applyAlignment="1">
      <alignment horizontal="center"/>
    </xf>
    <xf numFmtId="3" fontId="0" fillId="0" borderId="44" xfId="0" applyNumberFormat="1" applyFont="1" applyFill="1" applyBorder="1" applyAlignment="1">
      <alignment/>
    </xf>
    <xf numFmtId="3" fontId="0" fillId="0" borderId="65" xfId="0" applyNumberFormat="1" applyFont="1" applyFill="1" applyBorder="1" applyAlignment="1">
      <alignment horizontal="right"/>
    </xf>
    <xf numFmtId="3" fontId="0" fillId="0" borderId="44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82" xfId="0" applyNumberFormat="1" applyFont="1" applyFill="1" applyBorder="1" applyAlignment="1">
      <alignment horizontal="right"/>
    </xf>
    <xf numFmtId="3" fontId="0" fillId="0" borderId="38" xfId="0" applyNumberForma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33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3" fontId="0" fillId="0" borderId="36" xfId="0" applyNumberFormat="1" applyFill="1" applyBorder="1" applyAlignment="1">
      <alignment/>
    </xf>
    <xf numFmtId="3" fontId="0" fillId="0" borderId="57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83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pr_c_2" xfId="19"/>
    <cellStyle name="normální_príloha 1b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VZ02\Pr&#237;lohy%20ZDO%20&#269;.%202%20-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2"/>
      <sheetName val="Príloha č.4"/>
      <sheetName val="Príloha č.3"/>
      <sheetName val="Príloha č.5"/>
      <sheetName val="Príloha č.6"/>
      <sheetName val="Príloha č.6a"/>
    </sheetNames>
    <sheetDataSet>
      <sheetData sheetId="1">
        <row r="34">
          <cell r="B34">
            <v>10684519</v>
          </cell>
        </row>
      </sheetData>
      <sheetData sheetId="2">
        <row r="9">
          <cell r="G9">
            <v>1654080.1433055839</v>
          </cell>
        </row>
        <row r="18">
          <cell r="G18">
            <v>307760.47526315786</v>
          </cell>
        </row>
        <row r="29">
          <cell r="G29">
            <v>6328742.524736842</v>
          </cell>
        </row>
        <row r="44">
          <cell r="G44">
            <v>18399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C14">
      <selection activeCell="M7" sqref="M7"/>
    </sheetView>
  </sheetViews>
  <sheetFormatPr defaultColWidth="9.00390625" defaultRowHeight="12.75"/>
  <cols>
    <col min="1" max="1" width="14.25390625" style="0" customWidth="1"/>
    <col min="2" max="2" width="11.875" style="0" customWidth="1"/>
    <col min="3" max="3" width="11.125" style="0" bestFit="1" customWidth="1"/>
    <col min="4" max="4" width="8.25390625" style="0" bestFit="1" customWidth="1"/>
    <col min="5" max="5" width="1.25" style="0" customWidth="1"/>
    <col min="6" max="6" width="25.375" style="0" customWidth="1"/>
    <col min="7" max="7" width="10.125" style="0" bestFit="1" customWidth="1"/>
    <col min="8" max="8" width="11.125" style="0" bestFit="1" customWidth="1"/>
    <col min="9" max="9" width="10.125" style="0" bestFit="1" customWidth="1"/>
    <col min="10" max="10" width="11.375" style="0" customWidth="1"/>
    <col min="11" max="11" width="11.125" style="0" bestFit="1" customWidth="1"/>
    <col min="12" max="12" width="11.375" style="0" customWidth="1"/>
    <col min="13" max="13" width="0.74609375" style="0" customWidth="1"/>
  </cols>
  <sheetData>
    <row r="1" spans="1:4" ht="15.75">
      <c r="A1" s="62"/>
      <c r="B1" s="205" t="s">
        <v>330</v>
      </c>
      <c r="C1" s="62"/>
      <c r="D1" s="61"/>
    </row>
    <row r="2" spans="1:6" ht="16.5" thickBot="1">
      <c r="A2" s="62"/>
      <c r="B2" s="205"/>
      <c r="C2" s="62"/>
      <c r="D2" s="61"/>
      <c r="F2" s="7" t="s">
        <v>334</v>
      </c>
    </row>
    <row r="3" spans="10:12" ht="18" customHeight="1" thickBot="1">
      <c r="J3" s="444" t="s">
        <v>331</v>
      </c>
      <c r="K3" s="445"/>
      <c r="L3" s="446"/>
    </row>
    <row r="4" spans="1:12" s="177" customFormat="1" ht="15" thickBot="1">
      <c r="A4" s="57" t="s">
        <v>42</v>
      </c>
      <c r="B4" s="11" t="s">
        <v>372</v>
      </c>
      <c r="C4" s="12" t="s">
        <v>1</v>
      </c>
      <c r="D4" s="13" t="s">
        <v>2</v>
      </c>
      <c r="F4" s="45" t="s">
        <v>43</v>
      </c>
      <c r="G4" s="11" t="s">
        <v>0</v>
      </c>
      <c r="H4" s="11" t="s">
        <v>1</v>
      </c>
      <c r="I4" s="31" t="s">
        <v>373</v>
      </c>
      <c r="J4" s="107" t="s">
        <v>332</v>
      </c>
      <c r="K4" s="180" t="s">
        <v>1</v>
      </c>
      <c r="L4" s="181" t="s">
        <v>2</v>
      </c>
    </row>
    <row r="5" spans="1:12" ht="12.75">
      <c r="A5" s="14"/>
      <c r="B5" s="15"/>
      <c r="C5" s="16"/>
      <c r="D5" s="17"/>
      <c r="F5" s="46"/>
      <c r="G5" s="47"/>
      <c r="H5" s="47"/>
      <c r="I5" s="183"/>
      <c r="J5" s="187"/>
      <c r="K5" s="47"/>
      <c r="L5" s="48"/>
    </row>
    <row r="6" spans="1:12" ht="14.25">
      <c r="A6" s="18" t="s">
        <v>374</v>
      </c>
      <c r="B6" s="19">
        <f aca="true" t="shared" si="0" ref="B6:D7">B17+B27</f>
        <v>35301013.912</v>
      </c>
      <c r="C6" s="19">
        <f t="shared" si="0"/>
        <v>8000000</v>
      </c>
      <c r="D6" s="208">
        <f t="shared" si="0"/>
        <v>2484</v>
      </c>
      <c r="F6" s="49" t="s">
        <v>3</v>
      </c>
      <c r="G6" s="2">
        <f aca="true" t="shared" si="1" ref="G6:I7">G17+G27</f>
        <v>17803777</v>
      </c>
      <c r="H6" s="2">
        <f t="shared" si="1"/>
        <v>5230456</v>
      </c>
      <c r="I6" s="135">
        <f t="shared" si="1"/>
        <v>621</v>
      </c>
      <c r="J6" s="194">
        <f>G6/B6*100</f>
        <v>50.43418028836815</v>
      </c>
      <c r="K6" s="195">
        <f>H6/C6*100</f>
        <v>65.3807</v>
      </c>
      <c r="L6" s="196">
        <f>I6/D6*100</f>
        <v>25</v>
      </c>
    </row>
    <row r="7" spans="1:13" ht="14.25">
      <c r="A7" s="18" t="s">
        <v>375</v>
      </c>
      <c r="B7" s="19">
        <f t="shared" si="0"/>
        <v>20141986.088</v>
      </c>
      <c r="C7" s="19">
        <f t="shared" si="0"/>
        <v>0</v>
      </c>
      <c r="D7" s="208">
        <f t="shared" si="0"/>
        <v>113957</v>
      </c>
      <c r="F7" s="49" t="s">
        <v>4</v>
      </c>
      <c r="G7" s="2">
        <f t="shared" si="1"/>
        <v>10560741</v>
      </c>
      <c r="H7" s="2">
        <f t="shared" si="1"/>
        <v>0</v>
      </c>
      <c r="I7" s="135">
        <f t="shared" si="1"/>
        <v>29111.152000000002</v>
      </c>
      <c r="J7" s="194">
        <f>G7/B7*100</f>
        <v>52.43147797769445</v>
      </c>
      <c r="K7" s="182"/>
      <c r="L7" s="196">
        <f>I7/D7*100</f>
        <v>25.545733917179287</v>
      </c>
      <c r="M7" s="1">
        <f>D18+D28</f>
        <v>113957</v>
      </c>
    </row>
    <row r="8" spans="1:12" ht="12.75">
      <c r="A8" s="21"/>
      <c r="B8" s="15"/>
      <c r="C8" s="16"/>
      <c r="D8" s="17"/>
      <c r="F8" s="51"/>
      <c r="G8" s="42"/>
      <c r="H8" s="42"/>
      <c r="I8" s="184"/>
      <c r="J8" s="51"/>
      <c r="K8" s="42"/>
      <c r="L8" s="50"/>
    </row>
    <row r="9" spans="1:12" ht="13.5" thickBot="1">
      <c r="A9" s="14"/>
      <c r="B9" s="15"/>
      <c r="C9" s="16"/>
      <c r="D9" s="17"/>
      <c r="F9" s="54"/>
      <c r="G9" s="44"/>
      <c r="H9" s="44"/>
      <c r="I9" s="185"/>
      <c r="J9" s="189"/>
      <c r="K9" s="44"/>
      <c r="L9" s="55"/>
    </row>
    <row r="10" spans="1:12" ht="13.5" thickBot="1">
      <c r="A10" s="22" t="s">
        <v>5</v>
      </c>
      <c r="B10" s="23">
        <f>SUM(B6:B9)</f>
        <v>55443000</v>
      </c>
      <c r="C10" s="24">
        <f>SUM(C6:C9)</f>
        <v>8000000</v>
      </c>
      <c r="D10" s="25">
        <f>SUM(D6:D9)</f>
        <v>116441</v>
      </c>
      <c r="F10" s="45" t="s">
        <v>5</v>
      </c>
      <c r="G10" s="24">
        <f>SUM(G6:G9)</f>
        <v>28364518</v>
      </c>
      <c r="H10" s="24">
        <f>SUM(H6:H9)</f>
        <v>5230456</v>
      </c>
      <c r="I10" s="186">
        <f>SUM(I6:I9)</f>
        <v>29732.152000000002</v>
      </c>
      <c r="J10" s="202">
        <f>G10/B10*100</f>
        <v>51.15978211857223</v>
      </c>
      <c r="K10" s="203">
        <f>H10/C10*100</f>
        <v>65.3807</v>
      </c>
      <c r="L10" s="204">
        <f>I10/D10*100</f>
        <v>25.5340919435594</v>
      </c>
    </row>
    <row r="11" spans="1:9" ht="15">
      <c r="A11" s="26"/>
      <c r="B11" s="26"/>
      <c r="C11" s="26"/>
      <c r="D11" s="26"/>
      <c r="F11" s="26"/>
      <c r="G11" s="26"/>
      <c r="H11" s="26"/>
      <c r="I11" s="26"/>
    </row>
    <row r="12" spans="1:9" ht="15">
      <c r="A12" s="26" t="s">
        <v>6</v>
      </c>
      <c r="B12" s="26"/>
      <c r="C12" s="26"/>
      <c r="D12" s="26"/>
      <c r="F12" s="26"/>
      <c r="G12" s="26"/>
      <c r="H12" s="26"/>
      <c r="I12" s="26"/>
    </row>
    <row r="13" spans="1:9" ht="16.5" thickBot="1">
      <c r="A13" s="27" t="s">
        <v>7</v>
      </c>
      <c r="B13" s="28"/>
      <c r="C13" s="29"/>
      <c r="D13" s="26"/>
      <c r="F13" s="27"/>
      <c r="G13" s="28"/>
      <c r="H13" s="29"/>
      <c r="I13" s="26"/>
    </row>
    <row r="14" spans="1:12" ht="14.25" customHeight="1" thickBot="1">
      <c r="A14" s="30"/>
      <c r="B14" s="30"/>
      <c r="C14" s="29"/>
      <c r="D14" s="26"/>
      <c r="F14" s="30"/>
      <c r="G14" s="30"/>
      <c r="H14" s="29"/>
      <c r="I14" s="26"/>
      <c r="J14" s="444" t="s">
        <v>331</v>
      </c>
      <c r="K14" s="445"/>
      <c r="L14" s="446"/>
    </row>
    <row r="15" spans="1:12" ht="13.5" thickBot="1">
      <c r="A15" s="40" t="s">
        <v>42</v>
      </c>
      <c r="B15" s="31" t="s">
        <v>0</v>
      </c>
      <c r="C15" s="11" t="s">
        <v>1</v>
      </c>
      <c r="D15" s="13" t="s">
        <v>2</v>
      </c>
      <c r="F15" s="43" t="s">
        <v>43</v>
      </c>
      <c r="G15" s="11" t="s">
        <v>0</v>
      </c>
      <c r="H15" s="11" t="s">
        <v>1</v>
      </c>
      <c r="I15" s="11" t="s">
        <v>2</v>
      </c>
      <c r="J15" s="107" t="s">
        <v>332</v>
      </c>
      <c r="K15" s="180" t="s">
        <v>1</v>
      </c>
      <c r="L15" s="181" t="s">
        <v>2</v>
      </c>
    </row>
    <row r="16" spans="1:12" ht="15">
      <c r="A16" s="14"/>
      <c r="B16" s="32"/>
      <c r="C16" s="33"/>
      <c r="D16" s="34"/>
      <c r="F16" s="46"/>
      <c r="G16" s="56"/>
      <c r="H16" s="56"/>
      <c r="I16" s="56"/>
      <c r="J16" s="187"/>
      <c r="K16" s="47"/>
      <c r="L16" s="48"/>
    </row>
    <row r="17" spans="1:12" ht="12.75">
      <c r="A17" s="18" t="s">
        <v>3</v>
      </c>
      <c r="B17" s="35">
        <v>0</v>
      </c>
      <c r="C17" s="19">
        <v>0</v>
      </c>
      <c r="D17" s="20"/>
      <c r="F17" s="49" t="s">
        <v>3</v>
      </c>
      <c r="G17" s="2">
        <v>0</v>
      </c>
      <c r="H17" s="176"/>
      <c r="I17" s="2"/>
      <c r="J17" s="188"/>
      <c r="K17" s="182"/>
      <c r="L17" s="179"/>
    </row>
    <row r="18" spans="1:12" ht="12.75">
      <c r="A18" s="18" t="s">
        <v>4</v>
      </c>
      <c r="B18" s="35">
        <v>43000</v>
      </c>
      <c r="C18" s="19"/>
      <c r="D18" s="20">
        <v>1091</v>
      </c>
      <c r="F18" s="49" t="s">
        <v>4</v>
      </c>
      <c r="G18" s="2">
        <v>19847</v>
      </c>
      <c r="H18" s="176"/>
      <c r="I18" s="2">
        <v>894.152</v>
      </c>
      <c r="J18" s="194">
        <f>G18/B18*100</f>
        <v>46.15581395348837</v>
      </c>
      <c r="K18" s="182"/>
      <c r="L18" s="196">
        <f>I18/D18*100</f>
        <v>81.95710357470212</v>
      </c>
    </row>
    <row r="19" spans="1:12" ht="12.75">
      <c r="A19" s="21"/>
      <c r="B19" s="36"/>
      <c r="C19" s="15"/>
      <c r="D19" s="17"/>
      <c r="F19" s="51"/>
      <c r="G19" s="42"/>
      <c r="H19" s="42"/>
      <c r="I19" s="42"/>
      <c r="J19" s="51"/>
      <c r="K19" s="42"/>
      <c r="L19" s="50"/>
    </row>
    <row r="20" spans="1:12" ht="13.5" thickBot="1">
      <c r="A20" s="14"/>
      <c r="B20" s="36"/>
      <c r="C20" s="15"/>
      <c r="D20" s="17"/>
      <c r="F20" s="52"/>
      <c r="G20" s="53"/>
      <c r="H20" s="53"/>
      <c r="I20" s="53"/>
      <c r="J20" s="189"/>
      <c r="K20" s="44"/>
      <c r="L20" s="55"/>
    </row>
    <row r="21" spans="1:12" ht="13.5" thickBot="1">
      <c r="A21" s="22" t="s">
        <v>5</v>
      </c>
      <c r="B21" s="37">
        <f>SUM(B17:B20)</f>
        <v>43000</v>
      </c>
      <c r="C21" s="24">
        <f>SUM(C17:C20)</f>
        <v>0</v>
      </c>
      <c r="D21" s="25">
        <f>SUM(D17:D20)</f>
        <v>1091</v>
      </c>
      <c r="F21" s="45" t="s">
        <v>5</v>
      </c>
      <c r="G21" s="24">
        <f>SUM(G17:G20)</f>
        <v>19847</v>
      </c>
      <c r="H21" s="24">
        <f>SUM(H17:H20)</f>
        <v>0</v>
      </c>
      <c r="I21" s="24">
        <f>SUM(I17:I20)</f>
        <v>894.152</v>
      </c>
      <c r="J21" s="202">
        <f>G21/B21*100</f>
        <v>46.15581395348837</v>
      </c>
      <c r="K21" s="190"/>
      <c r="L21" s="204">
        <f>I21/D21*100</f>
        <v>81.95710357470212</v>
      </c>
    </row>
    <row r="22" spans="1:9" ht="15">
      <c r="A22" s="26"/>
      <c r="B22" s="26"/>
      <c r="C22" s="26"/>
      <c r="D22" s="26"/>
      <c r="F22" s="26"/>
      <c r="G22" s="26"/>
      <c r="H22" s="26"/>
      <c r="I22" s="26"/>
    </row>
    <row r="23" spans="1:9" ht="16.5" thickBot="1">
      <c r="A23" s="27" t="s">
        <v>8</v>
      </c>
      <c r="B23" s="28"/>
      <c r="C23" s="29"/>
      <c r="D23" s="26"/>
      <c r="F23" s="27"/>
      <c r="G23" s="28"/>
      <c r="H23" s="29"/>
      <c r="I23" s="26"/>
    </row>
    <row r="24" spans="1:12" ht="12.75" customHeight="1" thickBot="1">
      <c r="A24" s="30"/>
      <c r="B24" s="30"/>
      <c r="C24" s="29"/>
      <c r="D24" s="26"/>
      <c r="F24" s="30"/>
      <c r="G24" s="30"/>
      <c r="H24" s="29"/>
      <c r="I24" s="26"/>
      <c r="J24" s="444" t="s">
        <v>331</v>
      </c>
      <c r="K24" s="445"/>
      <c r="L24" s="446"/>
    </row>
    <row r="25" spans="1:12" ht="13.5" thickBot="1">
      <c r="A25" s="40" t="s">
        <v>42</v>
      </c>
      <c r="B25" s="31" t="s">
        <v>0</v>
      </c>
      <c r="C25" s="11" t="s">
        <v>1</v>
      </c>
      <c r="D25" s="13" t="s">
        <v>2</v>
      </c>
      <c r="F25" s="43" t="s">
        <v>43</v>
      </c>
      <c r="G25" s="11" t="s">
        <v>0</v>
      </c>
      <c r="H25" s="11" t="s">
        <v>1</v>
      </c>
      <c r="I25" s="11" t="s">
        <v>2</v>
      </c>
      <c r="J25" s="107" t="s">
        <v>332</v>
      </c>
      <c r="K25" s="180" t="s">
        <v>1</v>
      </c>
      <c r="L25" s="181" t="s">
        <v>2</v>
      </c>
    </row>
    <row r="26" spans="1:12" ht="15">
      <c r="A26" s="14"/>
      <c r="B26" s="32"/>
      <c r="C26" s="33"/>
      <c r="D26" s="34"/>
      <c r="F26" s="46"/>
      <c r="G26" s="56"/>
      <c r="H26" s="56"/>
      <c r="I26" s="56"/>
      <c r="J26" s="191"/>
      <c r="K26" s="192"/>
      <c r="L26" s="193"/>
    </row>
    <row r="27" spans="1:12" ht="12.75">
      <c r="A27" s="18" t="s">
        <v>3</v>
      </c>
      <c r="B27" s="35">
        <f>35300000+1013.912</f>
        <v>35301013.912</v>
      </c>
      <c r="C27" s="19">
        <v>8000000</v>
      </c>
      <c r="D27" s="20">
        <v>2484</v>
      </c>
      <c r="F27" s="49" t="s">
        <v>3</v>
      </c>
      <c r="G27" s="2">
        <v>17803777</v>
      </c>
      <c r="H27" s="2">
        <v>5230456</v>
      </c>
      <c r="I27" s="2">
        <v>621</v>
      </c>
      <c r="J27" s="194">
        <f>G27/B27*100</f>
        <v>50.43418028836815</v>
      </c>
      <c r="K27" s="195">
        <f>H27/C27*100</f>
        <v>65.3807</v>
      </c>
      <c r="L27" s="196">
        <f>I27/D27*100</f>
        <v>25</v>
      </c>
    </row>
    <row r="28" spans="1:13" ht="12.75">
      <c r="A28" s="18" t="s">
        <v>4</v>
      </c>
      <c r="B28" s="207">
        <f>20100000-1013.912</f>
        <v>20098986.088</v>
      </c>
      <c r="C28" s="19"/>
      <c r="D28" s="20">
        <f>115350-2484</f>
        <v>112866</v>
      </c>
      <c r="F28" s="49" t="s">
        <v>4</v>
      </c>
      <c r="G28" s="2">
        <v>10540894</v>
      </c>
      <c r="H28" s="176"/>
      <c r="I28" s="2">
        <v>28217</v>
      </c>
      <c r="J28" s="194">
        <f>G28/B28*100</f>
        <v>52.444904204861295</v>
      </c>
      <c r="K28" s="195"/>
      <c r="L28" s="196">
        <f>I28/D28*100</f>
        <v>25.000443003207344</v>
      </c>
      <c r="M28" s="206"/>
    </row>
    <row r="29" spans="1:12" ht="12.75">
      <c r="A29" s="21"/>
      <c r="B29" s="36"/>
      <c r="C29" s="15"/>
      <c r="D29" s="17"/>
      <c r="F29" s="51"/>
      <c r="G29" s="42"/>
      <c r="H29" s="42"/>
      <c r="I29" s="42"/>
      <c r="J29" s="197"/>
      <c r="K29" s="198"/>
      <c r="L29" s="178"/>
    </row>
    <row r="30" spans="1:12" ht="13.5" thickBot="1">
      <c r="A30" s="14"/>
      <c r="B30" s="36"/>
      <c r="C30" s="15"/>
      <c r="D30" s="17"/>
      <c r="F30" s="54"/>
      <c r="G30" s="44"/>
      <c r="H30" s="44"/>
      <c r="I30" s="44"/>
      <c r="J30" s="199"/>
      <c r="K30" s="200"/>
      <c r="L30" s="201"/>
    </row>
    <row r="31" spans="1:12" ht="13.5" thickBot="1">
      <c r="A31" s="57" t="s">
        <v>5</v>
      </c>
      <c r="B31" s="37">
        <f>SUM(B27:B30)</f>
        <v>55400000</v>
      </c>
      <c r="C31" s="24">
        <f>SUM(C27:C30)</f>
        <v>8000000</v>
      </c>
      <c r="D31" s="25">
        <f>SUM(D27:D30)</f>
        <v>115350</v>
      </c>
      <c r="F31" s="45" t="s">
        <v>5</v>
      </c>
      <c r="G31" s="24">
        <f>SUM(G27:G30)</f>
        <v>28344671</v>
      </c>
      <c r="H31" s="24">
        <f>SUM(H27:H30)</f>
        <v>5230456</v>
      </c>
      <c r="I31" s="24">
        <f>SUM(I27:I30)</f>
        <v>28838</v>
      </c>
      <c r="J31" s="202">
        <f>G31/B31*100</f>
        <v>51.16366606498195</v>
      </c>
      <c r="K31" s="203">
        <f>H31/C31*100</f>
        <v>65.3807</v>
      </c>
      <c r="L31" s="204">
        <f>I31/D31*100</f>
        <v>25.000433463372346</v>
      </c>
    </row>
    <row r="32" spans="1:10" ht="12.75">
      <c r="A32" s="58"/>
      <c r="B32" s="59"/>
      <c r="C32" s="59"/>
      <c r="D32" s="59"/>
      <c r="E32" s="59"/>
      <c r="F32" s="58"/>
      <c r="G32" s="59"/>
      <c r="H32" s="59"/>
      <c r="I32" s="59"/>
      <c r="J32" s="60"/>
    </row>
    <row r="33" spans="1:10" s="260" customFormat="1" ht="12">
      <c r="A33" s="256" t="s">
        <v>376</v>
      </c>
      <c r="B33" s="257"/>
      <c r="C33" s="257"/>
      <c r="D33" s="257"/>
      <c r="E33" s="258"/>
      <c r="F33" s="256" t="s">
        <v>378</v>
      </c>
      <c r="G33" s="257"/>
      <c r="H33" s="257"/>
      <c r="I33" s="257"/>
      <c r="J33" s="259"/>
    </row>
    <row r="34" spans="1:6" s="260" customFormat="1" ht="12">
      <c r="A34" s="260" t="s">
        <v>333</v>
      </c>
      <c r="F34" s="256" t="s">
        <v>377</v>
      </c>
    </row>
  </sheetData>
  <mergeCells count="3">
    <mergeCell ref="J3:L3"/>
    <mergeCell ref="J14:L14"/>
    <mergeCell ref="J24:L24"/>
  </mergeCells>
  <printOptions/>
  <pageMargins left="0.59" right="0.32" top="1.07" bottom="0.66" header="0.4921259845" footer="0.4921259845"/>
  <pageSetup horizontalDpi="600" verticalDpi="600" orientation="landscape" paperSize="9" r:id="rId1"/>
  <headerFooter alignWithMargins="0">
    <oddHeader>&amp;RPríloha č.1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5"/>
  <sheetViews>
    <sheetView workbookViewId="0" topLeftCell="A173">
      <selection activeCell="C188" sqref="C188"/>
    </sheetView>
  </sheetViews>
  <sheetFormatPr defaultColWidth="9.00390625" defaultRowHeight="12.75"/>
  <cols>
    <col min="1" max="1" width="7.25390625" style="292" bestFit="1" customWidth="1"/>
    <col min="2" max="2" width="4.625" style="292" customWidth="1"/>
    <col min="3" max="3" width="24.75390625" style="292" customWidth="1"/>
    <col min="4" max="4" width="27.00390625" style="292" customWidth="1"/>
    <col min="5" max="5" width="7.75390625" style="292" customWidth="1"/>
    <col min="6" max="6" width="7.25390625" style="292" customWidth="1"/>
    <col min="7" max="16384" width="5.75390625" style="292" customWidth="1"/>
  </cols>
  <sheetData>
    <row r="1" spans="1:8" s="290" customFormat="1" ht="56.25">
      <c r="A1" s="298" t="s">
        <v>392</v>
      </c>
      <c r="B1" s="299" t="s">
        <v>73</v>
      </c>
      <c r="C1" s="300" t="s">
        <v>74</v>
      </c>
      <c r="D1" s="300" t="s">
        <v>75</v>
      </c>
      <c r="E1" s="301" t="s">
        <v>396</v>
      </c>
      <c r="F1" s="301" t="s">
        <v>394</v>
      </c>
      <c r="G1" s="301" t="s">
        <v>395</v>
      </c>
      <c r="H1" s="301" t="s">
        <v>393</v>
      </c>
    </row>
    <row r="2" spans="1:8" ht="11.25">
      <c r="A2" s="302">
        <v>14</v>
      </c>
      <c r="B2" s="303">
        <v>4</v>
      </c>
      <c r="C2" s="304" t="s">
        <v>78</v>
      </c>
      <c r="D2" s="304" t="s">
        <v>79</v>
      </c>
      <c r="E2" s="305">
        <v>19</v>
      </c>
      <c r="F2" s="306">
        <v>106</v>
      </c>
      <c r="G2" s="306">
        <v>10</v>
      </c>
      <c r="H2" s="306">
        <v>50</v>
      </c>
    </row>
    <row r="3" spans="1:8" ht="11.25">
      <c r="A3" s="302">
        <v>22</v>
      </c>
      <c r="B3" s="303">
        <v>8</v>
      </c>
      <c r="C3" s="304" t="s">
        <v>79</v>
      </c>
      <c r="D3" s="304" t="s">
        <v>80</v>
      </c>
      <c r="E3" s="305">
        <v>51</v>
      </c>
      <c r="F3" s="306">
        <v>221</v>
      </c>
      <c r="G3" s="306">
        <v>39</v>
      </c>
      <c r="H3" s="306">
        <v>100</v>
      </c>
    </row>
    <row r="4" spans="1:8" ht="11.25">
      <c r="A4" s="302">
        <v>24</v>
      </c>
      <c r="B4" s="303">
        <v>39</v>
      </c>
      <c r="C4" s="304" t="s">
        <v>80</v>
      </c>
      <c r="D4" s="304" t="s">
        <v>81</v>
      </c>
      <c r="E4" s="305">
        <v>51</v>
      </c>
      <c r="F4" s="306">
        <v>221</v>
      </c>
      <c r="G4" s="306">
        <v>38.5</v>
      </c>
      <c r="H4" s="306">
        <v>100</v>
      </c>
    </row>
    <row r="5" spans="1:8" ht="11.25">
      <c r="A5" s="302">
        <v>26</v>
      </c>
      <c r="B5" s="303">
        <v>48</v>
      </c>
      <c r="C5" s="304" t="s">
        <v>81</v>
      </c>
      <c r="D5" s="304" t="s">
        <v>82</v>
      </c>
      <c r="E5" s="305">
        <v>87</v>
      </c>
      <c r="F5" s="306">
        <v>286</v>
      </c>
      <c r="G5" s="306">
        <v>42</v>
      </c>
      <c r="H5" s="306">
        <v>100</v>
      </c>
    </row>
    <row r="6" spans="1:8" ht="11.25">
      <c r="A6" s="302">
        <v>74</v>
      </c>
      <c r="B6" s="303">
        <v>2</v>
      </c>
      <c r="C6" s="304" t="s">
        <v>83</v>
      </c>
      <c r="D6" s="304" t="s">
        <v>84</v>
      </c>
      <c r="E6" s="305">
        <v>20</v>
      </c>
      <c r="F6" s="306">
        <v>59</v>
      </c>
      <c r="G6" s="306">
        <v>25.4</v>
      </c>
      <c r="H6" s="306">
        <v>50</v>
      </c>
    </row>
    <row r="7" spans="1:8" ht="11.25">
      <c r="A7" s="302">
        <v>82</v>
      </c>
      <c r="B7" s="303">
        <v>8</v>
      </c>
      <c r="C7" s="304" t="s">
        <v>84</v>
      </c>
      <c r="D7" s="304" t="s">
        <v>85</v>
      </c>
      <c r="E7" s="305">
        <v>30</v>
      </c>
      <c r="F7" s="306">
        <v>44</v>
      </c>
      <c r="G7" s="306">
        <v>32</v>
      </c>
      <c r="H7" s="306">
        <v>40</v>
      </c>
    </row>
    <row r="8" spans="1:8" ht="11.25">
      <c r="A8" s="302">
        <v>84</v>
      </c>
      <c r="B8" s="303">
        <v>77</v>
      </c>
      <c r="C8" s="304" t="s">
        <v>85</v>
      </c>
      <c r="D8" s="304" t="s">
        <v>86</v>
      </c>
      <c r="E8" s="305">
        <v>16</v>
      </c>
      <c r="F8" s="306">
        <v>32</v>
      </c>
      <c r="G8" s="306">
        <v>34</v>
      </c>
      <c r="H8" s="306">
        <v>60</v>
      </c>
    </row>
    <row r="9" spans="1:8" ht="11.25">
      <c r="A9" s="302">
        <v>104</v>
      </c>
      <c r="B9" s="303">
        <v>15</v>
      </c>
      <c r="C9" s="304" t="s">
        <v>87</v>
      </c>
      <c r="D9" s="304" t="s">
        <v>88</v>
      </c>
      <c r="E9" s="305">
        <v>22</v>
      </c>
      <c r="F9" s="306">
        <v>45</v>
      </c>
      <c r="G9" s="306">
        <v>37</v>
      </c>
      <c r="H9" s="306">
        <v>60</v>
      </c>
    </row>
    <row r="10" spans="1:8" ht="11.25">
      <c r="A10" s="302">
        <v>112</v>
      </c>
      <c r="B10" s="303">
        <v>41</v>
      </c>
      <c r="C10" s="304" t="s">
        <v>88</v>
      </c>
      <c r="D10" s="304" t="s">
        <v>89</v>
      </c>
      <c r="E10" s="305">
        <v>25</v>
      </c>
      <c r="F10" s="306">
        <v>34</v>
      </c>
      <c r="G10" s="306">
        <v>31.7</v>
      </c>
      <c r="H10" s="306">
        <v>90</v>
      </c>
    </row>
    <row r="11" spans="1:8" ht="11.25">
      <c r="A11" s="302">
        <v>122</v>
      </c>
      <c r="B11" s="303">
        <v>9</v>
      </c>
      <c r="C11" s="304" t="s">
        <v>89</v>
      </c>
      <c r="D11" s="304" t="s">
        <v>90</v>
      </c>
      <c r="E11" s="305">
        <v>56</v>
      </c>
      <c r="F11" s="306">
        <v>112</v>
      </c>
      <c r="G11" s="306">
        <v>48</v>
      </c>
      <c r="H11" s="306">
        <v>100</v>
      </c>
    </row>
    <row r="12" spans="1:8" ht="11.25">
      <c r="A12" s="302">
        <v>124</v>
      </c>
      <c r="B12" s="303">
        <v>24</v>
      </c>
      <c r="C12" s="304" t="s">
        <v>90</v>
      </c>
      <c r="D12" s="304" t="s">
        <v>91</v>
      </c>
      <c r="E12" s="305">
        <v>42</v>
      </c>
      <c r="F12" s="306">
        <v>70</v>
      </c>
      <c r="G12" s="306">
        <v>38</v>
      </c>
      <c r="H12" s="306">
        <v>100</v>
      </c>
    </row>
    <row r="13" spans="1:8" ht="11.25">
      <c r="A13" s="302">
        <v>126</v>
      </c>
      <c r="B13" s="307">
        <v>11</v>
      </c>
      <c r="C13" s="308" t="s">
        <v>91</v>
      </c>
      <c r="D13" s="308" t="s">
        <v>92</v>
      </c>
      <c r="E13" s="305">
        <v>22</v>
      </c>
      <c r="F13" s="306">
        <v>50</v>
      </c>
      <c r="G13" s="306">
        <v>39</v>
      </c>
      <c r="H13" s="306">
        <v>80</v>
      </c>
    </row>
    <row r="14" spans="1:8" ht="11.25">
      <c r="A14" s="302">
        <v>132</v>
      </c>
      <c r="B14" s="307">
        <v>20</v>
      </c>
      <c r="C14" s="308" t="s">
        <v>92</v>
      </c>
      <c r="D14" s="308" t="s">
        <v>81</v>
      </c>
      <c r="E14" s="305">
        <v>22</v>
      </c>
      <c r="F14" s="306">
        <v>50</v>
      </c>
      <c r="G14" s="306">
        <v>39</v>
      </c>
      <c r="H14" s="306">
        <v>80</v>
      </c>
    </row>
    <row r="15" spans="1:8" ht="11.25">
      <c r="A15" s="302">
        <v>142</v>
      </c>
      <c r="B15" s="303">
        <v>16</v>
      </c>
      <c r="C15" s="304" t="s">
        <v>92</v>
      </c>
      <c r="D15" s="304" t="s">
        <v>93</v>
      </c>
      <c r="E15" s="305">
        <v>46</v>
      </c>
      <c r="F15" s="306">
        <v>78</v>
      </c>
      <c r="G15" s="306">
        <v>46</v>
      </c>
      <c r="H15" s="306">
        <v>80</v>
      </c>
    </row>
    <row r="16" spans="1:8" ht="11.25">
      <c r="A16" s="302">
        <v>162</v>
      </c>
      <c r="B16" s="303">
        <v>27</v>
      </c>
      <c r="C16" s="304" t="s">
        <v>94</v>
      </c>
      <c r="D16" s="304" t="s">
        <v>89</v>
      </c>
      <c r="E16" s="305">
        <v>25</v>
      </c>
      <c r="F16" s="306">
        <v>44</v>
      </c>
      <c r="G16" s="306">
        <v>33.5</v>
      </c>
      <c r="H16" s="306">
        <v>70</v>
      </c>
    </row>
    <row r="17" spans="1:8" ht="11.25">
      <c r="A17" s="302">
        <v>172</v>
      </c>
      <c r="B17" s="303">
        <v>32</v>
      </c>
      <c r="C17" s="304" t="s">
        <v>95</v>
      </c>
      <c r="D17" s="304" t="s">
        <v>92</v>
      </c>
      <c r="E17" s="305">
        <v>20</v>
      </c>
      <c r="F17" s="306">
        <v>35</v>
      </c>
      <c r="G17" s="306">
        <v>38.8</v>
      </c>
      <c r="H17" s="306">
        <v>80</v>
      </c>
    </row>
    <row r="18" spans="1:8" ht="11.25">
      <c r="A18" s="302">
        <v>182</v>
      </c>
      <c r="B18" s="303">
        <v>35</v>
      </c>
      <c r="C18" s="304" t="s">
        <v>96</v>
      </c>
      <c r="D18" s="304" t="s">
        <v>97</v>
      </c>
      <c r="E18" s="305">
        <v>24</v>
      </c>
      <c r="F18" s="306">
        <v>32</v>
      </c>
      <c r="G18" s="306">
        <v>27.8</v>
      </c>
      <c r="H18" s="306">
        <v>60</v>
      </c>
    </row>
    <row r="19" spans="1:8" ht="11.25">
      <c r="A19" s="302">
        <v>202</v>
      </c>
      <c r="B19" s="303">
        <v>4</v>
      </c>
      <c r="C19" s="304" t="s">
        <v>98</v>
      </c>
      <c r="D19" s="304" t="s">
        <v>99</v>
      </c>
      <c r="E19" s="305">
        <v>34</v>
      </c>
      <c r="F19" s="306">
        <v>65</v>
      </c>
      <c r="G19" s="306">
        <v>39</v>
      </c>
      <c r="H19" s="306">
        <v>80</v>
      </c>
    </row>
    <row r="20" spans="1:8" ht="11.25">
      <c r="A20" s="302">
        <v>204</v>
      </c>
      <c r="B20" s="303">
        <v>26</v>
      </c>
      <c r="C20" s="304" t="s">
        <v>99</v>
      </c>
      <c r="D20" s="304" t="s">
        <v>91</v>
      </c>
      <c r="E20" s="305">
        <v>34</v>
      </c>
      <c r="F20" s="306">
        <v>65</v>
      </c>
      <c r="G20" s="306">
        <v>38.8</v>
      </c>
      <c r="H20" s="306">
        <v>80</v>
      </c>
    </row>
    <row r="21" spans="1:8" ht="11.25">
      <c r="A21" s="302">
        <v>222</v>
      </c>
      <c r="B21" s="303">
        <v>16</v>
      </c>
      <c r="C21" s="304" t="s">
        <v>82</v>
      </c>
      <c r="D21" s="304" t="s">
        <v>100</v>
      </c>
      <c r="E21" s="305">
        <v>184</v>
      </c>
      <c r="F21" s="306">
        <v>309</v>
      </c>
      <c r="G21" s="306">
        <v>51.2</v>
      </c>
      <c r="H21" s="306">
        <v>100</v>
      </c>
    </row>
    <row r="22" spans="1:8" ht="11.25">
      <c r="A22" s="302">
        <v>224</v>
      </c>
      <c r="B22" s="303">
        <v>19</v>
      </c>
      <c r="C22" s="304" t="s">
        <v>100</v>
      </c>
      <c r="D22" s="304" t="s">
        <v>101</v>
      </c>
      <c r="E22" s="305">
        <v>120</v>
      </c>
      <c r="F22" s="306">
        <v>302</v>
      </c>
      <c r="G22" s="306">
        <v>63</v>
      </c>
      <c r="H22" s="306">
        <v>120</v>
      </c>
    </row>
    <row r="23" spans="1:8" ht="11.25">
      <c r="A23" s="302">
        <v>226</v>
      </c>
      <c r="B23" s="303">
        <v>40</v>
      </c>
      <c r="C23" s="304" t="s">
        <v>101</v>
      </c>
      <c r="D23" s="304" t="s">
        <v>102</v>
      </c>
      <c r="E23" s="305">
        <v>120</v>
      </c>
      <c r="F23" s="306">
        <v>302</v>
      </c>
      <c r="G23" s="306">
        <v>63</v>
      </c>
      <c r="H23" s="306">
        <v>120</v>
      </c>
    </row>
    <row r="24" spans="1:8" ht="11.25">
      <c r="A24" s="302">
        <v>232</v>
      </c>
      <c r="B24" s="303">
        <v>26</v>
      </c>
      <c r="C24" s="304" t="s">
        <v>102</v>
      </c>
      <c r="D24" s="304" t="s">
        <v>103</v>
      </c>
      <c r="E24" s="305">
        <v>143</v>
      </c>
      <c r="F24" s="306">
        <v>277</v>
      </c>
      <c r="G24" s="306">
        <v>51</v>
      </c>
      <c r="H24" s="306">
        <v>100</v>
      </c>
    </row>
    <row r="25" spans="1:8" ht="11.25">
      <c r="A25" s="302">
        <v>234</v>
      </c>
      <c r="B25" s="303">
        <v>19</v>
      </c>
      <c r="C25" s="304" t="s">
        <v>103</v>
      </c>
      <c r="D25" s="304" t="s">
        <v>104</v>
      </c>
      <c r="E25" s="305">
        <v>143</v>
      </c>
      <c r="F25" s="306">
        <v>277</v>
      </c>
      <c r="G25" s="306">
        <v>51</v>
      </c>
      <c r="H25" s="306">
        <v>100</v>
      </c>
    </row>
    <row r="26" spans="1:8" ht="11.25">
      <c r="A26" s="302">
        <v>236</v>
      </c>
      <c r="B26" s="303">
        <v>39</v>
      </c>
      <c r="C26" s="304" t="s">
        <v>104</v>
      </c>
      <c r="D26" s="304" t="s">
        <v>105</v>
      </c>
      <c r="E26" s="305">
        <v>122</v>
      </c>
      <c r="F26" s="306">
        <v>301</v>
      </c>
      <c r="G26" s="306">
        <v>56</v>
      </c>
      <c r="H26" s="306">
        <v>100</v>
      </c>
    </row>
    <row r="27" spans="1:8" ht="11.25">
      <c r="A27" s="302">
        <v>238</v>
      </c>
      <c r="B27" s="303">
        <v>44</v>
      </c>
      <c r="C27" s="304" t="s">
        <v>105</v>
      </c>
      <c r="D27" s="304" t="s">
        <v>106</v>
      </c>
      <c r="E27" s="305">
        <v>133</v>
      </c>
      <c r="F27" s="306">
        <v>307</v>
      </c>
      <c r="G27" s="306">
        <v>64</v>
      </c>
      <c r="H27" s="306">
        <v>120</v>
      </c>
    </row>
    <row r="28" spans="1:8" ht="11.25">
      <c r="A28" s="302">
        <v>262</v>
      </c>
      <c r="B28" s="303">
        <v>18</v>
      </c>
      <c r="C28" s="304" t="s">
        <v>106</v>
      </c>
      <c r="D28" s="304" t="s">
        <v>107</v>
      </c>
      <c r="E28" s="305">
        <v>122</v>
      </c>
      <c r="F28" s="306">
        <v>291</v>
      </c>
      <c r="G28" s="306">
        <v>48</v>
      </c>
      <c r="H28" s="306">
        <v>120</v>
      </c>
    </row>
    <row r="29" spans="1:8" ht="11.25">
      <c r="A29" s="302">
        <v>264</v>
      </c>
      <c r="B29" s="303">
        <v>21</v>
      </c>
      <c r="C29" s="304" t="s">
        <v>107</v>
      </c>
      <c r="D29" s="304" t="s">
        <v>108</v>
      </c>
      <c r="E29" s="305">
        <v>148</v>
      </c>
      <c r="F29" s="306">
        <v>277</v>
      </c>
      <c r="G29" s="306">
        <v>50.4</v>
      </c>
      <c r="H29" s="306">
        <v>120</v>
      </c>
    </row>
    <row r="30" spans="1:8" ht="11.25">
      <c r="A30" s="302">
        <v>272</v>
      </c>
      <c r="B30" s="303">
        <v>44</v>
      </c>
      <c r="C30" s="304" t="s">
        <v>108</v>
      </c>
      <c r="D30" s="304" t="s">
        <v>109</v>
      </c>
      <c r="E30" s="305">
        <v>127</v>
      </c>
      <c r="F30" s="306">
        <v>287</v>
      </c>
      <c r="G30" s="306">
        <v>37</v>
      </c>
      <c r="H30" s="306">
        <v>120</v>
      </c>
    </row>
    <row r="31" spans="1:8" ht="11.25">
      <c r="A31" s="302">
        <v>282</v>
      </c>
      <c r="B31" s="303">
        <v>30</v>
      </c>
      <c r="C31" s="304" t="s">
        <v>108</v>
      </c>
      <c r="D31" s="304" t="s">
        <v>110</v>
      </c>
      <c r="E31" s="305">
        <v>107</v>
      </c>
      <c r="F31" s="306">
        <v>276</v>
      </c>
      <c r="G31" s="306">
        <v>39.6</v>
      </c>
      <c r="H31" s="306">
        <v>100</v>
      </c>
    </row>
    <row r="32" spans="1:8" ht="11.25">
      <c r="A32" s="302">
        <v>302</v>
      </c>
      <c r="B32" s="303">
        <v>51</v>
      </c>
      <c r="C32" s="304" t="s">
        <v>90</v>
      </c>
      <c r="D32" s="304" t="s">
        <v>97</v>
      </c>
      <c r="E32" s="305">
        <v>23</v>
      </c>
      <c r="F32" s="306">
        <v>47</v>
      </c>
      <c r="G32" s="306">
        <v>49.5</v>
      </c>
      <c r="H32" s="306">
        <v>100</v>
      </c>
    </row>
    <row r="33" spans="1:8" ht="11.25">
      <c r="A33" s="302">
        <v>304</v>
      </c>
      <c r="B33" s="303">
        <v>10</v>
      </c>
      <c r="C33" s="304" t="s">
        <v>97</v>
      </c>
      <c r="D33" s="304" t="s">
        <v>111</v>
      </c>
      <c r="E33" s="305">
        <v>43</v>
      </c>
      <c r="F33" s="306">
        <v>95</v>
      </c>
      <c r="G33" s="306">
        <v>30.6</v>
      </c>
      <c r="H33" s="306">
        <v>80</v>
      </c>
    </row>
    <row r="34" spans="1:8" ht="11.25">
      <c r="A34" s="302">
        <v>312</v>
      </c>
      <c r="B34" s="303">
        <v>17</v>
      </c>
      <c r="C34" s="304" t="s">
        <v>100</v>
      </c>
      <c r="D34" s="304" t="s">
        <v>111</v>
      </c>
      <c r="E34" s="305">
        <v>58</v>
      </c>
      <c r="F34" s="306">
        <v>98</v>
      </c>
      <c r="G34" s="306">
        <v>38.7</v>
      </c>
      <c r="H34" s="306">
        <v>80</v>
      </c>
    </row>
    <row r="35" spans="1:8" ht="11.25">
      <c r="A35" s="302">
        <v>322</v>
      </c>
      <c r="B35" s="303">
        <v>55</v>
      </c>
      <c r="C35" s="304" t="s">
        <v>111</v>
      </c>
      <c r="D35" s="304" t="s">
        <v>112</v>
      </c>
      <c r="E35" s="305">
        <v>34</v>
      </c>
      <c r="F35" s="306">
        <v>49</v>
      </c>
      <c r="G35" s="306">
        <v>78.4</v>
      </c>
      <c r="H35" s="306">
        <v>100</v>
      </c>
    </row>
    <row r="36" spans="1:8" ht="11.25">
      <c r="A36" s="302">
        <v>332</v>
      </c>
      <c r="B36" s="303">
        <v>7</v>
      </c>
      <c r="C36" s="304" t="s">
        <v>112</v>
      </c>
      <c r="D36" s="304" t="s">
        <v>113</v>
      </c>
      <c r="E36" s="305">
        <v>28</v>
      </c>
      <c r="F36" s="306">
        <v>41</v>
      </c>
      <c r="G36" s="306">
        <v>24</v>
      </c>
      <c r="H36" s="306">
        <v>60</v>
      </c>
    </row>
    <row r="37" spans="1:8" ht="11.25">
      <c r="A37" s="302">
        <v>372</v>
      </c>
      <c r="B37" s="303">
        <v>5</v>
      </c>
      <c r="C37" s="304" t="s">
        <v>82</v>
      </c>
      <c r="D37" s="304" t="s">
        <v>114</v>
      </c>
      <c r="E37" s="305">
        <v>89</v>
      </c>
      <c r="F37" s="306">
        <v>199</v>
      </c>
      <c r="G37" s="306">
        <v>30</v>
      </c>
      <c r="H37" s="306">
        <v>90</v>
      </c>
    </row>
    <row r="38" spans="1:8" ht="11.25">
      <c r="A38" s="302">
        <v>374</v>
      </c>
      <c r="B38" s="303">
        <v>6</v>
      </c>
      <c r="C38" s="304" t="s">
        <v>114</v>
      </c>
      <c r="D38" s="304" t="s">
        <v>115</v>
      </c>
      <c r="E38" s="305">
        <v>89</v>
      </c>
      <c r="F38" s="306">
        <v>199</v>
      </c>
      <c r="G38" s="306">
        <v>29.9</v>
      </c>
      <c r="H38" s="306">
        <v>90</v>
      </c>
    </row>
    <row r="39" spans="1:8" ht="11.25">
      <c r="A39" s="302">
        <v>376</v>
      </c>
      <c r="B39" s="303">
        <v>60</v>
      </c>
      <c r="C39" s="304" t="s">
        <v>115</v>
      </c>
      <c r="D39" s="304" t="s">
        <v>116</v>
      </c>
      <c r="E39" s="305">
        <v>42</v>
      </c>
      <c r="F39" s="306">
        <v>80</v>
      </c>
      <c r="G39" s="306">
        <v>32.7</v>
      </c>
      <c r="H39" s="306">
        <v>100</v>
      </c>
    </row>
    <row r="40" spans="1:8" ht="11.25">
      <c r="A40" s="302">
        <v>378</v>
      </c>
      <c r="B40" s="303">
        <v>13</v>
      </c>
      <c r="C40" s="304" t="s">
        <v>116</v>
      </c>
      <c r="D40" s="304" t="s">
        <v>117</v>
      </c>
      <c r="E40" s="305">
        <v>56</v>
      </c>
      <c r="F40" s="306">
        <v>85</v>
      </c>
      <c r="G40" s="306">
        <v>32.3</v>
      </c>
      <c r="H40" s="306">
        <v>100</v>
      </c>
    </row>
    <row r="41" spans="1:8" ht="11.25">
      <c r="A41" s="302">
        <v>382</v>
      </c>
      <c r="B41" s="303">
        <v>8</v>
      </c>
      <c r="C41" s="304" t="s">
        <v>118</v>
      </c>
      <c r="D41" s="304" t="s">
        <v>114</v>
      </c>
      <c r="E41" s="305">
        <v>32</v>
      </c>
      <c r="F41" s="306">
        <v>57</v>
      </c>
      <c r="G41" s="306">
        <v>34.5</v>
      </c>
      <c r="H41" s="306">
        <v>100</v>
      </c>
    </row>
    <row r="42" spans="1:8" ht="11.25">
      <c r="A42" s="302">
        <v>394</v>
      </c>
      <c r="B42" s="303">
        <v>10</v>
      </c>
      <c r="C42" s="304" t="s">
        <v>118</v>
      </c>
      <c r="D42" s="304" t="s">
        <v>119</v>
      </c>
      <c r="E42" s="305">
        <v>25</v>
      </c>
      <c r="F42" s="306">
        <v>68</v>
      </c>
      <c r="G42" s="306">
        <v>53.2</v>
      </c>
      <c r="H42" s="306">
        <v>100</v>
      </c>
    </row>
    <row r="43" spans="1:8" ht="11.25">
      <c r="A43" s="302">
        <v>412</v>
      </c>
      <c r="B43" s="303">
        <v>93</v>
      </c>
      <c r="C43" s="304" t="s">
        <v>101</v>
      </c>
      <c r="D43" s="304" t="s">
        <v>120</v>
      </c>
      <c r="E43" s="305">
        <v>20</v>
      </c>
      <c r="F43" s="306">
        <v>39</v>
      </c>
      <c r="G43" s="306">
        <v>32.9</v>
      </c>
      <c r="H43" s="306">
        <v>80</v>
      </c>
    </row>
    <row r="44" spans="1:8" ht="11.25">
      <c r="A44" s="302">
        <v>422</v>
      </c>
      <c r="B44" s="303">
        <v>43</v>
      </c>
      <c r="C44" s="304" t="s">
        <v>120</v>
      </c>
      <c r="D44" s="304" t="s">
        <v>121</v>
      </c>
      <c r="E44" s="305">
        <v>29</v>
      </c>
      <c r="F44" s="306">
        <v>39</v>
      </c>
      <c r="G44" s="306">
        <v>39</v>
      </c>
      <c r="H44" s="306">
        <v>70</v>
      </c>
    </row>
    <row r="45" spans="1:8" ht="11.25">
      <c r="A45" s="302">
        <v>424</v>
      </c>
      <c r="B45" s="303">
        <v>43</v>
      </c>
      <c r="C45" s="304" t="s">
        <v>121</v>
      </c>
      <c r="D45" s="304" t="s">
        <v>122</v>
      </c>
      <c r="E45" s="305">
        <v>33</v>
      </c>
      <c r="F45" s="306">
        <v>57</v>
      </c>
      <c r="G45" s="306">
        <v>36.4</v>
      </c>
      <c r="H45" s="306">
        <v>70</v>
      </c>
    </row>
    <row r="46" spans="1:8" ht="11.25">
      <c r="A46" s="302">
        <v>442</v>
      </c>
      <c r="B46" s="303">
        <v>15</v>
      </c>
      <c r="C46" s="304" t="s">
        <v>123</v>
      </c>
      <c r="D46" s="304" t="s">
        <v>124</v>
      </c>
      <c r="E46" s="305">
        <v>12</v>
      </c>
      <c r="F46" s="306">
        <v>28</v>
      </c>
      <c r="G46" s="306">
        <v>24.9</v>
      </c>
      <c r="H46" s="306">
        <v>50</v>
      </c>
    </row>
    <row r="47" spans="1:8" ht="11.25">
      <c r="A47" s="302">
        <v>472</v>
      </c>
      <c r="B47" s="303">
        <v>26</v>
      </c>
      <c r="C47" s="304" t="s">
        <v>125</v>
      </c>
      <c r="D47" s="304" t="s">
        <v>116</v>
      </c>
      <c r="E47" s="305">
        <v>17</v>
      </c>
      <c r="F47" s="306">
        <v>43</v>
      </c>
      <c r="G47" s="306">
        <v>24.5</v>
      </c>
      <c r="H47" s="306">
        <v>60</v>
      </c>
    </row>
    <row r="48" spans="1:8" ht="11.25">
      <c r="A48" s="302">
        <v>482</v>
      </c>
      <c r="B48" s="303">
        <v>24</v>
      </c>
      <c r="C48" s="304" t="s">
        <v>117</v>
      </c>
      <c r="D48" s="304" t="s">
        <v>126</v>
      </c>
      <c r="E48" s="305">
        <v>16</v>
      </c>
      <c r="F48" s="306">
        <v>36</v>
      </c>
      <c r="G48" s="306">
        <v>19.9</v>
      </c>
      <c r="H48" s="306">
        <v>50</v>
      </c>
    </row>
    <row r="49" spans="1:8" ht="11.25">
      <c r="A49" s="302">
        <v>492</v>
      </c>
      <c r="B49" s="303">
        <v>41</v>
      </c>
      <c r="C49" s="304" t="s">
        <v>117</v>
      </c>
      <c r="D49" s="304" t="s">
        <v>127</v>
      </c>
      <c r="E49" s="305">
        <v>28</v>
      </c>
      <c r="F49" s="306">
        <v>41</v>
      </c>
      <c r="G49" s="306">
        <v>27.1</v>
      </c>
      <c r="H49" s="306">
        <v>50</v>
      </c>
    </row>
    <row r="50" spans="1:8" ht="11.25">
      <c r="A50" s="302">
        <v>522</v>
      </c>
      <c r="B50" s="303">
        <v>52</v>
      </c>
      <c r="C50" s="304" t="s">
        <v>112</v>
      </c>
      <c r="D50" s="304" t="s">
        <v>128</v>
      </c>
      <c r="E50" s="305">
        <v>26</v>
      </c>
      <c r="F50" s="306">
        <v>35</v>
      </c>
      <c r="G50" s="306">
        <v>35</v>
      </c>
      <c r="H50" s="306">
        <v>60</v>
      </c>
    </row>
    <row r="51" spans="1:8" ht="11.25">
      <c r="A51" s="302">
        <v>524</v>
      </c>
      <c r="B51" s="303">
        <v>8</v>
      </c>
      <c r="C51" s="304" t="s">
        <v>128</v>
      </c>
      <c r="D51" s="304" t="s">
        <v>129</v>
      </c>
      <c r="E51" s="305">
        <v>39</v>
      </c>
      <c r="F51" s="306">
        <v>66</v>
      </c>
      <c r="G51" s="306">
        <v>24</v>
      </c>
      <c r="H51" s="306">
        <v>60</v>
      </c>
    </row>
    <row r="52" spans="1:8" ht="11.25">
      <c r="A52" s="302">
        <v>532</v>
      </c>
      <c r="B52" s="303">
        <v>9</v>
      </c>
      <c r="C52" s="304" t="s">
        <v>130</v>
      </c>
      <c r="D52" s="304" t="s">
        <v>128</v>
      </c>
      <c r="E52" s="305">
        <v>30</v>
      </c>
      <c r="F52" s="306">
        <v>54</v>
      </c>
      <c r="G52" s="306">
        <v>37.8</v>
      </c>
      <c r="H52" s="306">
        <v>60</v>
      </c>
    </row>
    <row r="53" spans="1:8" ht="11.25">
      <c r="A53" s="302">
        <v>542</v>
      </c>
      <c r="B53" s="303">
        <v>13</v>
      </c>
      <c r="C53" s="304" t="s">
        <v>131</v>
      </c>
      <c r="D53" s="304" t="s">
        <v>132</v>
      </c>
      <c r="E53" s="305">
        <v>43</v>
      </c>
      <c r="F53" s="306">
        <v>63</v>
      </c>
      <c r="G53" s="306">
        <v>29.3</v>
      </c>
      <c r="H53" s="306">
        <v>50</v>
      </c>
    </row>
    <row r="54" spans="1:8" ht="11.25">
      <c r="A54" s="302">
        <v>544</v>
      </c>
      <c r="B54" s="303">
        <v>16</v>
      </c>
      <c r="C54" s="304" t="s">
        <v>132</v>
      </c>
      <c r="D54" s="304" t="s">
        <v>133</v>
      </c>
      <c r="E54" s="305">
        <v>40</v>
      </c>
      <c r="F54" s="306">
        <v>55</v>
      </c>
      <c r="G54" s="306">
        <v>27.2</v>
      </c>
      <c r="H54" s="306">
        <v>50</v>
      </c>
    </row>
    <row r="55" spans="1:8" ht="11.25">
      <c r="A55" s="302">
        <v>552</v>
      </c>
      <c r="B55" s="303">
        <v>6</v>
      </c>
      <c r="C55" s="304" t="s">
        <v>130</v>
      </c>
      <c r="D55" s="304" t="s">
        <v>132</v>
      </c>
      <c r="E55" s="305">
        <v>35</v>
      </c>
      <c r="F55" s="306">
        <v>65</v>
      </c>
      <c r="G55" s="306">
        <v>24</v>
      </c>
      <c r="H55" s="306">
        <v>50</v>
      </c>
    </row>
    <row r="56" spans="1:8" ht="11.25">
      <c r="A56" s="302">
        <v>562</v>
      </c>
      <c r="B56" s="303">
        <v>5</v>
      </c>
      <c r="C56" s="304" t="s">
        <v>133</v>
      </c>
      <c r="D56" s="304" t="s">
        <v>104</v>
      </c>
      <c r="E56" s="305">
        <v>51</v>
      </c>
      <c r="F56" s="306">
        <v>77</v>
      </c>
      <c r="G56" s="306">
        <v>16.6</v>
      </c>
      <c r="H56" s="306">
        <v>30</v>
      </c>
    </row>
    <row r="57" spans="1:8" ht="11.25">
      <c r="A57" s="302">
        <v>582</v>
      </c>
      <c r="B57" s="303">
        <v>9</v>
      </c>
      <c r="C57" s="304" t="s">
        <v>134</v>
      </c>
      <c r="D57" s="304" t="s">
        <v>135</v>
      </c>
      <c r="E57" s="305">
        <v>22</v>
      </c>
      <c r="F57" s="306">
        <v>38</v>
      </c>
      <c r="G57" s="306">
        <v>23.25</v>
      </c>
      <c r="H57" s="306">
        <v>50</v>
      </c>
    </row>
    <row r="58" spans="1:8" ht="11.25">
      <c r="A58" s="302">
        <v>592</v>
      </c>
      <c r="B58" s="303">
        <v>13</v>
      </c>
      <c r="C58" s="304" t="s">
        <v>136</v>
      </c>
      <c r="D58" s="304" t="s">
        <v>102</v>
      </c>
      <c r="E58" s="305">
        <v>22</v>
      </c>
      <c r="F58" s="306">
        <v>43</v>
      </c>
      <c r="G58" s="306">
        <v>28.2</v>
      </c>
      <c r="H58" s="306">
        <v>60</v>
      </c>
    </row>
    <row r="59" spans="1:8" ht="11.25">
      <c r="A59" s="302">
        <v>602</v>
      </c>
      <c r="B59" s="303">
        <v>56</v>
      </c>
      <c r="C59" s="304" t="s">
        <v>137</v>
      </c>
      <c r="D59" s="304" t="s">
        <v>106</v>
      </c>
      <c r="E59" s="305">
        <v>31</v>
      </c>
      <c r="F59" s="306">
        <v>41</v>
      </c>
      <c r="G59" s="306">
        <v>25.5</v>
      </c>
      <c r="H59" s="306">
        <v>50</v>
      </c>
    </row>
    <row r="60" spans="1:8" ht="11.25">
      <c r="A60" s="302">
        <v>622</v>
      </c>
      <c r="B60" s="303">
        <v>14</v>
      </c>
      <c r="C60" s="304" t="s">
        <v>110</v>
      </c>
      <c r="D60" s="304" t="s">
        <v>138</v>
      </c>
      <c r="E60" s="305">
        <v>45</v>
      </c>
      <c r="F60" s="306">
        <v>63</v>
      </c>
      <c r="G60" s="306">
        <v>35</v>
      </c>
      <c r="H60" s="306">
        <v>60</v>
      </c>
    </row>
    <row r="61" spans="1:8" ht="11.25">
      <c r="A61" s="302">
        <v>632</v>
      </c>
      <c r="B61" s="303">
        <v>7</v>
      </c>
      <c r="C61" s="304" t="s">
        <v>138</v>
      </c>
      <c r="D61" s="304" t="s">
        <v>139</v>
      </c>
      <c r="E61" s="305">
        <v>50</v>
      </c>
      <c r="F61" s="306">
        <v>65</v>
      </c>
      <c r="G61" s="306">
        <v>23.7</v>
      </c>
      <c r="H61" s="306">
        <v>50</v>
      </c>
    </row>
    <row r="62" spans="1:8" ht="11.25">
      <c r="A62" s="302">
        <v>642</v>
      </c>
      <c r="B62" s="303">
        <v>26</v>
      </c>
      <c r="C62" s="304" t="s">
        <v>110</v>
      </c>
      <c r="D62" s="304" t="s">
        <v>140</v>
      </c>
      <c r="E62" s="305">
        <v>24</v>
      </c>
      <c r="F62" s="306">
        <v>42</v>
      </c>
      <c r="G62" s="306">
        <v>25.1</v>
      </c>
      <c r="H62" s="306">
        <v>50</v>
      </c>
    </row>
    <row r="63" spans="1:8" ht="11.25">
      <c r="A63" s="302">
        <v>652</v>
      </c>
      <c r="B63" s="303">
        <v>21</v>
      </c>
      <c r="C63" s="304" t="s">
        <v>108</v>
      </c>
      <c r="D63" s="304" t="s">
        <v>141</v>
      </c>
      <c r="E63" s="305">
        <v>25</v>
      </c>
      <c r="F63" s="306">
        <v>37</v>
      </c>
      <c r="G63" s="306">
        <v>25.4</v>
      </c>
      <c r="H63" s="306">
        <v>60</v>
      </c>
    </row>
    <row r="64" spans="1:8" ht="11.25">
      <c r="A64" s="302">
        <v>672</v>
      </c>
      <c r="B64" s="303">
        <v>31</v>
      </c>
      <c r="C64" s="304" t="s">
        <v>117</v>
      </c>
      <c r="D64" s="304" t="s">
        <v>142</v>
      </c>
      <c r="E64" s="305">
        <v>42</v>
      </c>
      <c r="F64" s="306">
        <v>76</v>
      </c>
      <c r="G64" s="306">
        <v>33</v>
      </c>
      <c r="H64" s="306">
        <v>100</v>
      </c>
    </row>
    <row r="65" spans="1:8" ht="11.25">
      <c r="A65" s="302">
        <v>674</v>
      </c>
      <c r="B65" s="303">
        <v>20</v>
      </c>
      <c r="C65" s="304" t="s">
        <v>142</v>
      </c>
      <c r="D65" s="304" t="s">
        <v>143</v>
      </c>
      <c r="E65" s="305">
        <v>42</v>
      </c>
      <c r="F65" s="306">
        <v>76</v>
      </c>
      <c r="G65" s="306">
        <v>33.2</v>
      </c>
      <c r="H65" s="306">
        <v>100</v>
      </c>
    </row>
    <row r="66" spans="1:8" ht="11.25">
      <c r="A66" s="302">
        <v>676</v>
      </c>
      <c r="B66" s="303">
        <v>29</v>
      </c>
      <c r="C66" s="304" t="s">
        <v>143</v>
      </c>
      <c r="D66" s="304" t="s">
        <v>144</v>
      </c>
      <c r="E66" s="305">
        <v>42</v>
      </c>
      <c r="F66" s="306">
        <v>76</v>
      </c>
      <c r="G66" s="306">
        <v>33.2</v>
      </c>
      <c r="H66" s="306">
        <v>100</v>
      </c>
    </row>
    <row r="67" spans="1:8" ht="11.25">
      <c r="A67" s="302">
        <v>682</v>
      </c>
      <c r="B67" s="303">
        <v>15</v>
      </c>
      <c r="C67" s="304" t="s">
        <v>144</v>
      </c>
      <c r="D67" s="304" t="s">
        <v>145</v>
      </c>
      <c r="E67" s="305">
        <v>63</v>
      </c>
      <c r="F67" s="306">
        <v>92</v>
      </c>
      <c r="G67" s="306">
        <v>46</v>
      </c>
      <c r="H67" s="306">
        <v>100</v>
      </c>
    </row>
    <row r="68" spans="1:8" ht="11.25">
      <c r="A68" s="302">
        <v>684</v>
      </c>
      <c r="B68" s="303">
        <v>52</v>
      </c>
      <c r="C68" s="304" t="s">
        <v>145</v>
      </c>
      <c r="D68" s="304" t="s">
        <v>146</v>
      </c>
      <c r="E68" s="305">
        <v>62</v>
      </c>
      <c r="F68" s="306">
        <v>92</v>
      </c>
      <c r="G68" s="306">
        <v>45.8</v>
      </c>
      <c r="H68" s="306">
        <v>100</v>
      </c>
    </row>
    <row r="69" spans="1:8" ht="11.25">
      <c r="A69" s="302">
        <v>686</v>
      </c>
      <c r="B69" s="303">
        <v>2</v>
      </c>
      <c r="C69" s="304" t="s">
        <v>146</v>
      </c>
      <c r="D69" s="304" t="s">
        <v>147</v>
      </c>
      <c r="E69" s="305">
        <v>65</v>
      </c>
      <c r="F69" s="306">
        <v>92</v>
      </c>
      <c r="G69" s="306">
        <v>46</v>
      </c>
      <c r="H69" s="306">
        <v>100</v>
      </c>
    </row>
    <row r="70" spans="1:8" ht="11.25">
      <c r="A70" s="302">
        <v>694</v>
      </c>
      <c r="B70" s="303">
        <v>1</v>
      </c>
      <c r="C70" s="304" t="s">
        <v>148</v>
      </c>
      <c r="D70" s="304" t="s">
        <v>142</v>
      </c>
      <c r="E70" s="305">
        <v>10</v>
      </c>
      <c r="F70" s="306">
        <v>129</v>
      </c>
      <c r="G70" s="306">
        <v>13.5</v>
      </c>
      <c r="H70" s="306">
        <v>60</v>
      </c>
    </row>
    <row r="71" spans="1:8" ht="11.25">
      <c r="A71" s="302">
        <v>704</v>
      </c>
      <c r="B71" s="303">
        <v>12</v>
      </c>
      <c r="C71" s="304" t="s">
        <v>149</v>
      </c>
      <c r="D71" s="304" t="s">
        <v>144</v>
      </c>
      <c r="E71" s="305">
        <v>18</v>
      </c>
      <c r="F71" s="306">
        <v>25</v>
      </c>
      <c r="G71" s="306">
        <v>24</v>
      </c>
      <c r="H71" s="306">
        <v>60</v>
      </c>
    </row>
    <row r="72" spans="1:8" ht="11.25">
      <c r="A72" s="302">
        <v>732</v>
      </c>
      <c r="B72" s="303">
        <v>11</v>
      </c>
      <c r="C72" s="304" t="s">
        <v>143</v>
      </c>
      <c r="D72" s="304" t="s">
        <v>150</v>
      </c>
      <c r="E72" s="305">
        <v>30</v>
      </c>
      <c r="F72" s="306">
        <v>61</v>
      </c>
      <c r="G72" s="306">
        <v>34.2</v>
      </c>
      <c r="H72" s="306">
        <v>80</v>
      </c>
    </row>
    <row r="73" spans="1:8" ht="11.25">
      <c r="A73" s="302">
        <v>734</v>
      </c>
      <c r="B73" s="303">
        <v>38</v>
      </c>
      <c r="C73" s="304" t="s">
        <v>150</v>
      </c>
      <c r="D73" s="304" t="s">
        <v>151</v>
      </c>
      <c r="E73" s="305">
        <v>25</v>
      </c>
      <c r="F73" s="306">
        <v>32</v>
      </c>
      <c r="G73" s="306">
        <v>25.7</v>
      </c>
      <c r="H73" s="306">
        <v>80</v>
      </c>
    </row>
    <row r="74" spans="1:8" ht="11.25">
      <c r="A74" s="302">
        <v>742</v>
      </c>
      <c r="B74" s="303">
        <v>16</v>
      </c>
      <c r="C74" s="304" t="s">
        <v>151</v>
      </c>
      <c r="D74" s="304" t="s">
        <v>152</v>
      </c>
      <c r="E74" s="305">
        <v>19</v>
      </c>
      <c r="F74" s="306">
        <v>24</v>
      </c>
      <c r="G74" s="306">
        <v>32</v>
      </c>
      <c r="H74" s="306">
        <v>70</v>
      </c>
    </row>
    <row r="75" spans="1:8" ht="11.25">
      <c r="A75" s="302">
        <v>744</v>
      </c>
      <c r="B75" s="303">
        <v>17</v>
      </c>
      <c r="C75" s="304" t="s">
        <v>152</v>
      </c>
      <c r="D75" s="304" t="s">
        <v>121</v>
      </c>
      <c r="E75" s="305">
        <v>19</v>
      </c>
      <c r="F75" s="306">
        <v>24</v>
      </c>
      <c r="G75" s="306">
        <v>32.1</v>
      </c>
      <c r="H75" s="306">
        <v>70</v>
      </c>
    </row>
    <row r="76" spans="1:8" ht="11.25">
      <c r="A76" s="302">
        <v>772</v>
      </c>
      <c r="B76" s="303">
        <v>30</v>
      </c>
      <c r="C76" s="304" t="s">
        <v>153</v>
      </c>
      <c r="D76" s="304" t="s">
        <v>150</v>
      </c>
      <c r="E76" s="305"/>
      <c r="F76" s="306"/>
      <c r="G76" s="306"/>
      <c r="H76" s="306"/>
    </row>
    <row r="77" spans="1:8" ht="11.25">
      <c r="A77" s="302">
        <v>782</v>
      </c>
      <c r="B77" s="303">
        <v>3</v>
      </c>
      <c r="C77" s="304" t="s">
        <v>154</v>
      </c>
      <c r="D77" s="304" t="s">
        <v>155</v>
      </c>
      <c r="E77" s="305">
        <v>6</v>
      </c>
      <c r="F77" s="306">
        <v>16</v>
      </c>
      <c r="G77" s="306">
        <v>19</v>
      </c>
      <c r="H77" s="306">
        <v>60</v>
      </c>
    </row>
    <row r="78" spans="1:8" ht="11.25">
      <c r="A78" s="302">
        <v>792</v>
      </c>
      <c r="B78" s="303">
        <v>10</v>
      </c>
      <c r="C78" s="304" t="s">
        <v>155</v>
      </c>
      <c r="D78" s="304" t="s">
        <v>156</v>
      </c>
      <c r="E78" s="305">
        <v>6</v>
      </c>
      <c r="F78" s="306">
        <v>16</v>
      </c>
      <c r="G78" s="306">
        <v>18.7</v>
      </c>
      <c r="H78" s="306">
        <v>60</v>
      </c>
    </row>
    <row r="79" spans="1:8" ht="11.25">
      <c r="A79" s="302">
        <v>804</v>
      </c>
      <c r="B79" s="303">
        <v>12</v>
      </c>
      <c r="C79" s="304" t="s">
        <v>157</v>
      </c>
      <c r="D79" s="304" t="s">
        <v>145</v>
      </c>
      <c r="E79" s="305">
        <v>6</v>
      </c>
      <c r="F79" s="306">
        <v>16</v>
      </c>
      <c r="G79" s="306">
        <v>19</v>
      </c>
      <c r="H79" s="306">
        <v>60</v>
      </c>
    </row>
    <row r="80" spans="1:8" ht="11.25">
      <c r="A80" s="302">
        <v>812</v>
      </c>
      <c r="B80" s="303">
        <v>41</v>
      </c>
      <c r="C80" s="304" t="s">
        <v>145</v>
      </c>
      <c r="D80" s="304" t="s">
        <v>158</v>
      </c>
      <c r="E80" s="305">
        <v>24</v>
      </c>
      <c r="F80" s="306">
        <v>31</v>
      </c>
      <c r="G80" s="306">
        <v>32.5</v>
      </c>
      <c r="H80" s="306">
        <v>60</v>
      </c>
    </row>
    <row r="81" spans="1:8" ht="11.25">
      <c r="A81" s="302">
        <v>822</v>
      </c>
      <c r="B81" s="303">
        <v>10</v>
      </c>
      <c r="C81" s="304" t="s">
        <v>159</v>
      </c>
      <c r="D81" s="304" t="s">
        <v>160</v>
      </c>
      <c r="E81" s="305">
        <v>17</v>
      </c>
      <c r="F81" s="306">
        <v>45</v>
      </c>
      <c r="G81" s="306">
        <v>32.7</v>
      </c>
      <c r="H81" s="306">
        <v>50</v>
      </c>
    </row>
    <row r="82" spans="1:8" ht="11.25">
      <c r="A82" s="302">
        <v>842</v>
      </c>
      <c r="B82" s="303">
        <v>11</v>
      </c>
      <c r="C82" s="304" t="s">
        <v>147</v>
      </c>
      <c r="D82" s="304" t="s">
        <v>161</v>
      </c>
      <c r="E82" s="305">
        <v>79</v>
      </c>
      <c r="F82" s="306">
        <v>212</v>
      </c>
      <c r="G82" s="306">
        <v>51.2</v>
      </c>
      <c r="H82" s="306">
        <v>100</v>
      </c>
    </row>
    <row r="83" spans="1:8" ht="11.25">
      <c r="A83" s="302">
        <v>852</v>
      </c>
      <c r="B83" s="303">
        <v>56</v>
      </c>
      <c r="C83" s="304" t="s">
        <v>161</v>
      </c>
      <c r="D83" s="304" t="s">
        <v>162</v>
      </c>
      <c r="E83" s="305">
        <v>32</v>
      </c>
      <c r="F83" s="306">
        <v>44</v>
      </c>
      <c r="G83" s="306">
        <v>24.7</v>
      </c>
      <c r="H83" s="306">
        <v>60</v>
      </c>
    </row>
    <row r="84" spans="1:8" ht="11.25">
      <c r="A84" s="302">
        <v>854</v>
      </c>
      <c r="B84" s="303">
        <v>22</v>
      </c>
      <c r="C84" s="304" t="s">
        <v>162</v>
      </c>
      <c r="D84" s="304" t="s">
        <v>163</v>
      </c>
      <c r="E84" s="305">
        <v>53</v>
      </c>
      <c r="F84" s="306">
        <v>170</v>
      </c>
      <c r="G84" s="306">
        <v>46.7</v>
      </c>
      <c r="H84" s="306">
        <v>100</v>
      </c>
    </row>
    <row r="85" spans="1:8" ht="11.25">
      <c r="A85" s="302">
        <v>862</v>
      </c>
      <c r="B85" s="303">
        <v>46</v>
      </c>
      <c r="C85" s="304" t="s">
        <v>122</v>
      </c>
      <c r="D85" s="304" t="s">
        <v>162</v>
      </c>
      <c r="E85" s="305">
        <v>23</v>
      </c>
      <c r="F85" s="306">
        <v>48</v>
      </c>
      <c r="G85" s="306">
        <v>23.1</v>
      </c>
      <c r="H85" s="306">
        <v>75</v>
      </c>
    </row>
    <row r="86" spans="1:8" ht="11.25">
      <c r="A86" s="302">
        <v>872</v>
      </c>
      <c r="B86" s="303">
        <v>7</v>
      </c>
      <c r="C86" s="304" t="s">
        <v>163</v>
      </c>
      <c r="D86" s="304" t="s">
        <v>107</v>
      </c>
      <c r="E86" s="305">
        <v>53</v>
      </c>
      <c r="F86" s="306">
        <v>170</v>
      </c>
      <c r="G86" s="306">
        <v>47</v>
      </c>
      <c r="H86" s="306">
        <v>100</v>
      </c>
    </row>
    <row r="87" spans="1:8" ht="11.25">
      <c r="A87" s="302">
        <v>882</v>
      </c>
      <c r="B87" s="303">
        <v>21</v>
      </c>
      <c r="C87" s="304" t="s">
        <v>147</v>
      </c>
      <c r="D87" s="304" t="s">
        <v>122</v>
      </c>
      <c r="E87" s="305">
        <v>65</v>
      </c>
      <c r="F87" s="306">
        <v>94</v>
      </c>
      <c r="G87" s="306">
        <v>28.1</v>
      </c>
      <c r="H87" s="306">
        <v>100</v>
      </c>
    </row>
    <row r="88" spans="1:8" ht="11.25">
      <c r="A88" s="302">
        <v>902</v>
      </c>
      <c r="B88" s="303">
        <v>74</v>
      </c>
      <c r="C88" s="304" t="s">
        <v>147</v>
      </c>
      <c r="D88" s="304" t="s">
        <v>164</v>
      </c>
      <c r="E88" s="305">
        <v>18</v>
      </c>
      <c r="F88" s="306">
        <v>29</v>
      </c>
      <c r="G88" s="306">
        <v>44.4</v>
      </c>
      <c r="H88" s="306">
        <v>70</v>
      </c>
    </row>
    <row r="89" spans="1:8" ht="11.25">
      <c r="A89" s="302">
        <v>912</v>
      </c>
      <c r="B89" s="303">
        <v>32</v>
      </c>
      <c r="C89" s="304" t="s">
        <v>164</v>
      </c>
      <c r="D89" s="304" t="s">
        <v>165</v>
      </c>
      <c r="E89" s="305">
        <v>18</v>
      </c>
      <c r="F89" s="306">
        <v>30</v>
      </c>
      <c r="G89" s="306">
        <v>36</v>
      </c>
      <c r="H89" s="306">
        <v>70</v>
      </c>
    </row>
    <row r="90" spans="1:8" ht="11.25">
      <c r="A90" s="302">
        <v>922</v>
      </c>
      <c r="B90" s="303">
        <v>32</v>
      </c>
      <c r="C90" s="304" t="s">
        <v>166</v>
      </c>
      <c r="D90" s="304" t="s">
        <v>165</v>
      </c>
      <c r="E90" s="305">
        <v>19</v>
      </c>
      <c r="F90" s="306">
        <v>32</v>
      </c>
      <c r="G90" s="306">
        <v>35</v>
      </c>
      <c r="H90" s="306">
        <v>80</v>
      </c>
    </row>
    <row r="91" spans="1:8" ht="11.25">
      <c r="A91" s="302">
        <v>924</v>
      </c>
      <c r="B91" s="303">
        <v>20</v>
      </c>
      <c r="C91" s="304" t="s">
        <v>165</v>
      </c>
      <c r="D91" s="304" t="s">
        <v>167</v>
      </c>
      <c r="E91" s="305">
        <v>19</v>
      </c>
      <c r="F91" s="306">
        <v>32</v>
      </c>
      <c r="G91" s="306">
        <v>35.2</v>
      </c>
      <c r="H91" s="306">
        <v>80</v>
      </c>
    </row>
    <row r="92" spans="1:8" ht="11.25">
      <c r="A92" s="302">
        <v>944</v>
      </c>
      <c r="B92" s="303">
        <v>14</v>
      </c>
      <c r="C92" s="304" t="s">
        <v>167</v>
      </c>
      <c r="D92" s="304" t="s">
        <v>168</v>
      </c>
      <c r="E92" s="305">
        <v>28</v>
      </c>
      <c r="F92" s="306">
        <v>203</v>
      </c>
      <c r="G92" s="306">
        <v>46.7</v>
      </c>
      <c r="H92" s="306">
        <v>120</v>
      </c>
    </row>
    <row r="93" spans="1:8" ht="11.25">
      <c r="A93" s="302">
        <v>952</v>
      </c>
      <c r="B93" s="303">
        <v>44</v>
      </c>
      <c r="C93" s="304" t="s">
        <v>167</v>
      </c>
      <c r="D93" s="304" t="s">
        <v>169</v>
      </c>
      <c r="E93" s="305">
        <v>54</v>
      </c>
      <c r="F93" s="306">
        <v>190</v>
      </c>
      <c r="G93" s="306">
        <v>65.3</v>
      </c>
      <c r="H93" s="306">
        <v>120</v>
      </c>
    </row>
    <row r="94" spans="1:8" ht="11.25">
      <c r="A94" s="302">
        <v>992</v>
      </c>
      <c r="B94" s="303">
        <v>10</v>
      </c>
      <c r="C94" s="304" t="s">
        <v>169</v>
      </c>
      <c r="D94" s="304" t="s">
        <v>170</v>
      </c>
      <c r="E94" s="305">
        <v>87</v>
      </c>
      <c r="F94" s="306">
        <v>350</v>
      </c>
      <c r="G94" s="306">
        <v>59.9</v>
      </c>
      <c r="H94" s="306">
        <v>120</v>
      </c>
    </row>
    <row r="95" spans="1:8" ht="11.25">
      <c r="A95" s="302">
        <v>994</v>
      </c>
      <c r="B95" s="303">
        <v>32</v>
      </c>
      <c r="C95" s="304" t="s">
        <v>170</v>
      </c>
      <c r="D95" s="304" t="s">
        <v>171</v>
      </c>
      <c r="E95" s="305">
        <v>111</v>
      </c>
      <c r="F95" s="306">
        <v>363</v>
      </c>
      <c r="G95" s="306">
        <v>63.9</v>
      </c>
      <c r="H95" s="306">
        <v>120</v>
      </c>
    </row>
    <row r="96" spans="1:8" ht="11.25">
      <c r="A96" s="302">
        <v>996</v>
      </c>
      <c r="B96" s="303">
        <v>39</v>
      </c>
      <c r="C96" s="304" t="s">
        <v>171</v>
      </c>
      <c r="D96" s="304" t="s">
        <v>172</v>
      </c>
      <c r="E96" s="305">
        <v>143</v>
      </c>
      <c r="F96" s="306">
        <v>318</v>
      </c>
      <c r="G96" s="306">
        <v>63</v>
      </c>
      <c r="H96" s="306">
        <v>140</v>
      </c>
    </row>
    <row r="97" spans="1:8" ht="11.25">
      <c r="A97" s="302">
        <v>1002</v>
      </c>
      <c r="B97" s="303">
        <v>10</v>
      </c>
      <c r="C97" s="304" t="s">
        <v>172</v>
      </c>
      <c r="D97" s="304" t="s">
        <v>173</v>
      </c>
      <c r="E97" s="305">
        <v>79</v>
      </c>
      <c r="F97" s="306">
        <v>225</v>
      </c>
      <c r="G97" s="306">
        <v>34.6</v>
      </c>
      <c r="H97" s="306">
        <v>120</v>
      </c>
    </row>
    <row r="98" spans="1:8" ht="11.25">
      <c r="A98" s="302">
        <v>1024</v>
      </c>
      <c r="B98" s="303">
        <v>4</v>
      </c>
      <c r="C98" s="304" t="s">
        <v>174</v>
      </c>
      <c r="D98" s="304" t="s">
        <v>175</v>
      </c>
      <c r="E98" s="305">
        <v>22</v>
      </c>
      <c r="F98" s="306">
        <v>60</v>
      </c>
      <c r="G98" s="306">
        <v>31.8</v>
      </c>
      <c r="H98" s="306">
        <v>60</v>
      </c>
    </row>
    <row r="99" spans="1:8" ht="11.25">
      <c r="A99" s="302">
        <v>1032</v>
      </c>
      <c r="B99" s="303">
        <v>29</v>
      </c>
      <c r="C99" s="304" t="s">
        <v>175</v>
      </c>
      <c r="D99" s="304" t="s">
        <v>169</v>
      </c>
      <c r="E99" s="305">
        <v>39</v>
      </c>
      <c r="F99" s="306">
        <v>109</v>
      </c>
      <c r="G99" s="306">
        <v>49.7</v>
      </c>
      <c r="H99" s="306">
        <v>100</v>
      </c>
    </row>
    <row r="100" spans="1:8" ht="11.25">
      <c r="A100" s="302">
        <v>1034</v>
      </c>
      <c r="B100" s="303">
        <v>6</v>
      </c>
      <c r="C100" s="304" t="s">
        <v>176</v>
      </c>
      <c r="D100" s="304" t="s">
        <v>177</v>
      </c>
      <c r="E100" s="305"/>
      <c r="F100" s="306">
        <v>35</v>
      </c>
      <c r="G100" s="306">
        <v>10</v>
      </c>
      <c r="H100" s="306">
        <v>20</v>
      </c>
    </row>
    <row r="101" spans="1:8" ht="11.25">
      <c r="A101" s="302">
        <v>1052</v>
      </c>
      <c r="B101" s="303">
        <v>20</v>
      </c>
      <c r="C101" s="304" t="s">
        <v>178</v>
      </c>
      <c r="D101" s="304" t="s">
        <v>161</v>
      </c>
      <c r="E101" s="305">
        <v>24</v>
      </c>
      <c r="F101" s="306">
        <v>59</v>
      </c>
      <c r="G101" s="306">
        <v>29.2</v>
      </c>
      <c r="H101" s="306">
        <v>50</v>
      </c>
    </row>
    <row r="102" spans="1:8" ht="11.25">
      <c r="A102" s="302">
        <v>1062</v>
      </c>
      <c r="B102" s="303">
        <v>11</v>
      </c>
      <c r="C102" s="304" t="s">
        <v>161</v>
      </c>
      <c r="D102" s="304" t="s">
        <v>179</v>
      </c>
      <c r="E102" s="305">
        <v>47</v>
      </c>
      <c r="F102" s="306">
        <v>74</v>
      </c>
      <c r="G102" s="306">
        <v>44.6</v>
      </c>
      <c r="H102" s="306">
        <v>80</v>
      </c>
    </row>
    <row r="103" spans="1:8" ht="11.25">
      <c r="A103" s="302">
        <v>1064</v>
      </c>
      <c r="B103" s="303">
        <v>43</v>
      </c>
      <c r="C103" s="304" t="s">
        <v>179</v>
      </c>
      <c r="D103" s="304" t="s">
        <v>180</v>
      </c>
      <c r="E103" s="305">
        <v>47</v>
      </c>
      <c r="F103" s="306">
        <v>74</v>
      </c>
      <c r="G103" s="306">
        <v>45</v>
      </c>
      <c r="H103" s="306">
        <v>80</v>
      </c>
    </row>
    <row r="104" spans="1:8" ht="11.25">
      <c r="A104" s="302">
        <v>1072</v>
      </c>
      <c r="B104" s="303">
        <v>12</v>
      </c>
      <c r="C104" s="304" t="s">
        <v>180</v>
      </c>
      <c r="D104" s="304" t="s">
        <v>166</v>
      </c>
      <c r="E104" s="305">
        <v>47</v>
      </c>
      <c r="F104" s="306">
        <v>74</v>
      </c>
      <c r="G104" s="306">
        <v>45</v>
      </c>
      <c r="H104" s="306">
        <v>80</v>
      </c>
    </row>
    <row r="105" spans="1:8" ht="11.25">
      <c r="A105" s="302">
        <v>1082</v>
      </c>
      <c r="B105" s="303">
        <v>37</v>
      </c>
      <c r="C105" s="304" t="s">
        <v>166</v>
      </c>
      <c r="D105" s="304" t="s">
        <v>181</v>
      </c>
      <c r="E105" s="305">
        <v>51</v>
      </c>
      <c r="F105" s="306">
        <v>81</v>
      </c>
      <c r="G105" s="306">
        <v>37.7</v>
      </c>
      <c r="H105" s="306">
        <v>100</v>
      </c>
    </row>
    <row r="106" spans="1:8" ht="11.25">
      <c r="A106" s="302">
        <v>1084</v>
      </c>
      <c r="B106" s="303">
        <v>6</v>
      </c>
      <c r="C106" s="304" t="s">
        <v>181</v>
      </c>
      <c r="D106" s="304" t="s">
        <v>182</v>
      </c>
      <c r="E106" s="305">
        <v>61</v>
      </c>
      <c r="F106" s="306">
        <v>117</v>
      </c>
      <c r="G106" s="306">
        <v>47</v>
      </c>
      <c r="H106" s="306">
        <v>100</v>
      </c>
    </row>
    <row r="107" spans="1:8" ht="11.25">
      <c r="A107" s="302">
        <v>1086</v>
      </c>
      <c r="B107" s="303">
        <v>10</v>
      </c>
      <c r="C107" s="304" t="s">
        <v>182</v>
      </c>
      <c r="D107" s="304" t="s">
        <v>169</v>
      </c>
      <c r="E107" s="305">
        <v>66</v>
      </c>
      <c r="F107" s="306">
        <v>123</v>
      </c>
      <c r="G107" s="306">
        <v>40.7</v>
      </c>
      <c r="H107" s="306">
        <v>100</v>
      </c>
    </row>
    <row r="108" spans="1:8" ht="11.25">
      <c r="A108" s="302">
        <v>1092</v>
      </c>
      <c r="B108" s="303">
        <v>8</v>
      </c>
      <c r="C108" s="304" t="s">
        <v>182</v>
      </c>
      <c r="D108" s="304" t="s">
        <v>170</v>
      </c>
      <c r="E108" s="305">
        <v>25</v>
      </c>
      <c r="F108" s="306">
        <v>84</v>
      </c>
      <c r="G108" s="306">
        <v>37.8</v>
      </c>
      <c r="H108" s="306">
        <v>90</v>
      </c>
    </row>
    <row r="109" spans="1:8" ht="11.25">
      <c r="A109" s="302">
        <v>1112</v>
      </c>
      <c r="B109" s="303">
        <v>6</v>
      </c>
      <c r="C109" s="304" t="s">
        <v>183</v>
      </c>
      <c r="D109" s="304" t="s">
        <v>184</v>
      </c>
      <c r="E109" s="305">
        <v>34</v>
      </c>
      <c r="F109" s="306">
        <v>45</v>
      </c>
      <c r="G109" s="306">
        <v>31</v>
      </c>
      <c r="H109" s="306">
        <v>60</v>
      </c>
    </row>
    <row r="110" spans="1:8" ht="11.25">
      <c r="A110" s="302">
        <v>1114</v>
      </c>
      <c r="B110" s="303">
        <v>12</v>
      </c>
      <c r="C110" s="304" t="s">
        <v>184</v>
      </c>
      <c r="D110" s="304" t="s">
        <v>185</v>
      </c>
      <c r="E110" s="305">
        <v>35</v>
      </c>
      <c r="F110" s="306">
        <v>45</v>
      </c>
      <c r="G110" s="306">
        <v>30.5</v>
      </c>
      <c r="H110" s="306">
        <v>60</v>
      </c>
    </row>
    <row r="111" spans="1:8" ht="11.25">
      <c r="A111" s="302">
        <v>1116</v>
      </c>
      <c r="B111" s="303">
        <v>19</v>
      </c>
      <c r="C111" s="304" t="s">
        <v>185</v>
      </c>
      <c r="D111" s="304" t="s">
        <v>186</v>
      </c>
      <c r="E111" s="305">
        <v>41</v>
      </c>
      <c r="F111" s="306">
        <v>51</v>
      </c>
      <c r="G111" s="306">
        <v>23.8</v>
      </c>
      <c r="H111" s="306">
        <v>50</v>
      </c>
    </row>
    <row r="112" spans="1:8" ht="11.25">
      <c r="A112" s="302">
        <v>1132</v>
      </c>
      <c r="B112" s="303">
        <v>34</v>
      </c>
      <c r="C112" s="304" t="s">
        <v>186</v>
      </c>
      <c r="D112" s="304" t="s">
        <v>187</v>
      </c>
      <c r="E112" s="305">
        <v>51</v>
      </c>
      <c r="F112" s="306">
        <v>80</v>
      </c>
      <c r="G112" s="306">
        <v>33</v>
      </c>
      <c r="H112" s="306">
        <v>80</v>
      </c>
    </row>
    <row r="113" spans="1:8" ht="11.25">
      <c r="A113" s="302">
        <v>1134</v>
      </c>
      <c r="B113" s="303">
        <v>10</v>
      </c>
      <c r="C113" s="304" t="s">
        <v>187</v>
      </c>
      <c r="D113" s="304" t="s">
        <v>188</v>
      </c>
      <c r="E113" s="305">
        <v>48</v>
      </c>
      <c r="F113" s="306">
        <v>96</v>
      </c>
      <c r="G113" s="306">
        <v>41</v>
      </c>
      <c r="H113" s="306">
        <v>80</v>
      </c>
    </row>
    <row r="114" spans="1:8" ht="11.25">
      <c r="A114" s="302">
        <v>1142</v>
      </c>
      <c r="B114" s="303">
        <v>22</v>
      </c>
      <c r="C114" s="304" t="s">
        <v>188</v>
      </c>
      <c r="D114" s="304" t="s">
        <v>189</v>
      </c>
      <c r="E114" s="305">
        <v>34</v>
      </c>
      <c r="F114" s="306">
        <v>95</v>
      </c>
      <c r="G114" s="306">
        <v>37.3</v>
      </c>
      <c r="H114" s="306">
        <v>100</v>
      </c>
    </row>
    <row r="115" spans="1:8" ht="11.25">
      <c r="A115" s="302">
        <v>1144</v>
      </c>
      <c r="B115" s="303">
        <v>4</v>
      </c>
      <c r="C115" s="304" t="s">
        <v>189</v>
      </c>
      <c r="D115" s="304" t="s">
        <v>190</v>
      </c>
      <c r="E115" s="305">
        <v>34</v>
      </c>
      <c r="F115" s="306">
        <v>95</v>
      </c>
      <c r="G115" s="306">
        <v>37</v>
      </c>
      <c r="H115" s="306">
        <v>100</v>
      </c>
    </row>
    <row r="116" spans="1:8" ht="11.25">
      <c r="A116" s="302">
        <v>1152</v>
      </c>
      <c r="B116" s="307">
        <v>4</v>
      </c>
      <c r="C116" s="308" t="s">
        <v>189</v>
      </c>
      <c r="D116" s="308" t="s">
        <v>191</v>
      </c>
      <c r="E116" s="305">
        <v>8</v>
      </c>
      <c r="F116" s="306">
        <v>123</v>
      </c>
      <c r="G116" s="306">
        <v>30.7</v>
      </c>
      <c r="H116" s="306">
        <v>90</v>
      </c>
    </row>
    <row r="117" spans="1:8" ht="11.25">
      <c r="A117" s="302">
        <v>1162</v>
      </c>
      <c r="B117" s="307">
        <v>7</v>
      </c>
      <c r="C117" s="308" t="s">
        <v>190</v>
      </c>
      <c r="D117" s="308" t="s">
        <v>192</v>
      </c>
      <c r="E117" s="305">
        <v>51</v>
      </c>
      <c r="F117" s="306">
        <v>85</v>
      </c>
      <c r="G117" s="306">
        <v>34</v>
      </c>
      <c r="H117" s="306">
        <v>80</v>
      </c>
    </row>
    <row r="118" spans="1:8" ht="11.25">
      <c r="A118" s="302">
        <v>1164</v>
      </c>
      <c r="B118" s="303">
        <v>26</v>
      </c>
      <c r="C118" s="304" t="s">
        <v>192</v>
      </c>
      <c r="D118" s="304" t="s">
        <v>182</v>
      </c>
      <c r="E118" s="305">
        <v>26</v>
      </c>
      <c r="F118" s="306">
        <v>91</v>
      </c>
      <c r="G118" s="306">
        <v>52.4</v>
      </c>
      <c r="H118" s="306">
        <v>80</v>
      </c>
    </row>
    <row r="119" spans="1:8" ht="11.25">
      <c r="A119" s="302">
        <v>1182</v>
      </c>
      <c r="B119" s="303">
        <v>11</v>
      </c>
      <c r="C119" s="304" t="s">
        <v>193</v>
      </c>
      <c r="D119" s="304" t="s">
        <v>186</v>
      </c>
      <c r="E119" s="305">
        <v>25</v>
      </c>
      <c r="F119" s="306">
        <v>38</v>
      </c>
      <c r="G119" s="306">
        <v>43.6</v>
      </c>
      <c r="H119" s="306">
        <v>60</v>
      </c>
    </row>
    <row r="120" spans="1:8" ht="11.25">
      <c r="A120" s="302">
        <v>1212</v>
      </c>
      <c r="B120" s="303">
        <v>22</v>
      </c>
      <c r="C120" s="304" t="s">
        <v>180</v>
      </c>
      <c r="D120" s="304" t="s">
        <v>194</v>
      </c>
      <c r="E120" s="305">
        <v>15</v>
      </c>
      <c r="F120" s="306">
        <v>27</v>
      </c>
      <c r="G120" s="306">
        <v>28.6</v>
      </c>
      <c r="H120" s="306">
        <v>60</v>
      </c>
    </row>
    <row r="121" spans="1:8" ht="11.25">
      <c r="A121" s="302">
        <v>1214</v>
      </c>
      <c r="B121" s="303">
        <v>33</v>
      </c>
      <c r="C121" s="304" t="s">
        <v>194</v>
      </c>
      <c r="D121" s="304" t="s">
        <v>190</v>
      </c>
      <c r="E121" s="305">
        <v>18</v>
      </c>
      <c r="F121" s="306">
        <v>32</v>
      </c>
      <c r="G121" s="306">
        <v>28</v>
      </c>
      <c r="H121" s="306">
        <v>70</v>
      </c>
    </row>
    <row r="122" spans="1:8" ht="11.25">
      <c r="A122" s="302">
        <v>1222</v>
      </c>
      <c r="B122" s="303">
        <v>4</v>
      </c>
      <c r="C122" s="304" t="s">
        <v>190</v>
      </c>
      <c r="D122" s="304" t="s">
        <v>191</v>
      </c>
      <c r="E122" s="305">
        <v>33</v>
      </c>
      <c r="F122" s="306">
        <v>80</v>
      </c>
      <c r="G122" s="306">
        <v>27</v>
      </c>
      <c r="H122" s="306">
        <v>100</v>
      </c>
    </row>
    <row r="123" spans="1:8" ht="11.25">
      <c r="A123" s="302">
        <v>1224</v>
      </c>
      <c r="B123" s="303">
        <v>24</v>
      </c>
      <c r="C123" s="304" t="s">
        <v>191</v>
      </c>
      <c r="D123" s="304" t="s">
        <v>195</v>
      </c>
      <c r="E123" s="305">
        <v>33</v>
      </c>
      <c r="F123" s="306">
        <v>80</v>
      </c>
      <c r="G123" s="306">
        <v>27</v>
      </c>
      <c r="H123" s="306">
        <v>100</v>
      </c>
    </row>
    <row r="124" spans="1:8" ht="11.25">
      <c r="A124" s="302">
        <v>1232</v>
      </c>
      <c r="B124" s="303">
        <v>4</v>
      </c>
      <c r="C124" s="304" t="s">
        <v>196</v>
      </c>
      <c r="D124" s="304" t="s">
        <v>194</v>
      </c>
      <c r="E124" s="305">
        <v>19</v>
      </c>
      <c r="F124" s="306">
        <v>28</v>
      </c>
      <c r="G124" s="306">
        <v>31</v>
      </c>
      <c r="H124" s="306">
        <v>80</v>
      </c>
    </row>
    <row r="125" spans="1:8" ht="11.25">
      <c r="A125" s="302">
        <v>1242</v>
      </c>
      <c r="B125" s="303">
        <v>35</v>
      </c>
      <c r="C125" s="304" t="s">
        <v>197</v>
      </c>
      <c r="D125" s="304" t="s">
        <v>194</v>
      </c>
      <c r="E125" s="305">
        <v>19</v>
      </c>
      <c r="F125" s="306">
        <v>28</v>
      </c>
      <c r="G125" s="306">
        <v>30.5</v>
      </c>
      <c r="H125" s="306">
        <v>80</v>
      </c>
    </row>
    <row r="126" spans="1:8" ht="11.25">
      <c r="A126" s="302">
        <v>1252</v>
      </c>
      <c r="B126" s="303">
        <v>20</v>
      </c>
      <c r="C126" s="304" t="s">
        <v>191</v>
      </c>
      <c r="D126" s="304" t="s">
        <v>198</v>
      </c>
      <c r="E126" s="305">
        <v>20</v>
      </c>
      <c r="F126" s="306">
        <v>111</v>
      </c>
      <c r="G126" s="306">
        <v>30.8</v>
      </c>
      <c r="H126" s="306">
        <v>60</v>
      </c>
    </row>
    <row r="127" spans="1:8" ht="11.25">
      <c r="A127" s="302">
        <v>1272</v>
      </c>
      <c r="B127" s="303">
        <v>19</v>
      </c>
      <c r="C127" s="304" t="s">
        <v>199</v>
      </c>
      <c r="D127" s="304" t="s">
        <v>200</v>
      </c>
      <c r="E127" s="305">
        <v>16</v>
      </c>
      <c r="F127" s="306">
        <v>62</v>
      </c>
      <c r="G127" s="306">
        <v>33</v>
      </c>
      <c r="H127" s="306">
        <v>60</v>
      </c>
    </row>
    <row r="128" spans="1:8" ht="11.25">
      <c r="A128" s="302">
        <v>1282</v>
      </c>
      <c r="B128" s="303">
        <v>53</v>
      </c>
      <c r="C128" s="304" t="s">
        <v>175</v>
      </c>
      <c r="D128" s="304" t="s">
        <v>201</v>
      </c>
      <c r="E128" s="305">
        <v>21</v>
      </c>
      <c r="F128" s="306">
        <v>34</v>
      </c>
      <c r="G128" s="306">
        <v>33.7</v>
      </c>
      <c r="H128" s="306">
        <v>80</v>
      </c>
    </row>
    <row r="129" spans="1:8" ht="11.25">
      <c r="A129" s="302">
        <v>1284</v>
      </c>
      <c r="B129" s="303">
        <v>42</v>
      </c>
      <c r="C129" s="304" t="s">
        <v>201</v>
      </c>
      <c r="D129" s="304" t="s">
        <v>202</v>
      </c>
      <c r="E129" s="305">
        <v>27</v>
      </c>
      <c r="F129" s="306">
        <v>51</v>
      </c>
      <c r="G129" s="306">
        <v>38</v>
      </c>
      <c r="H129" s="306">
        <v>80</v>
      </c>
    </row>
    <row r="130" spans="1:8" ht="11.25">
      <c r="A130" s="302">
        <v>1292</v>
      </c>
      <c r="B130" s="303">
        <v>26</v>
      </c>
      <c r="C130" s="304" t="s">
        <v>175</v>
      </c>
      <c r="D130" s="304" t="s">
        <v>203</v>
      </c>
      <c r="E130" s="305">
        <v>14</v>
      </c>
      <c r="F130" s="306">
        <v>34</v>
      </c>
      <c r="G130" s="306">
        <v>31.9</v>
      </c>
      <c r="H130" s="306">
        <v>40</v>
      </c>
    </row>
    <row r="131" spans="1:8" ht="11.25">
      <c r="A131" s="302">
        <v>1322</v>
      </c>
      <c r="B131" s="303">
        <v>27</v>
      </c>
      <c r="C131" s="304" t="s">
        <v>109</v>
      </c>
      <c r="D131" s="304" t="s">
        <v>204</v>
      </c>
      <c r="E131" s="305">
        <v>98</v>
      </c>
      <c r="F131" s="306">
        <v>280</v>
      </c>
      <c r="G131" s="306">
        <v>47</v>
      </c>
      <c r="H131" s="306">
        <v>120</v>
      </c>
    </row>
    <row r="132" spans="1:8" ht="11.25">
      <c r="A132" s="302">
        <v>1324</v>
      </c>
      <c r="B132" s="303">
        <v>8</v>
      </c>
      <c r="C132" s="304" t="s">
        <v>204</v>
      </c>
      <c r="D132" s="304" t="s">
        <v>205</v>
      </c>
      <c r="E132" s="305">
        <v>117</v>
      </c>
      <c r="F132" s="306">
        <v>328</v>
      </c>
      <c r="G132" s="306">
        <v>64</v>
      </c>
      <c r="H132" s="306">
        <v>120</v>
      </c>
    </row>
    <row r="133" spans="1:8" ht="11.25">
      <c r="A133" s="302">
        <v>1326</v>
      </c>
      <c r="B133" s="303">
        <v>25</v>
      </c>
      <c r="C133" s="304" t="s">
        <v>205</v>
      </c>
      <c r="D133" s="304" t="s">
        <v>206</v>
      </c>
      <c r="E133" s="305">
        <v>100</v>
      </c>
      <c r="F133" s="306">
        <v>245</v>
      </c>
      <c r="G133" s="306">
        <v>70</v>
      </c>
      <c r="H133" s="306">
        <v>120</v>
      </c>
    </row>
    <row r="134" spans="1:8" ht="11.25">
      <c r="A134" s="302">
        <v>1328</v>
      </c>
      <c r="B134" s="303">
        <v>36</v>
      </c>
      <c r="C134" s="304" t="s">
        <v>206</v>
      </c>
      <c r="D134" s="304" t="s">
        <v>195</v>
      </c>
      <c r="E134" s="305">
        <v>93</v>
      </c>
      <c r="F134" s="306">
        <v>297</v>
      </c>
      <c r="G134" s="306">
        <v>75.2</v>
      </c>
      <c r="H134" s="306">
        <v>120</v>
      </c>
    </row>
    <row r="135" spans="1:8" ht="11.25">
      <c r="A135" s="302">
        <v>1352</v>
      </c>
      <c r="B135" s="303">
        <v>17</v>
      </c>
      <c r="C135" s="304" t="s">
        <v>195</v>
      </c>
      <c r="D135" s="304" t="s">
        <v>207</v>
      </c>
      <c r="E135" s="305">
        <v>76</v>
      </c>
      <c r="F135" s="306">
        <v>203</v>
      </c>
      <c r="G135" s="306">
        <v>56.7</v>
      </c>
      <c r="H135" s="306">
        <v>120</v>
      </c>
    </row>
    <row r="136" spans="1:8" ht="11.25">
      <c r="A136" s="302">
        <v>1354</v>
      </c>
      <c r="B136" s="303">
        <v>39</v>
      </c>
      <c r="C136" s="304" t="s">
        <v>207</v>
      </c>
      <c r="D136" s="304" t="s">
        <v>208</v>
      </c>
      <c r="E136" s="305">
        <v>78</v>
      </c>
      <c r="F136" s="306">
        <v>262</v>
      </c>
      <c r="G136" s="306">
        <v>56</v>
      </c>
      <c r="H136" s="306">
        <v>120</v>
      </c>
    </row>
    <row r="137" spans="1:8" ht="11.25">
      <c r="A137" s="302">
        <v>1372</v>
      </c>
      <c r="B137" s="303">
        <v>13</v>
      </c>
      <c r="C137" s="304" t="s">
        <v>173</v>
      </c>
      <c r="D137" s="304" t="s">
        <v>209</v>
      </c>
      <c r="E137" s="305">
        <v>153</v>
      </c>
      <c r="F137" s="306">
        <v>305</v>
      </c>
      <c r="G137" s="306">
        <v>31</v>
      </c>
      <c r="H137" s="306">
        <v>120</v>
      </c>
    </row>
    <row r="138" spans="1:8" ht="11.25">
      <c r="A138" s="302">
        <v>1374</v>
      </c>
      <c r="B138" s="303">
        <v>51</v>
      </c>
      <c r="C138" s="304" t="s">
        <v>209</v>
      </c>
      <c r="D138" s="304" t="s">
        <v>210</v>
      </c>
      <c r="E138" s="305">
        <v>104</v>
      </c>
      <c r="F138" s="306">
        <v>264</v>
      </c>
      <c r="G138" s="306">
        <v>61.7</v>
      </c>
      <c r="H138" s="306">
        <v>140</v>
      </c>
    </row>
    <row r="139" spans="1:8" ht="11.25">
      <c r="A139" s="302">
        <v>1382</v>
      </c>
      <c r="B139" s="303">
        <v>7</v>
      </c>
      <c r="C139" s="304" t="s">
        <v>210</v>
      </c>
      <c r="D139" s="304" t="s">
        <v>211</v>
      </c>
      <c r="E139" s="305">
        <v>109</v>
      </c>
      <c r="F139" s="306">
        <v>319</v>
      </c>
      <c r="G139" s="306">
        <v>57.9</v>
      </c>
      <c r="H139" s="306">
        <v>120</v>
      </c>
    </row>
    <row r="140" spans="1:8" ht="11.25">
      <c r="A140" s="302">
        <v>1392</v>
      </c>
      <c r="B140" s="303">
        <v>4</v>
      </c>
      <c r="C140" s="304" t="s">
        <v>212</v>
      </c>
      <c r="D140" s="304" t="s">
        <v>213</v>
      </c>
      <c r="E140" s="305">
        <v>48</v>
      </c>
      <c r="F140" s="306">
        <v>68</v>
      </c>
      <c r="G140" s="306">
        <v>20</v>
      </c>
      <c r="H140" s="306">
        <v>80</v>
      </c>
    </row>
    <row r="141" spans="1:8" ht="11.25">
      <c r="A141" s="302">
        <v>1402</v>
      </c>
      <c r="B141" s="303">
        <v>6</v>
      </c>
      <c r="C141" s="304" t="s">
        <v>214</v>
      </c>
      <c r="D141" s="304" t="s">
        <v>215</v>
      </c>
      <c r="E141" s="305">
        <v>4</v>
      </c>
      <c r="F141" s="306">
        <v>26</v>
      </c>
      <c r="G141" s="306">
        <v>26</v>
      </c>
      <c r="H141" s="306">
        <v>40</v>
      </c>
    </row>
    <row r="142" spans="1:8" ht="11.25">
      <c r="A142" s="302">
        <v>1412</v>
      </c>
      <c r="B142" s="303">
        <v>35</v>
      </c>
      <c r="C142" s="304" t="s">
        <v>216</v>
      </c>
      <c r="D142" s="304" t="s">
        <v>217</v>
      </c>
      <c r="E142" s="305">
        <v>29</v>
      </c>
      <c r="F142" s="306">
        <v>50</v>
      </c>
      <c r="G142" s="306">
        <v>48</v>
      </c>
      <c r="H142" s="306">
        <v>70</v>
      </c>
    </row>
    <row r="143" spans="1:8" ht="11.25">
      <c r="A143" s="302">
        <v>1422</v>
      </c>
      <c r="B143" s="303">
        <v>14</v>
      </c>
      <c r="C143" s="304" t="s">
        <v>217</v>
      </c>
      <c r="D143" s="304" t="s">
        <v>218</v>
      </c>
      <c r="E143" s="305">
        <v>24</v>
      </c>
      <c r="F143" s="306">
        <v>52</v>
      </c>
      <c r="G143" s="306">
        <v>38.1</v>
      </c>
      <c r="H143" s="306">
        <v>60</v>
      </c>
    </row>
    <row r="144" spans="1:8" ht="11.25">
      <c r="A144" s="302">
        <v>1442</v>
      </c>
      <c r="B144" s="303">
        <v>7</v>
      </c>
      <c r="C144" s="304" t="s">
        <v>208</v>
      </c>
      <c r="D144" s="304" t="s">
        <v>173</v>
      </c>
      <c r="E144" s="305">
        <v>157</v>
      </c>
      <c r="F144" s="306">
        <v>212</v>
      </c>
      <c r="G144" s="306">
        <v>42.1</v>
      </c>
      <c r="H144" s="306">
        <v>100</v>
      </c>
    </row>
    <row r="145" spans="1:8" ht="11.25">
      <c r="A145" s="302">
        <v>1454</v>
      </c>
      <c r="B145" s="303">
        <v>4</v>
      </c>
      <c r="C145" s="304" t="s">
        <v>219</v>
      </c>
      <c r="D145" s="304" t="s">
        <v>220</v>
      </c>
      <c r="E145" s="305">
        <v>31</v>
      </c>
      <c r="F145" s="306">
        <v>89</v>
      </c>
      <c r="G145" s="306">
        <v>29.2</v>
      </c>
      <c r="H145" s="306">
        <v>80</v>
      </c>
    </row>
    <row r="146" spans="1:8" ht="11.25">
      <c r="A146" s="302">
        <v>1462</v>
      </c>
      <c r="B146" s="303">
        <v>17</v>
      </c>
      <c r="C146" s="304" t="s">
        <v>219</v>
      </c>
      <c r="D146" s="304" t="s">
        <v>221</v>
      </c>
      <c r="E146" s="305">
        <v>33</v>
      </c>
      <c r="F146" s="306">
        <v>90</v>
      </c>
      <c r="G146" s="306">
        <v>45</v>
      </c>
      <c r="H146" s="306">
        <v>80</v>
      </c>
    </row>
    <row r="147" spans="1:8" ht="11.25">
      <c r="A147" s="302">
        <v>1464</v>
      </c>
      <c r="B147" s="303">
        <v>6</v>
      </c>
      <c r="C147" s="304" t="s">
        <v>221</v>
      </c>
      <c r="D147" s="304" t="s">
        <v>202</v>
      </c>
      <c r="E147" s="305">
        <v>91</v>
      </c>
      <c r="F147" s="306">
        <v>260</v>
      </c>
      <c r="G147" s="306">
        <v>48.7</v>
      </c>
      <c r="H147" s="306">
        <v>60</v>
      </c>
    </row>
    <row r="148" spans="1:8" ht="11.25">
      <c r="A148" s="302">
        <v>1474</v>
      </c>
      <c r="B148" s="303">
        <v>2</v>
      </c>
      <c r="C148" s="304" t="s">
        <v>222</v>
      </c>
      <c r="D148" s="304" t="s">
        <v>223</v>
      </c>
      <c r="E148" s="305">
        <v>31</v>
      </c>
      <c r="F148" s="306">
        <v>182</v>
      </c>
      <c r="G148" s="306">
        <v>41.9</v>
      </c>
      <c r="H148" s="306">
        <v>140</v>
      </c>
    </row>
    <row r="149" spans="1:8" ht="11.25">
      <c r="A149" s="302">
        <v>1478</v>
      </c>
      <c r="B149" s="303">
        <v>2</v>
      </c>
      <c r="C149" s="304" t="s">
        <v>221</v>
      </c>
      <c r="D149" s="304" t="s">
        <v>224</v>
      </c>
      <c r="E149" s="305">
        <v>25</v>
      </c>
      <c r="F149" s="306">
        <v>88</v>
      </c>
      <c r="G149" s="306">
        <v>20</v>
      </c>
      <c r="H149" s="306">
        <v>60</v>
      </c>
    </row>
    <row r="150" spans="1:8" ht="11.25">
      <c r="A150" s="302">
        <v>1482</v>
      </c>
      <c r="B150" s="303">
        <v>5</v>
      </c>
      <c r="C150" s="304" t="s">
        <v>225</v>
      </c>
      <c r="D150" s="304" t="s">
        <v>173</v>
      </c>
      <c r="E150" s="305">
        <v>125</v>
      </c>
      <c r="F150" s="306">
        <v>189</v>
      </c>
      <c r="G150" s="306">
        <v>30.5</v>
      </c>
      <c r="H150" s="306">
        <v>80</v>
      </c>
    </row>
    <row r="151" spans="1:8" ht="11.25">
      <c r="A151" s="302">
        <v>1492</v>
      </c>
      <c r="B151" s="303">
        <v>2</v>
      </c>
      <c r="C151" s="304" t="s">
        <v>226</v>
      </c>
      <c r="D151" s="304" t="s">
        <v>227</v>
      </c>
      <c r="E151" s="305">
        <v>90</v>
      </c>
      <c r="F151" s="306">
        <v>260</v>
      </c>
      <c r="G151" s="306">
        <v>49</v>
      </c>
      <c r="H151" s="306">
        <v>60</v>
      </c>
    </row>
    <row r="152" spans="1:8" ht="11.25">
      <c r="A152" s="302">
        <v>1494</v>
      </c>
      <c r="B152" s="303">
        <v>4</v>
      </c>
      <c r="C152" s="304" t="s">
        <v>227</v>
      </c>
      <c r="D152" s="304" t="s">
        <v>228</v>
      </c>
      <c r="E152" s="305">
        <v>90</v>
      </c>
      <c r="F152" s="306">
        <v>260</v>
      </c>
      <c r="G152" s="306">
        <v>49</v>
      </c>
      <c r="H152" s="306">
        <v>60</v>
      </c>
    </row>
    <row r="153" spans="1:8" ht="11.25">
      <c r="A153" s="302">
        <v>1512</v>
      </c>
      <c r="B153" s="303">
        <v>2</v>
      </c>
      <c r="C153" s="304" t="s">
        <v>229</v>
      </c>
      <c r="D153" s="304" t="s">
        <v>228</v>
      </c>
      <c r="E153" s="305">
        <v>22</v>
      </c>
      <c r="F153" s="306">
        <v>148</v>
      </c>
      <c r="G153" s="306">
        <v>16.2</v>
      </c>
      <c r="H153" s="306">
        <v>40</v>
      </c>
    </row>
    <row r="154" spans="1:8" ht="11.25">
      <c r="A154" s="302">
        <v>1522</v>
      </c>
      <c r="B154" s="303">
        <v>3</v>
      </c>
      <c r="C154" s="304" t="s">
        <v>230</v>
      </c>
      <c r="D154" s="304" t="s">
        <v>228</v>
      </c>
      <c r="E154" s="305"/>
      <c r="F154" s="306">
        <v>274</v>
      </c>
      <c r="G154" s="306">
        <v>12.8</v>
      </c>
      <c r="H154" s="306">
        <v>60</v>
      </c>
    </row>
    <row r="155" spans="1:8" ht="11.25">
      <c r="A155" s="302">
        <v>1532</v>
      </c>
      <c r="B155" s="303">
        <v>8</v>
      </c>
      <c r="C155" s="304" t="s">
        <v>231</v>
      </c>
      <c r="D155" s="304" t="s">
        <v>228</v>
      </c>
      <c r="E155" s="305">
        <v>22</v>
      </c>
      <c r="F155" s="306">
        <v>265</v>
      </c>
      <c r="G155" s="306">
        <v>17.1</v>
      </c>
      <c r="H155" s="306">
        <v>60</v>
      </c>
    </row>
    <row r="156" spans="1:8" ht="11.25">
      <c r="A156" s="302">
        <v>1542</v>
      </c>
      <c r="B156" s="303">
        <v>6</v>
      </c>
      <c r="C156" s="304" t="s">
        <v>172</v>
      </c>
      <c r="D156" s="304" t="s">
        <v>227</v>
      </c>
      <c r="E156" s="305">
        <v>16</v>
      </c>
      <c r="F156" s="306">
        <v>224</v>
      </c>
      <c r="G156" s="306">
        <v>16.9</v>
      </c>
      <c r="H156" s="306">
        <v>60</v>
      </c>
    </row>
    <row r="157" spans="1:8" ht="11.25">
      <c r="A157" s="302">
        <v>1552</v>
      </c>
      <c r="B157" s="303">
        <v>4</v>
      </c>
      <c r="C157" s="304" t="s">
        <v>208</v>
      </c>
      <c r="D157" s="304" t="s">
        <v>227</v>
      </c>
      <c r="E157" s="305">
        <v>33</v>
      </c>
      <c r="F157" s="306">
        <v>212</v>
      </c>
      <c r="G157" s="306">
        <v>42</v>
      </c>
      <c r="H157" s="306">
        <v>100</v>
      </c>
    </row>
    <row r="158" spans="1:8" ht="11.25">
      <c r="A158" s="302">
        <v>1562</v>
      </c>
      <c r="B158" s="303">
        <v>7</v>
      </c>
      <c r="C158" s="304" t="s">
        <v>228</v>
      </c>
      <c r="D158" s="304" t="s">
        <v>173</v>
      </c>
      <c r="E158" s="305">
        <v>31</v>
      </c>
      <c r="F158" s="306">
        <v>212</v>
      </c>
      <c r="G158" s="306">
        <v>42</v>
      </c>
      <c r="H158" s="306">
        <v>100</v>
      </c>
    </row>
    <row r="159" spans="1:8" ht="11.25">
      <c r="A159" s="302">
        <v>1602</v>
      </c>
      <c r="B159" s="303">
        <v>13</v>
      </c>
      <c r="C159" s="304" t="s">
        <v>171</v>
      </c>
      <c r="D159" s="304" t="s">
        <v>232</v>
      </c>
      <c r="E159" s="305">
        <v>62</v>
      </c>
      <c r="F159" s="306">
        <v>121</v>
      </c>
      <c r="G159" s="306">
        <v>56</v>
      </c>
      <c r="H159" s="306">
        <v>100</v>
      </c>
    </row>
    <row r="160" spans="1:8" ht="11.25">
      <c r="A160" s="302">
        <v>1604</v>
      </c>
      <c r="B160" s="303">
        <v>17</v>
      </c>
      <c r="C160" s="304" t="s">
        <v>232</v>
      </c>
      <c r="D160" s="304" t="s">
        <v>195</v>
      </c>
      <c r="E160" s="305">
        <v>62</v>
      </c>
      <c r="F160" s="306">
        <v>121</v>
      </c>
      <c r="G160" s="306">
        <v>56.3</v>
      </c>
      <c r="H160" s="306">
        <v>100</v>
      </c>
    </row>
    <row r="161" spans="1:8" ht="11.25">
      <c r="A161" s="302">
        <v>1612</v>
      </c>
      <c r="B161" s="303">
        <v>15</v>
      </c>
      <c r="C161" s="304" t="s">
        <v>232</v>
      </c>
      <c r="D161" s="304" t="s">
        <v>207</v>
      </c>
      <c r="E161" s="305">
        <v>40</v>
      </c>
      <c r="F161" s="306">
        <v>80</v>
      </c>
      <c r="G161" s="306">
        <v>65.8</v>
      </c>
      <c r="H161" s="306">
        <v>80</v>
      </c>
    </row>
    <row r="162" spans="1:8" ht="11.25">
      <c r="A162" s="302">
        <v>1622</v>
      </c>
      <c r="B162" s="303">
        <v>68</v>
      </c>
      <c r="C162" s="304" t="s">
        <v>207</v>
      </c>
      <c r="D162" s="304" t="s">
        <v>210</v>
      </c>
      <c r="E162" s="305">
        <v>29</v>
      </c>
      <c r="F162" s="306">
        <v>74</v>
      </c>
      <c r="G162" s="306">
        <v>54</v>
      </c>
      <c r="H162" s="306">
        <v>80</v>
      </c>
    </row>
    <row r="163" spans="1:8" ht="11.25">
      <c r="A163" s="302">
        <v>1632</v>
      </c>
      <c r="B163" s="303">
        <v>12</v>
      </c>
      <c r="C163" s="304" t="s">
        <v>233</v>
      </c>
      <c r="D163" s="304" t="s">
        <v>234</v>
      </c>
      <c r="E163" s="305">
        <v>12</v>
      </c>
      <c r="F163" s="306">
        <v>42</v>
      </c>
      <c r="G163" s="306">
        <v>28</v>
      </c>
      <c r="H163" s="306">
        <v>50</v>
      </c>
    </row>
    <row r="164" spans="1:8" ht="11.25">
      <c r="A164" s="302">
        <v>1652</v>
      </c>
      <c r="B164" s="307">
        <v>44</v>
      </c>
      <c r="C164" s="308" t="s">
        <v>206</v>
      </c>
      <c r="D164" s="308" t="s">
        <v>235</v>
      </c>
      <c r="E164" s="305">
        <v>33</v>
      </c>
      <c r="F164" s="306">
        <v>67</v>
      </c>
      <c r="G164" s="306">
        <v>31</v>
      </c>
      <c r="H164" s="306">
        <v>60</v>
      </c>
    </row>
    <row r="165" spans="1:8" ht="11.25">
      <c r="A165" s="302">
        <v>1654</v>
      </c>
      <c r="B165" s="307">
        <v>1</v>
      </c>
      <c r="C165" s="308" t="s">
        <v>235</v>
      </c>
      <c r="D165" s="308" t="s">
        <v>236</v>
      </c>
      <c r="E165" s="305">
        <v>21</v>
      </c>
      <c r="F165" s="306">
        <v>51</v>
      </c>
      <c r="G165" s="306">
        <v>37.7</v>
      </c>
      <c r="H165" s="306">
        <v>60</v>
      </c>
    </row>
    <row r="166" spans="1:8" ht="11.25">
      <c r="A166" s="302">
        <v>1662</v>
      </c>
      <c r="B166" s="303">
        <v>19</v>
      </c>
      <c r="C166" s="304" t="s">
        <v>210</v>
      </c>
      <c r="D166" s="304" t="s">
        <v>237</v>
      </c>
      <c r="E166" s="305">
        <v>25</v>
      </c>
      <c r="F166" s="306">
        <v>46</v>
      </c>
      <c r="G166" s="306">
        <v>47.6</v>
      </c>
      <c r="H166" s="306">
        <v>80</v>
      </c>
    </row>
    <row r="167" spans="1:8" ht="11.25">
      <c r="A167" s="302">
        <v>1672</v>
      </c>
      <c r="B167" s="303">
        <v>7</v>
      </c>
      <c r="C167" s="304" t="s">
        <v>237</v>
      </c>
      <c r="D167" s="304" t="s">
        <v>238</v>
      </c>
      <c r="E167" s="305">
        <v>25</v>
      </c>
      <c r="F167" s="306">
        <v>46</v>
      </c>
      <c r="G167" s="306">
        <v>48</v>
      </c>
      <c r="H167" s="306">
        <v>80</v>
      </c>
    </row>
    <row r="168" spans="1:8" ht="11.25">
      <c r="A168" s="302">
        <v>1674</v>
      </c>
      <c r="B168" s="303">
        <v>2</v>
      </c>
      <c r="C168" s="304" t="s">
        <v>238</v>
      </c>
      <c r="D168" s="304" t="s">
        <v>239</v>
      </c>
      <c r="E168" s="305">
        <v>12</v>
      </c>
      <c r="F168" s="306">
        <v>116</v>
      </c>
      <c r="G168" s="306">
        <v>42</v>
      </c>
      <c r="H168" s="306">
        <v>80</v>
      </c>
    </row>
    <row r="169" spans="1:8" ht="11.25">
      <c r="A169" s="302">
        <v>1682</v>
      </c>
      <c r="B169" s="303">
        <v>3</v>
      </c>
      <c r="C169" s="304" t="s">
        <v>237</v>
      </c>
      <c r="D169" s="304" t="s">
        <v>240</v>
      </c>
      <c r="E169" s="305">
        <v>12</v>
      </c>
      <c r="F169" s="306">
        <v>45</v>
      </c>
      <c r="G169" s="306">
        <v>22.3</v>
      </c>
      <c r="H169" s="306">
        <v>60</v>
      </c>
    </row>
    <row r="170" spans="1:8" ht="11.25">
      <c r="A170" s="302">
        <v>1702</v>
      </c>
      <c r="B170" s="303">
        <v>6</v>
      </c>
      <c r="C170" s="304" t="s">
        <v>204</v>
      </c>
      <c r="D170" s="304" t="s">
        <v>241</v>
      </c>
      <c r="E170" s="305">
        <v>32</v>
      </c>
      <c r="F170" s="306">
        <v>42</v>
      </c>
      <c r="G170" s="306">
        <v>17</v>
      </c>
      <c r="H170" s="306">
        <v>30</v>
      </c>
    </row>
    <row r="171" spans="1:8" ht="11.25">
      <c r="A171" s="302">
        <v>1712</v>
      </c>
      <c r="B171" s="303">
        <v>8</v>
      </c>
      <c r="C171" s="304" t="s">
        <v>242</v>
      </c>
      <c r="D171" s="304" t="s">
        <v>243</v>
      </c>
      <c r="E171" s="305"/>
      <c r="F171" s="306">
        <v>30</v>
      </c>
      <c r="G171" s="306">
        <v>20</v>
      </c>
      <c r="H171" s="306">
        <v>40</v>
      </c>
    </row>
    <row r="172" spans="1:8" ht="11.25">
      <c r="A172" s="302">
        <v>1722</v>
      </c>
      <c r="B172" s="303">
        <v>49</v>
      </c>
      <c r="C172" s="304" t="s">
        <v>205</v>
      </c>
      <c r="D172" s="304" t="s">
        <v>187</v>
      </c>
      <c r="E172" s="305">
        <v>22</v>
      </c>
      <c r="F172" s="306">
        <v>36</v>
      </c>
      <c r="G172" s="306">
        <v>18.4</v>
      </c>
      <c r="H172" s="306">
        <v>80</v>
      </c>
    </row>
    <row r="173" spans="1:8" ht="11.25">
      <c r="A173" s="302">
        <v>1732</v>
      </c>
      <c r="B173" s="303">
        <v>17</v>
      </c>
      <c r="C173" s="304" t="s">
        <v>244</v>
      </c>
      <c r="D173" s="304" t="s">
        <v>245</v>
      </c>
      <c r="E173" s="305">
        <v>20</v>
      </c>
      <c r="F173" s="306">
        <v>40</v>
      </c>
      <c r="G173" s="306">
        <v>38</v>
      </c>
      <c r="H173" s="306">
        <v>60</v>
      </c>
    </row>
    <row r="174" spans="1:8" ht="11.25">
      <c r="A174" s="302">
        <v>2002</v>
      </c>
      <c r="B174" s="303">
        <v>7</v>
      </c>
      <c r="C174" s="304" t="s">
        <v>110</v>
      </c>
      <c r="D174" s="304" t="s">
        <v>246</v>
      </c>
      <c r="E174" s="305">
        <v>104</v>
      </c>
      <c r="F174" s="306">
        <v>257</v>
      </c>
      <c r="G174" s="306">
        <v>41.6</v>
      </c>
      <c r="H174" s="306">
        <v>100</v>
      </c>
    </row>
    <row r="175" spans="1:8" ht="11.25">
      <c r="A175" s="302">
        <v>2652</v>
      </c>
      <c r="B175" s="303">
        <v>13</v>
      </c>
      <c r="C175" s="304" t="s">
        <v>109</v>
      </c>
      <c r="D175" s="304" t="s">
        <v>247</v>
      </c>
      <c r="E175" s="305">
        <v>53</v>
      </c>
      <c r="F175" s="306">
        <v>266</v>
      </c>
      <c r="G175" s="306">
        <v>40.3</v>
      </c>
      <c r="H175" s="306">
        <v>90</v>
      </c>
    </row>
    <row r="176" spans="1:8" ht="11.25">
      <c r="A176" s="302">
        <v>2654</v>
      </c>
      <c r="B176" s="303">
        <v>8</v>
      </c>
      <c r="C176" s="304" t="s">
        <v>247</v>
      </c>
      <c r="D176" s="304" t="s">
        <v>248</v>
      </c>
      <c r="E176" s="305">
        <v>56</v>
      </c>
      <c r="F176" s="306">
        <v>262</v>
      </c>
      <c r="G176" s="306">
        <v>45.1</v>
      </c>
      <c r="H176" s="306">
        <v>90</v>
      </c>
    </row>
    <row r="177" spans="1:8" ht="11.25">
      <c r="A177" s="302">
        <v>3232</v>
      </c>
      <c r="B177" s="303">
        <v>4</v>
      </c>
      <c r="C177" s="304" t="s">
        <v>204</v>
      </c>
      <c r="D177" s="304" t="s">
        <v>244</v>
      </c>
      <c r="E177" s="305">
        <v>44</v>
      </c>
      <c r="F177" s="306">
        <v>72</v>
      </c>
      <c r="G177" s="306">
        <v>28.6</v>
      </c>
      <c r="H177" s="306">
        <v>70</v>
      </c>
    </row>
    <row r="178" spans="1:8" ht="11.25">
      <c r="A178" s="302">
        <v>3234</v>
      </c>
      <c r="B178" s="303">
        <v>8</v>
      </c>
      <c r="C178" s="304" t="s">
        <v>244</v>
      </c>
      <c r="D178" s="304" t="s">
        <v>249</v>
      </c>
      <c r="E178" s="305">
        <v>44</v>
      </c>
      <c r="F178" s="306">
        <v>72</v>
      </c>
      <c r="G178" s="306">
        <v>29</v>
      </c>
      <c r="H178" s="306">
        <v>70</v>
      </c>
    </row>
    <row r="179" spans="1:8" ht="11.25">
      <c r="A179" s="291"/>
      <c r="B179" s="309">
        <f>SUM(B2:B178)</f>
        <v>3669</v>
      </c>
      <c r="C179" s="293"/>
      <c r="D179" s="293"/>
      <c r="E179" s="295"/>
      <c r="F179" s="295"/>
      <c r="G179" s="294"/>
      <c r="H179" s="294"/>
    </row>
    <row r="180" spans="1:8" ht="11.25">
      <c r="A180" s="291"/>
      <c r="B180" s="295"/>
      <c r="C180" s="293"/>
      <c r="D180" s="293"/>
      <c r="E180" s="295"/>
      <c r="F180" s="295"/>
      <c r="G180" s="294"/>
      <c r="H180" s="294"/>
    </row>
    <row r="181" spans="1:8" ht="11.25">
      <c r="A181" s="291"/>
      <c r="B181" s="295"/>
      <c r="C181" s="293"/>
      <c r="D181" s="293"/>
      <c r="E181" s="295"/>
      <c r="F181" s="295"/>
      <c r="G181" s="294"/>
      <c r="H181" s="294"/>
    </row>
    <row r="182" spans="1:8" ht="11.25">
      <c r="A182" s="296" t="s">
        <v>250</v>
      </c>
      <c r="B182" s="295"/>
      <c r="C182" s="293"/>
      <c r="D182" s="293"/>
      <c r="E182" s="293"/>
      <c r="F182" s="294"/>
      <c r="G182" s="294"/>
      <c r="H182" s="294"/>
    </row>
    <row r="183" spans="1:8" ht="11.25">
      <c r="A183" s="291" t="s">
        <v>76</v>
      </c>
      <c r="B183" s="297" t="s">
        <v>251</v>
      </c>
      <c r="C183" s="293"/>
      <c r="D183" s="293"/>
      <c r="E183" s="293"/>
      <c r="F183" s="294"/>
      <c r="G183" s="294"/>
      <c r="H183" s="294"/>
    </row>
    <row r="184" spans="1:8" ht="11.25">
      <c r="A184" s="291" t="s">
        <v>77</v>
      </c>
      <c r="B184" s="297" t="s">
        <v>252</v>
      </c>
      <c r="C184" s="293"/>
      <c r="D184" s="293"/>
      <c r="E184" s="293"/>
      <c r="F184" s="294"/>
      <c r="G184" s="294"/>
      <c r="H184" s="294"/>
    </row>
    <row r="185" spans="1:8" ht="11.25">
      <c r="A185" s="291"/>
      <c r="B185" s="295"/>
      <c r="C185" s="293"/>
      <c r="D185" s="293"/>
      <c r="E185" s="293"/>
      <c r="F185" s="294"/>
      <c r="G185" s="294"/>
      <c r="H185" s="294"/>
    </row>
  </sheetData>
  <printOptions/>
  <pageMargins left="0.8" right="0.34" top="1.54" bottom="0.89" header="0.94" footer="0.4921259845"/>
  <pageSetup horizontalDpi="600" verticalDpi="600" orientation="portrait" paperSize="9" scale="80" r:id="rId1"/>
  <headerFooter alignWithMargins="0">
    <oddHeader>&amp;CPriepustnosť vlakových úsekov 1. polrok 2002 &amp;RPríloha č.8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25">
      <selection activeCell="C25" sqref="C25"/>
    </sheetView>
  </sheetViews>
  <sheetFormatPr defaultColWidth="9.00390625" defaultRowHeight="12.75"/>
  <cols>
    <col min="1" max="1" width="20.125" style="0" customWidth="1"/>
    <col min="2" max="2" width="21.125" style="0" customWidth="1"/>
    <col min="3" max="3" width="22.375" style="0" customWidth="1"/>
    <col min="4" max="4" width="9.875" style="0" customWidth="1"/>
  </cols>
  <sheetData>
    <row r="1" spans="1:3" ht="15.75">
      <c r="A1" s="76" t="s">
        <v>369</v>
      </c>
      <c r="B1" s="1"/>
      <c r="C1" s="1"/>
    </row>
    <row r="2" spans="1:3" ht="15.75">
      <c r="A2" s="76"/>
      <c r="B2" s="1"/>
      <c r="C2" s="1"/>
    </row>
    <row r="3" spans="1:3" ht="13.5" thickBot="1">
      <c r="A3" s="77" t="s">
        <v>253</v>
      </c>
      <c r="B3" s="1"/>
      <c r="C3" s="1"/>
    </row>
    <row r="4" spans="1:4" ht="12.75">
      <c r="A4" s="247" t="s">
        <v>254</v>
      </c>
      <c r="B4" s="447" t="s">
        <v>255</v>
      </c>
      <c r="C4" s="447"/>
      <c r="D4" s="415"/>
    </row>
    <row r="5" spans="1:4" ht="13.5" thickBot="1">
      <c r="A5" s="211" t="s">
        <v>256</v>
      </c>
      <c r="B5" s="248" t="s">
        <v>0</v>
      </c>
      <c r="C5" s="248" t="s">
        <v>1</v>
      </c>
      <c r="D5" s="249" t="s">
        <v>368</v>
      </c>
    </row>
    <row r="6" spans="1:4" ht="12.75">
      <c r="A6" s="250">
        <v>1</v>
      </c>
      <c r="B6" s="251">
        <v>8506110</v>
      </c>
      <c r="C6" s="251">
        <v>3645135</v>
      </c>
      <c r="D6" s="48"/>
    </row>
    <row r="7" spans="1:4" ht="12.75">
      <c r="A7" s="79">
        <v>2</v>
      </c>
      <c r="B7" s="2">
        <v>5241841</v>
      </c>
      <c r="C7" s="2">
        <v>1162944</v>
      </c>
      <c r="D7" s="50"/>
    </row>
    <row r="8" spans="1:4" ht="12.75">
      <c r="A8" s="79">
        <v>3</v>
      </c>
      <c r="B8" s="2">
        <v>3760617</v>
      </c>
      <c r="C8" s="2">
        <v>422377</v>
      </c>
      <c r="D8" s="50"/>
    </row>
    <row r="9" spans="1:4" ht="13.5" thickBot="1">
      <c r="A9" s="244" t="s">
        <v>257</v>
      </c>
      <c r="B9" s="245">
        <f>SUM(B6:B8)</f>
        <v>17508568</v>
      </c>
      <c r="C9" s="245">
        <f>SUM(C6:C8)</f>
        <v>5230456</v>
      </c>
      <c r="D9" s="252">
        <f>SUM(D6:D8)</f>
        <v>0</v>
      </c>
    </row>
    <row r="10" spans="1:3" ht="12.75">
      <c r="A10" s="3"/>
      <c r="B10" s="4"/>
      <c r="C10" s="4"/>
    </row>
    <row r="11" spans="1:3" ht="13.5" thickBot="1">
      <c r="A11" s="6" t="s">
        <v>363</v>
      </c>
      <c r="B11" s="4"/>
      <c r="C11" s="4"/>
    </row>
    <row r="12" spans="1:4" ht="12.75">
      <c r="A12" s="78" t="s">
        <v>254</v>
      </c>
      <c r="B12" s="447" t="s">
        <v>255</v>
      </c>
      <c r="C12" s="447"/>
      <c r="D12" s="415"/>
    </row>
    <row r="13" spans="1:4" ht="13.5" thickBot="1">
      <c r="A13" s="253" t="s">
        <v>256</v>
      </c>
      <c r="B13" s="248" t="s">
        <v>0</v>
      </c>
      <c r="C13" s="248" t="s">
        <v>1</v>
      </c>
      <c r="D13" s="249" t="s">
        <v>368</v>
      </c>
    </row>
    <row r="14" spans="1:4" ht="12.75">
      <c r="A14" s="250">
        <v>1</v>
      </c>
      <c r="B14" s="251">
        <v>208785</v>
      </c>
      <c r="C14" s="251"/>
      <c r="D14" s="254">
        <v>302</v>
      </c>
    </row>
    <row r="15" spans="1:4" ht="12.75">
      <c r="A15" s="79">
        <v>2</v>
      </c>
      <c r="B15" s="2">
        <v>74398</v>
      </c>
      <c r="C15" s="2"/>
      <c r="D15" s="80">
        <v>183.75</v>
      </c>
    </row>
    <row r="16" spans="1:4" ht="12.75">
      <c r="A16" s="79">
        <v>3</v>
      </c>
      <c r="B16" s="2">
        <v>12026</v>
      </c>
      <c r="C16" s="2"/>
      <c r="D16" s="80">
        <v>135</v>
      </c>
    </row>
    <row r="17" spans="1:4" ht="13.5" thickBot="1">
      <c r="A17" s="244" t="s">
        <v>257</v>
      </c>
      <c r="B17" s="245">
        <f>SUM(B14:B16)</f>
        <v>295209</v>
      </c>
      <c r="C17" s="245">
        <v>0</v>
      </c>
      <c r="D17" s="246">
        <f>SUM(D14:D16)</f>
        <v>620.75</v>
      </c>
    </row>
    <row r="18" spans="1:3" ht="12.75" hidden="1">
      <c r="A18" s="3"/>
      <c r="B18" s="4">
        <f>B17+B9</f>
        <v>17803777</v>
      </c>
      <c r="C18" s="4"/>
    </row>
    <row r="19" spans="1:3" ht="12.75">
      <c r="A19" s="3"/>
      <c r="B19" s="4"/>
      <c r="C19" s="4"/>
    </row>
    <row r="20" spans="1:3" ht="12.75">
      <c r="A20" s="3"/>
      <c r="B20" s="4"/>
      <c r="C20" s="4"/>
    </row>
    <row r="21" spans="1:3" ht="13.5" thickBot="1">
      <c r="A21" s="81" t="s">
        <v>366</v>
      </c>
      <c r="B21" s="1"/>
      <c r="C21" s="1"/>
    </row>
    <row r="22" spans="1:4" ht="12.75">
      <c r="A22" s="78" t="s">
        <v>254</v>
      </c>
      <c r="B22" s="447" t="s">
        <v>255</v>
      </c>
      <c r="C22" s="447"/>
      <c r="D22" s="415"/>
    </row>
    <row r="23" spans="1:4" ht="13.5" thickBot="1">
      <c r="A23" s="253" t="s">
        <v>256</v>
      </c>
      <c r="B23" s="248" t="s">
        <v>0</v>
      </c>
      <c r="C23" s="248" t="s">
        <v>1</v>
      </c>
      <c r="D23" s="249" t="s">
        <v>368</v>
      </c>
    </row>
    <row r="24" spans="1:4" ht="12.75">
      <c r="A24" s="250">
        <v>1</v>
      </c>
      <c r="B24" s="251">
        <v>6859962</v>
      </c>
      <c r="C24" s="254"/>
      <c r="D24" s="254">
        <v>20308.5</v>
      </c>
    </row>
    <row r="25" spans="1:4" ht="12.75">
      <c r="A25" s="79">
        <v>2</v>
      </c>
      <c r="B25" s="2">
        <v>3006470</v>
      </c>
      <c r="C25" s="80"/>
      <c r="D25" s="80">
        <v>7388</v>
      </c>
    </row>
    <row r="26" spans="1:4" ht="12.75">
      <c r="A26" s="79">
        <v>3</v>
      </c>
      <c r="B26" s="2">
        <v>674462</v>
      </c>
      <c r="C26" s="80"/>
      <c r="D26" s="80">
        <v>520.25</v>
      </c>
    </row>
    <row r="27" spans="1:4" ht="13.5" thickBot="1">
      <c r="A27" s="244" t="s">
        <v>257</v>
      </c>
      <c r="B27" s="245">
        <f>SUM(B24:B26)</f>
        <v>10540894</v>
      </c>
      <c r="C27" s="246">
        <v>0</v>
      </c>
      <c r="D27" s="246">
        <f>SUM(D24:D26)</f>
        <v>28216.75</v>
      </c>
    </row>
    <row r="28" spans="1:4" ht="12.75" hidden="1">
      <c r="A28" s="3"/>
      <c r="B28" s="4"/>
      <c r="C28" s="4"/>
      <c r="D28" s="4">
        <f>D27+D17</f>
        <v>28837.5</v>
      </c>
    </row>
    <row r="29" spans="1:3" ht="12.75">
      <c r="A29" s="3"/>
      <c r="B29" s="4"/>
      <c r="C29" s="4"/>
    </row>
    <row r="30" spans="1:3" ht="13.5" thickBot="1">
      <c r="A30" s="1"/>
      <c r="B30" s="1"/>
      <c r="C30" s="1"/>
    </row>
    <row r="31" spans="1:3" ht="13.5" thickBot="1">
      <c r="A31" s="140" t="s">
        <v>379</v>
      </c>
      <c r="B31" s="141"/>
      <c r="C31" s="141">
        <v>913356136</v>
      </c>
    </row>
    <row r="32" spans="1:3" ht="13.5" thickBot="1">
      <c r="A32" s="261" t="s">
        <v>381</v>
      </c>
      <c r="B32" s="262"/>
      <c r="C32" s="262">
        <v>82012879</v>
      </c>
    </row>
    <row r="33" spans="1:5" ht="13.5" thickBot="1">
      <c r="A33" s="140" t="s">
        <v>380</v>
      </c>
      <c r="B33" s="141"/>
      <c r="C33" s="141">
        <v>3213123650</v>
      </c>
      <c r="E33" s="61"/>
    </row>
    <row r="34" spans="1:5" ht="13.5" thickBot="1">
      <c r="A34" s="261" t="s">
        <v>382</v>
      </c>
      <c r="B34" s="263"/>
      <c r="C34" s="264">
        <v>400133036</v>
      </c>
      <c r="E34" s="142"/>
    </row>
    <row r="35" spans="1:5" ht="13.5" thickBot="1">
      <c r="A35" s="5"/>
      <c r="B35" s="4"/>
      <c r="C35" s="103"/>
      <c r="E35" s="142"/>
    </row>
    <row r="36" spans="1:3" ht="16.5" thickBot="1">
      <c r="A36" s="448" t="s">
        <v>365</v>
      </c>
      <c r="B36" s="449"/>
      <c r="C36" s="98">
        <v>4126479786</v>
      </c>
    </row>
    <row r="37" spans="1:3" ht="15.75">
      <c r="A37" s="8"/>
      <c r="B37" s="4"/>
      <c r="C37" s="103"/>
    </row>
    <row r="38" spans="1:3" ht="15.75">
      <c r="A38" s="8"/>
      <c r="B38" s="4"/>
      <c r="C38" s="103"/>
    </row>
    <row r="39" spans="1:3" ht="15.75">
      <c r="A39" s="76" t="s">
        <v>370</v>
      </c>
      <c r="B39" s="1"/>
      <c r="C39" s="1"/>
    </row>
    <row r="40" spans="1:3" ht="12.75">
      <c r="A40" s="3"/>
      <c r="B40" s="4"/>
      <c r="C40" s="4"/>
    </row>
    <row r="41" spans="1:3" ht="13.5" thickBot="1">
      <c r="A41" s="81" t="s">
        <v>258</v>
      </c>
      <c r="B41" s="1"/>
      <c r="C41" s="1"/>
    </row>
    <row r="42" spans="1:4" ht="12.75">
      <c r="A42" s="78" t="s">
        <v>254</v>
      </c>
      <c r="B42" s="447" t="s">
        <v>255</v>
      </c>
      <c r="C42" s="447"/>
      <c r="D42" s="415"/>
    </row>
    <row r="43" spans="1:4" ht="13.5" thickBot="1">
      <c r="A43" s="253" t="s">
        <v>256</v>
      </c>
      <c r="B43" s="248" t="s">
        <v>0</v>
      </c>
      <c r="C43" s="248" t="s">
        <v>1</v>
      </c>
      <c r="D43" s="249" t="s">
        <v>368</v>
      </c>
    </row>
    <row r="44" spans="1:4" ht="12.75">
      <c r="A44" s="250">
        <v>1</v>
      </c>
      <c r="B44" s="251"/>
      <c r="C44" s="251"/>
      <c r="D44" s="254"/>
    </row>
    <row r="45" spans="1:4" ht="12.75">
      <c r="A45" s="79">
        <v>2</v>
      </c>
      <c r="B45" s="2">
        <v>19847</v>
      </c>
      <c r="C45" s="255"/>
      <c r="D45" s="80">
        <v>894.152</v>
      </c>
    </row>
    <row r="46" spans="1:4" ht="12.75">
      <c r="A46" s="79">
        <v>3</v>
      </c>
      <c r="B46" s="2"/>
      <c r="C46" s="255"/>
      <c r="D46" s="80"/>
    </row>
    <row r="47" spans="1:4" ht="13.5" thickBot="1">
      <c r="A47" s="244" t="s">
        <v>257</v>
      </c>
      <c r="B47" s="245">
        <f>B45</f>
        <v>19847</v>
      </c>
      <c r="C47" s="245">
        <v>0</v>
      </c>
      <c r="D47" s="246">
        <f>D45</f>
        <v>894.152</v>
      </c>
    </row>
    <row r="48" spans="1:4" ht="13.5" thickBot="1">
      <c r="A48" s="4"/>
      <c r="B48" s="4"/>
      <c r="C48" s="4"/>
      <c r="D48" s="4"/>
    </row>
    <row r="49" spans="1:4" ht="16.5" thickBot="1">
      <c r="A49" s="96" t="s">
        <v>367</v>
      </c>
      <c r="B49" s="143"/>
      <c r="C49" s="98">
        <v>11569196</v>
      </c>
      <c r="D49" s="103"/>
    </row>
    <row r="50" spans="1:3" ht="15.75">
      <c r="A50" s="8"/>
      <c r="B50" s="4"/>
      <c r="C50" s="103"/>
    </row>
    <row r="51" spans="1:3" ht="15.75">
      <c r="A51" s="76"/>
      <c r="B51" s="1"/>
      <c r="C51" s="103"/>
    </row>
    <row r="52" spans="1:3" ht="15.75">
      <c r="A52" s="8"/>
      <c r="B52" s="4"/>
      <c r="C52" s="103"/>
    </row>
    <row r="53" spans="1:3" ht="15.75">
      <c r="A53" s="8"/>
      <c r="B53" s="4"/>
      <c r="C53" s="103"/>
    </row>
    <row r="54" spans="1:3" ht="15.75">
      <c r="A54" s="8"/>
      <c r="B54" s="4"/>
      <c r="C54" s="4"/>
    </row>
    <row r="55" spans="1:3" ht="15.75">
      <c r="A55" s="76"/>
      <c r="B55" s="1"/>
      <c r="C55" s="1"/>
    </row>
    <row r="56" spans="1:3" ht="15.75">
      <c r="A56" s="76" t="s">
        <v>371</v>
      </c>
      <c r="B56" s="1"/>
      <c r="C56" s="1"/>
    </row>
    <row r="57" spans="1:3" ht="15.75">
      <c r="A57" s="76"/>
      <c r="B57" s="1"/>
      <c r="C57" s="1"/>
    </row>
    <row r="58" spans="1:3" ht="16.5" thickBot="1">
      <c r="A58" s="76" t="s">
        <v>275</v>
      </c>
      <c r="B58" s="1"/>
      <c r="C58" s="1"/>
    </row>
    <row r="59" spans="1:4" ht="13.5" thickBot="1">
      <c r="A59" s="9"/>
      <c r="B59" s="82" t="s">
        <v>0</v>
      </c>
      <c r="C59" s="83" t="s">
        <v>1</v>
      </c>
      <c r="D59" s="84" t="s">
        <v>2</v>
      </c>
    </row>
    <row r="60" spans="1:4" ht="15">
      <c r="A60" s="85" t="s">
        <v>3</v>
      </c>
      <c r="B60" s="86">
        <f>B17+B9</f>
        <v>17803777</v>
      </c>
      <c r="C60" s="65">
        <f>C9</f>
        <v>5230456</v>
      </c>
      <c r="D60" s="117">
        <f>D17+D9</f>
        <v>620.75</v>
      </c>
    </row>
    <row r="61" spans="1:4" ht="15.75" thickBot="1">
      <c r="A61" s="242" t="s">
        <v>260</v>
      </c>
      <c r="B61" s="87">
        <f>B47+B27</f>
        <v>10560741</v>
      </c>
      <c r="C61" s="88"/>
      <c r="D61" s="122">
        <f>D47+D27</f>
        <v>29110.902000000002</v>
      </c>
    </row>
    <row r="62" spans="1:4" ht="15.75" thickBot="1">
      <c r="A62" s="243" t="s">
        <v>261</v>
      </c>
      <c r="B62" s="89">
        <f>SUM(B60:B61)</f>
        <v>28364518</v>
      </c>
      <c r="C62" s="90">
        <f>SUM(C60:C61)</f>
        <v>5230456</v>
      </c>
      <c r="D62" s="125">
        <f>D61+D60</f>
        <v>29731.652000000002</v>
      </c>
    </row>
    <row r="63" spans="1:3" ht="12.75">
      <c r="A63" s="10"/>
      <c r="B63" s="74"/>
      <c r="C63" s="74"/>
    </row>
    <row r="64" ht="15.75">
      <c r="A64" s="91" t="s">
        <v>364</v>
      </c>
    </row>
    <row r="65" ht="13.5" thickBot="1"/>
    <row r="66" spans="1:3" ht="15">
      <c r="A66" s="144" t="s">
        <v>3</v>
      </c>
      <c r="B66" s="145">
        <f>C31</f>
        <v>913356136</v>
      </c>
      <c r="C66" t="s">
        <v>276</v>
      </c>
    </row>
    <row r="67" spans="1:2" ht="15">
      <c r="A67" s="146" t="s">
        <v>260</v>
      </c>
      <c r="B67" s="147">
        <f>C33+C49</f>
        <v>3224692846</v>
      </c>
    </row>
    <row r="68" spans="1:2" ht="15.75" thickBot="1">
      <c r="A68" s="148" t="s">
        <v>261</v>
      </c>
      <c r="B68" s="149">
        <f>SUM(B66:B67)</f>
        <v>4138048982</v>
      </c>
    </row>
  </sheetData>
  <mergeCells count="5">
    <mergeCell ref="B42:D42"/>
    <mergeCell ref="A36:B36"/>
    <mergeCell ref="B4:D4"/>
    <mergeCell ref="B12:D12"/>
    <mergeCell ref="B22:D22"/>
  </mergeCells>
  <printOptions/>
  <pageMargins left="1.19" right="0.75" top="1.4" bottom="1" header="0.84" footer="0.4921259845"/>
  <pageSetup horizontalDpi="600" verticalDpi="600" orientation="portrait" paperSize="9" r:id="rId1"/>
  <headerFooter alignWithMargins="0">
    <oddHeader>&amp;RPríloha č.2a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A1" sqref="A1:D35"/>
    </sheetView>
  </sheetViews>
  <sheetFormatPr defaultColWidth="9.00390625" defaultRowHeight="12.75"/>
  <cols>
    <col min="2" max="2" width="15.625" style="0" customWidth="1"/>
    <col min="3" max="3" width="14.625" style="0" customWidth="1"/>
    <col min="7" max="7" width="7.25390625" style="0" customWidth="1"/>
  </cols>
  <sheetData>
    <row r="1" spans="1:4" ht="15.75">
      <c r="A1" s="150"/>
      <c r="B1" s="4"/>
      <c r="C1" s="4"/>
      <c r="D1" s="74"/>
    </row>
    <row r="2" spans="1:4" ht="15.75">
      <c r="A2" s="151"/>
      <c r="B2" s="4"/>
      <c r="C2" s="4"/>
      <c r="D2" s="74"/>
    </row>
    <row r="3" spans="1:4" ht="15.75">
      <c r="A3" s="8"/>
      <c r="B3" s="4"/>
      <c r="C3" s="4"/>
      <c r="D3" s="74"/>
    </row>
    <row r="4" spans="1:4" ht="15.75">
      <c r="A4" s="8"/>
      <c r="B4" s="4"/>
      <c r="C4" s="4"/>
      <c r="D4" s="74"/>
    </row>
    <row r="5" spans="1:4" ht="12.75">
      <c r="A5" s="152"/>
      <c r="B5" s="99"/>
      <c r="C5" s="99"/>
      <c r="D5" s="75"/>
    </row>
    <row r="6" spans="1:4" ht="12.75">
      <c r="A6" s="152"/>
      <c r="B6" s="100"/>
      <c r="C6" s="100"/>
      <c r="D6" s="74"/>
    </row>
    <row r="7" spans="1:4" ht="15.75">
      <c r="A7" s="106"/>
      <c r="B7" s="153"/>
      <c r="C7" s="153"/>
      <c r="D7" s="74"/>
    </row>
    <row r="8" spans="1:4" ht="15.75">
      <c r="A8" s="106"/>
      <c r="B8" s="101"/>
      <c r="C8" s="101"/>
      <c r="D8" s="74"/>
    </row>
    <row r="9" spans="1:4" ht="15.75">
      <c r="A9" s="106"/>
      <c r="B9" s="102"/>
      <c r="C9" s="102"/>
      <c r="D9" s="74"/>
    </row>
    <row r="10" spans="1:4" ht="15.75">
      <c r="A10" s="106"/>
      <c r="B10" s="102"/>
      <c r="C10" s="102"/>
      <c r="D10" s="74"/>
    </row>
    <row r="11" spans="1:4" ht="15.75">
      <c r="A11" s="106"/>
      <c r="B11" s="102"/>
      <c r="C11" s="102"/>
      <c r="D11" s="74"/>
    </row>
    <row r="12" spans="1:4" ht="15.75">
      <c r="A12" s="106"/>
      <c r="B12" s="102"/>
      <c r="C12" s="102"/>
      <c r="D12" s="74"/>
    </row>
    <row r="13" spans="1:4" ht="15.75">
      <c r="A13" s="106"/>
      <c r="B13" s="103"/>
      <c r="C13" s="103"/>
      <c r="D13" s="103"/>
    </row>
    <row r="14" spans="1:4" ht="12.75">
      <c r="A14" s="73"/>
      <c r="B14" s="93"/>
      <c r="C14" s="93"/>
      <c r="D14" s="74"/>
    </row>
    <row r="15" spans="1:4" ht="12.75">
      <c r="A15" s="94"/>
      <c r="B15" s="95"/>
      <c r="C15" s="4"/>
      <c r="D15" s="74"/>
    </row>
    <row r="16" spans="1:4" ht="12.75">
      <c r="A16" s="4"/>
      <c r="B16" s="4"/>
      <c r="C16" s="4"/>
      <c r="D16" s="74"/>
    </row>
    <row r="17" spans="1:4" ht="15.75">
      <c r="A17" s="8"/>
      <c r="B17" s="4"/>
      <c r="C17" s="103"/>
      <c r="D17" s="74"/>
    </row>
    <row r="18" spans="1:4" ht="12.75">
      <c r="A18" s="4"/>
      <c r="B18" s="4"/>
      <c r="C18" s="4"/>
      <c r="D18" s="74"/>
    </row>
    <row r="19" spans="1:4" ht="15.75">
      <c r="A19" s="154"/>
      <c r="B19" s="4"/>
      <c r="C19" s="4"/>
      <c r="D19" s="74"/>
    </row>
    <row r="20" spans="1:4" ht="15.75">
      <c r="A20" s="8"/>
      <c r="B20" s="4"/>
      <c r="C20" s="4"/>
      <c r="D20" s="74"/>
    </row>
    <row r="21" spans="1:4" ht="12.75">
      <c r="A21" s="3"/>
      <c r="B21" s="4"/>
      <c r="C21" s="4"/>
      <c r="D21" s="74"/>
    </row>
    <row r="22" spans="1:4" ht="12.75">
      <c r="A22" s="152"/>
      <c r="B22" s="99"/>
      <c r="C22" s="99"/>
      <c r="D22" s="74"/>
    </row>
    <row r="23" spans="1:4" ht="12.75">
      <c r="A23" s="152"/>
      <c r="B23" s="100"/>
      <c r="C23" s="100"/>
      <c r="D23" s="74"/>
    </row>
    <row r="24" spans="1:4" ht="15.75">
      <c r="A24" s="106"/>
      <c r="B24" s="155"/>
      <c r="C24" s="101"/>
      <c r="D24" s="74"/>
    </row>
    <row r="25" spans="1:4" ht="15.75">
      <c r="A25" s="106"/>
      <c r="B25" s="101"/>
      <c r="C25" s="101"/>
      <c r="D25" s="74"/>
    </row>
    <row r="26" spans="1:4" ht="15.75">
      <c r="A26" s="106"/>
      <c r="B26" s="102"/>
      <c r="C26" s="102"/>
      <c r="D26" s="74"/>
    </row>
    <row r="27" spans="1:4" ht="15.75">
      <c r="A27" s="106"/>
      <c r="B27" s="102"/>
      <c r="C27" s="102"/>
      <c r="D27" s="74"/>
    </row>
    <row r="28" spans="1:4" ht="15.75">
      <c r="A28" s="106"/>
      <c r="B28" s="102"/>
      <c r="C28" s="102"/>
      <c r="D28" s="74"/>
    </row>
    <row r="29" spans="1:4" ht="15.75">
      <c r="A29" s="106"/>
      <c r="B29" s="102"/>
      <c r="C29" s="102"/>
      <c r="D29" s="74"/>
    </row>
    <row r="30" spans="1:4" ht="15.75">
      <c r="A30" s="106"/>
      <c r="B30" s="103"/>
      <c r="C30" s="103"/>
      <c r="D30" s="74"/>
    </row>
    <row r="31" spans="1:4" ht="15.75">
      <c r="A31" s="8"/>
      <c r="B31" s="4"/>
      <c r="C31" s="4"/>
      <c r="D31" s="74"/>
    </row>
    <row r="32" spans="1:4" ht="15.75">
      <c r="A32" s="8"/>
      <c r="B32" s="4"/>
      <c r="C32" s="4"/>
      <c r="D32" s="74"/>
    </row>
    <row r="33" spans="1:4" ht="15.75">
      <c r="A33" s="8"/>
      <c r="B33" s="4"/>
      <c r="C33" s="4"/>
      <c r="D33" s="74"/>
    </row>
    <row r="34" spans="1:4" ht="15.75">
      <c r="A34" s="8"/>
      <c r="B34" s="4"/>
      <c r="C34" s="103"/>
      <c r="D34" s="74"/>
    </row>
    <row r="35" spans="1:4" ht="15.75">
      <c r="A35" s="8"/>
      <c r="B35" s="4"/>
      <c r="C35" s="103"/>
      <c r="D35" s="74"/>
    </row>
    <row r="36" spans="1:3" ht="15.75">
      <c r="A36" s="8"/>
      <c r="B36" s="4"/>
      <c r="C36" s="103"/>
    </row>
    <row r="37" spans="1:3" ht="15.75">
      <c r="A37" s="8"/>
      <c r="B37" s="4"/>
      <c r="C37" s="103"/>
    </row>
    <row r="38" spans="1:3" ht="15.75">
      <c r="A38" s="8"/>
      <c r="B38" s="4"/>
      <c r="C38" s="103"/>
    </row>
    <row r="39" spans="1:3" ht="15.75">
      <c r="A39" s="76" t="s">
        <v>259</v>
      </c>
      <c r="B39" s="1"/>
      <c r="C39" s="1"/>
    </row>
    <row r="40" spans="1:3" ht="13.5" thickBot="1">
      <c r="A40" s="9"/>
      <c r="B40" s="1"/>
      <c r="C40" s="1"/>
    </row>
    <row r="41" spans="1:3" ht="15.75" thickBot="1">
      <c r="A41" s="104" t="s">
        <v>3</v>
      </c>
      <c r="B41" s="97"/>
      <c r="C41" s="98">
        <f>B13</f>
        <v>0</v>
      </c>
    </row>
    <row r="42" spans="1:3" ht="15.75" thickBot="1">
      <c r="A42" s="104" t="s">
        <v>260</v>
      </c>
      <c r="B42" s="97"/>
      <c r="C42" s="98">
        <f>C13+B30</f>
        <v>0</v>
      </c>
    </row>
    <row r="43" spans="1:3" ht="15.75" thickBot="1">
      <c r="A43" s="104" t="s">
        <v>261</v>
      </c>
      <c r="B43" s="97"/>
      <c r="C43" s="98">
        <f>SUM(C41:C42)</f>
        <v>0</v>
      </c>
    </row>
    <row r="44" spans="1:3" ht="15">
      <c r="A44" s="105"/>
      <c r="B44" s="4"/>
      <c r="C44" s="4"/>
    </row>
    <row r="45" ht="12.75">
      <c r="A45" s="10" t="s">
        <v>262</v>
      </c>
    </row>
    <row r="46" spans="3:6" ht="15.75">
      <c r="C46" s="106"/>
      <c r="D46" s="102"/>
      <c r="E46" s="102"/>
      <c r="F46" s="74"/>
    </row>
    <row r="47" spans="3:6" ht="15.75">
      <c r="C47" s="106"/>
      <c r="D47" s="102"/>
      <c r="E47" s="102"/>
      <c r="F47" s="74"/>
    </row>
    <row r="48" spans="3:6" ht="15.75">
      <c r="C48" s="106"/>
      <c r="D48" s="102"/>
      <c r="E48" s="102"/>
      <c r="F48" s="74"/>
    </row>
    <row r="49" spans="3:6" ht="15.75">
      <c r="C49" s="106"/>
      <c r="D49" s="102"/>
      <c r="E49" s="102"/>
      <c r="F49" s="74"/>
    </row>
    <row r="50" spans="3:6" ht="15.75">
      <c r="C50" s="106"/>
      <c r="D50" s="103"/>
      <c r="E50" s="103"/>
      <c r="F50" s="74"/>
    </row>
    <row r="51" spans="3:6" ht="15.75">
      <c r="C51" s="8"/>
      <c r="D51" s="4"/>
      <c r="E51" s="4"/>
      <c r="F51" s="74"/>
    </row>
    <row r="52" spans="3:6" ht="15.75">
      <c r="C52" s="8"/>
      <c r="D52" s="4"/>
      <c r="E52" s="4"/>
      <c r="F52" s="74"/>
    </row>
    <row r="53" spans="3:6" ht="15.75">
      <c r="C53" s="8"/>
      <c r="D53" s="4"/>
      <c r="E53" s="4"/>
      <c r="F53" s="74"/>
    </row>
    <row r="54" spans="3:6" ht="15.75">
      <c r="C54" s="8"/>
      <c r="D54" s="4"/>
      <c r="E54" s="103"/>
      <c r="F54" s="74"/>
    </row>
    <row r="55" spans="3:6" ht="15.75">
      <c r="C55" s="8"/>
      <c r="D55" s="4"/>
      <c r="E55" s="103"/>
      <c r="F55" s="74"/>
    </row>
    <row r="56" spans="3:6" ht="15.75">
      <c r="C56" s="8"/>
      <c r="D56" s="4"/>
      <c r="E56" s="103"/>
      <c r="F56" s="74"/>
    </row>
    <row r="57" spans="3:6" ht="15.75">
      <c r="C57" s="8"/>
      <c r="D57" s="4"/>
      <c r="E57" s="103"/>
      <c r="F57" s="74"/>
    </row>
    <row r="58" spans="3:6" ht="15.75">
      <c r="C58" s="8"/>
      <c r="D58" s="4"/>
      <c r="E58" s="103"/>
      <c r="F58" s="74"/>
    </row>
    <row r="59" spans="3:6" ht="15.75">
      <c r="C59" s="8"/>
      <c r="D59" s="4"/>
      <c r="E59" s="4"/>
      <c r="F59" s="74"/>
    </row>
    <row r="60" spans="3:6" ht="12.75">
      <c r="C60" s="5"/>
      <c r="D60" s="4"/>
      <c r="E60" s="4"/>
      <c r="F60" s="74"/>
    </row>
    <row r="61" spans="3:6" ht="15">
      <c r="C61" s="105"/>
      <c r="D61" s="4"/>
      <c r="E61" s="103"/>
      <c r="F61" s="74"/>
    </row>
    <row r="62" spans="3:6" ht="15">
      <c r="C62" s="105"/>
      <c r="D62" s="4"/>
      <c r="E62" s="103"/>
      <c r="F62" s="74"/>
    </row>
    <row r="63" spans="3:6" ht="15">
      <c r="C63" s="105"/>
      <c r="D63" s="4"/>
      <c r="E63" s="103"/>
      <c r="F63" s="74"/>
    </row>
    <row r="64" spans="3:6" ht="15">
      <c r="C64" s="105"/>
      <c r="D64" s="4"/>
      <c r="E64" s="4"/>
      <c r="F64" s="74"/>
    </row>
    <row r="65" spans="3:6" ht="12.75">
      <c r="C65" s="10"/>
      <c r="D65" s="74"/>
      <c r="E65" s="74"/>
      <c r="F65" s="74"/>
    </row>
    <row r="66" spans="3:6" ht="12.75">
      <c r="C66" s="74"/>
      <c r="D66" s="74"/>
      <c r="E66" s="74"/>
      <c r="F66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G7" sqref="G7"/>
    </sheetView>
  </sheetViews>
  <sheetFormatPr defaultColWidth="9.00390625" defaultRowHeight="12.75"/>
  <cols>
    <col min="2" max="2" width="12.625" style="0" customWidth="1"/>
    <col min="3" max="3" width="15.25390625" style="0" customWidth="1"/>
    <col min="4" max="4" width="13.00390625" style="0" customWidth="1"/>
    <col min="5" max="5" width="12.00390625" style="0" customWidth="1"/>
    <col min="6" max="6" width="18.625" style="0" customWidth="1"/>
  </cols>
  <sheetData>
    <row r="1" spans="1:6" ht="15.75">
      <c r="A1" s="313" t="s">
        <v>397</v>
      </c>
      <c r="B1" s="1"/>
      <c r="C1" s="1"/>
      <c r="D1" s="1"/>
      <c r="E1" s="1"/>
      <c r="F1" s="1"/>
    </row>
    <row r="2" spans="1:6" ht="15.75">
      <c r="A2" s="314"/>
      <c r="B2" s="1"/>
      <c r="C2" s="1"/>
      <c r="D2" s="1"/>
      <c r="E2" s="1"/>
      <c r="F2" s="1"/>
    </row>
    <row r="3" spans="1:6" ht="15.75">
      <c r="A3" s="76" t="s">
        <v>398</v>
      </c>
      <c r="B3" s="1"/>
      <c r="C3" s="1"/>
      <c r="D3" s="1"/>
      <c r="E3" s="1"/>
      <c r="F3" s="1"/>
    </row>
    <row r="4" spans="1:6" ht="15.75">
      <c r="A4" s="76"/>
      <c r="B4" s="1"/>
      <c r="C4" s="1"/>
      <c r="D4" s="1"/>
      <c r="E4" s="1"/>
      <c r="F4" s="1"/>
    </row>
    <row r="5" spans="1:6" ht="13.5" thickBot="1">
      <c r="A5" s="77" t="s">
        <v>253</v>
      </c>
      <c r="B5" s="1"/>
      <c r="C5" s="1"/>
      <c r="D5" s="1"/>
      <c r="E5" s="1"/>
      <c r="F5" s="1"/>
    </row>
    <row r="6" spans="1:6" ht="12.75">
      <c r="A6" s="78" t="s">
        <v>254</v>
      </c>
      <c r="B6" s="315" t="s">
        <v>399</v>
      </c>
      <c r="C6" s="315"/>
      <c r="D6" s="315" t="s">
        <v>255</v>
      </c>
      <c r="E6" s="315"/>
      <c r="F6" s="316" t="s">
        <v>400</v>
      </c>
    </row>
    <row r="7" spans="1:6" ht="12.75">
      <c r="A7" s="317" t="s">
        <v>256</v>
      </c>
      <c r="B7" s="318" t="s">
        <v>401</v>
      </c>
      <c r="C7" s="318" t="s">
        <v>402</v>
      </c>
      <c r="D7" s="318" t="s">
        <v>0</v>
      </c>
      <c r="E7" s="318" t="s">
        <v>1</v>
      </c>
      <c r="F7" s="319"/>
    </row>
    <row r="8" spans="1:6" ht="12.75">
      <c r="A8" s="79">
        <v>1</v>
      </c>
      <c r="B8" s="320">
        <v>39.090909090909086</v>
      </c>
      <c r="C8" s="320">
        <v>22.727272727272727</v>
      </c>
      <c r="D8" s="2">
        <v>8506110</v>
      </c>
      <c r="E8" s="2">
        <v>3645135</v>
      </c>
      <c r="F8" s="80">
        <f>(B8*D8+C8*E8)</f>
        <v>415355549.99999994</v>
      </c>
    </row>
    <row r="9" spans="1:6" ht="12.75">
      <c r="A9" s="79">
        <v>2</v>
      </c>
      <c r="B9" s="320">
        <v>39.090909090909086</v>
      </c>
      <c r="C9" s="320">
        <v>38.18181818181818</v>
      </c>
      <c r="D9" s="2">
        <v>5241841</v>
      </c>
      <c r="E9" s="2">
        <v>1162944</v>
      </c>
      <c r="F9" s="80">
        <f>(B9*D9+C9*E9)</f>
        <v>249311646.3636363</v>
      </c>
    </row>
    <row r="10" spans="1:6" ht="13.5" thickBot="1">
      <c r="A10" s="79">
        <v>3</v>
      </c>
      <c r="B10" s="320">
        <v>43.63636363636363</v>
      </c>
      <c r="C10" s="320">
        <v>83.63636363636363</v>
      </c>
      <c r="D10" s="2">
        <v>3760617</v>
      </c>
      <c r="E10" s="2">
        <v>422377</v>
      </c>
      <c r="F10" s="80">
        <f>(B10*D10+C10*E10)</f>
        <v>199425727.27272725</v>
      </c>
    </row>
    <row r="11" spans="1:6" ht="13.5" thickBot="1">
      <c r="A11" s="321" t="s">
        <v>257</v>
      </c>
      <c r="B11" s="322"/>
      <c r="C11" s="322"/>
      <c r="D11" s="322">
        <f>SUM(D8:D10)</f>
        <v>17508568</v>
      </c>
      <c r="E11" s="322">
        <f>SUM(E8:E10)</f>
        <v>5230456</v>
      </c>
      <c r="F11" s="139">
        <f>SUM(F8:F10)</f>
        <v>864092923.6363635</v>
      </c>
    </row>
    <row r="12" spans="1:6" ht="12.75">
      <c r="A12" s="3"/>
      <c r="B12" s="4"/>
      <c r="C12" s="4"/>
      <c r="D12" s="4"/>
      <c r="E12" s="4"/>
      <c r="F12" s="5"/>
    </row>
    <row r="13" spans="1:6" ht="13.5" thickBot="1">
      <c r="A13" s="323" t="s">
        <v>403</v>
      </c>
      <c r="B13" s="4"/>
      <c r="C13" s="4"/>
      <c r="D13" s="4"/>
      <c r="E13" s="4"/>
      <c r="F13" s="5"/>
    </row>
    <row r="14" spans="1:6" ht="12.75">
      <c r="A14" s="78" t="s">
        <v>254</v>
      </c>
      <c r="B14" s="315" t="s">
        <v>399</v>
      </c>
      <c r="C14" s="315"/>
      <c r="D14" s="315" t="s">
        <v>255</v>
      </c>
      <c r="E14" s="315"/>
      <c r="F14" s="316" t="s">
        <v>400</v>
      </c>
    </row>
    <row r="15" spans="1:6" ht="12.75">
      <c r="A15" s="317" t="s">
        <v>256</v>
      </c>
      <c r="B15" s="318" t="s">
        <v>404</v>
      </c>
      <c r="C15" s="318" t="s">
        <v>401</v>
      </c>
      <c r="D15" s="318" t="s">
        <v>2</v>
      </c>
      <c r="E15" s="318" t="s">
        <v>0</v>
      </c>
      <c r="F15" s="319"/>
    </row>
    <row r="16" spans="1:6" ht="12.75">
      <c r="A16" s="79">
        <v>1</v>
      </c>
      <c r="B16" s="320">
        <v>4753.636363636363</v>
      </c>
      <c r="C16" s="320">
        <v>307.27272727272725</v>
      </c>
      <c r="D16" s="2">
        <v>302</v>
      </c>
      <c r="E16" s="2">
        <v>208785</v>
      </c>
      <c r="F16" s="80">
        <f>(B16*D16+C16*E16)</f>
        <v>65589534.54545454</v>
      </c>
    </row>
    <row r="17" spans="1:6" ht="12.75">
      <c r="A17" s="79">
        <v>2</v>
      </c>
      <c r="B17" s="320">
        <v>4753.636363636363</v>
      </c>
      <c r="C17" s="320">
        <v>307.27272727272725</v>
      </c>
      <c r="D17" s="2">
        <v>184</v>
      </c>
      <c r="E17" s="2">
        <v>74398</v>
      </c>
      <c r="F17" s="80">
        <f>(B17*D17+C17*E17)</f>
        <v>23735145.454545453</v>
      </c>
    </row>
    <row r="18" spans="1:6" ht="13.5" thickBot="1">
      <c r="A18" s="79">
        <v>3</v>
      </c>
      <c r="B18" s="320">
        <v>3729.090909090909</v>
      </c>
      <c r="C18" s="320">
        <v>239.09090909090907</v>
      </c>
      <c r="D18" s="2">
        <v>135</v>
      </c>
      <c r="E18" s="2">
        <v>12026</v>
      </c>
      <c r="F18" s="80">
        <f>(B18*D18+C18*E18)</f>
        <v>3378734.545454545</v>
      </c>
    </row>
    <row r="19" spans="1:6" ht="13.5" thickBot="1">
      <c r="A19" s="321" t="s">
        <v>257</v>
      </c>
      <c r="B19" s="322"/>
      <c r="C19" s="322"/>
      <c r="D19" s="322">
        <f>SUM(D16:D18)</f>
        <v>621</v>
      </c>
      <c r="E19" s="324">
        <f>SUM(E16:E18)</f>
        <v>295209</v>
      </c>
      <c r="F19" s="139">
        <f>SUM(F16:F18)</f>
        <v>92703414.54545455</v>
      </c>
    </row>
    <row r="20" spans="1:6" ht="12.75">
      <c r="A20" s="3"/>
      <c r="B20" s="4"/>
      <c r="C20" s="4"/>
      <c r="D20" s="95"/>
      <c r="E20" s="4"/>
      <c r="F20" s="5"/>
    </row>
    <row r="21" spans="1:6" ht="12.75">
      <c r="A21" s="3"/>
      <c r="B21" s="4"/>
      <c r="C21" s="4"/>
      <c r="D21" s="4"/>
      <c r="E21" s="4"/>
      <c r="F21" s="5"/>
    </row>
    <row r="22" spans="1:6" ht="13.5" thickBot="1">
      <c r="A22" s="81" t="s">
        <v>258</v>
      </c>
      <c r="B22" s="1"/>
      <c r="C22" s="1"/>
      <c r="D22" s="1"/>
      <c r="E22" s="1"/>
      <c r="F22" s="1"/>
    </row>
    <row r="23" spans="1:6" ht="12.75">
      <c r="A23" s="78" t="s">
        <v>254</v>
      </c>
      <c r="B23" s="315" t="s">
        <v>399</v>
      </c>
      <c r="C23" s="315"/>
      <c r="D23" s="315" t="s">
        <v>255</v>
      </c>
      <c r="E23" s="315"/>
      <c r="F23" s="316" t="s">
        <v>400</v>
      </c>
    </row>
    <row r="24" spans="1:6" ht="12.75">
      <c r="A24" s="317" t="s">
        <v>256</v>
      </c>
      <c r="B24" s="318" t="s">
        <v>404</v>
      </c>
      <c r="C24" s="318" t="s">
        <v>401</v>
      </c>
      <c r="D24" s="318" t="s">
        <v>2</v>
      </c>
      <c r="E24" s="318" t="s">
        <v>0</v>
      </c>
      <c r="F24" s="319"/>
    </row>
    <row r="25" spans="1:6" ht="12.75">
      <c r="A25" s="79">
        <v>1</v>
      </c>
      <c r="B25" s="320">
        <v>4753.636363636363</v>
      </c>
      <c r="C25" s="320">
        <v>307.27272727272725</v>
      </c>
      <c r="D25" s="2">
        <v>18592.113</v>
      </c>
      <c r="E25" s="2">
        <v>5891064</v>
      </c>
      <c r="F25" s="80">
        <f>(B25*D25+C25*E25)</f>
        <v>1898543446.2518182</v>
      </c>
    </row>
    <row r="26" spans="1:6" ht="12.75">
      <c r="A26" s="79">
        <v>2</v>
      </c>
      <c r="B26" s="320">
        <v>4753.636363636363</v>
      </c>
      <c r="C26" s="320">
        <v>307.27272727272725</v>
      </c>
      <c r="D26" s="2">
        <v>6567.061</v>
      </c>
      <c r="E26" s="2">
        <v>2543186</v>
      </c>
      <c r="F26" s="80">
        <f>(B26*D26+C26*E26)</f>
        <v>812669118.1536363</v>
      </c>
    </row>
    <row r="27" spans="1:6" ht="13.5" thickBot="1">
      <c r="A27" s="79">
        <v>3</v>
      </c>
      <c r="B27" s="320">
        <v>3729.090909090909</v>
      </c>
      <c r="C27" s="320">
        <v>239.09090909090907</v>
      </c>
      <c r="D27" s="2">
        <v>414.686</v>
      </c>
      <c r="E27" s="2">
        <v>615030</v>
      </c>
      <c r="F27" s="80">
        <f>(B27*D27+C27*E27)</f>
        <v>148594483.61090907</v>
      </c>
    </row>
    <row r="28" spans="1:6" ht="13.5" thickBot="1">
      <c r="A28" s="321" t="s">
        <v>257</v>
      </c>
      <c r="B28" s="322"/>
      <c r="C28" s="322"/>
      <c r="D28" s="322">
        <f>SUM(D25:D27)</f>
        <v>25573.86</v>
      </c>
      <c r="E28" s="324">
        <f>SUM(E25:E27)</f>
        <v>9049280</v>
      </c>
      <c r="F28" s="139">
        <f>SUM(F25:F27)</f>
        <v>2859807048.0163636</v>
      </c>
    </row>
    <row r="29" spans="1:6" ht="12.75">
      <c r="A29" s="3"/>
      <c r="B29" s="4"/>
      <c r="C29" s="4"/>
      <c r="D29" s="95"/>
      <c r="E29" s="4"/>
      <c r="F29" s="5"/>
    </row>
    <row r="30" spans="1:6" ht="13.5" thickBot="1">
      <c r="A30" s="323" t="s">
        <v>405</v>
      </c>
      <c r="B30" s="4"/>
      <c r="C30" s="4"/>
      <c r="D30" s="4"/>
      <c r="E30" s="4"/>
      <c r="F30" s="5"/>
    </row>
    <row r="31" spans="1:6" ht="12.75">
      <c r="A31" s="78" t="s">
        <v>254</v>
      </c>
      <c r="B31" s="315" t="s">
        <v>399</v>
      </c>
      <c r="C31" s="315"/>
      <c r="D31" s="315" t="s">
        <v>255</v>
      </c>
      <c r="E31" s="315"/>
      <c r="F31" s="316" t="s">
        <v>400</v>
      </c>
    </row>
    <row r="32" spans="1:6" ht="12.75">
      <c r="A32" s="317" t="s">
        <v>256</v>
      </c>
      <c r="B32" s="318" t="s">
        <v>404</v>
      </c>
      <c r="C32" s="318" t="s">
        <v>401</v>
      </c>
      <c r="D32" s="318" t="s">
        <v>2</v>
      </c>
      <c r="E32" s="318" t="s">
        <v>0</v>
      </c>
      <c r="F32" s="319"/>
    </row>
    <row r="33" spans="1:6" ht="12.75">
      <c r="A33" s="79">
        <v>1</v>
      </c>
      <c r="B33" s="320">
        <v>4753.636363636363</v>
      </c>
      <c r="C33" s="320">
        <v>307.27272727272725</v>
      </c>
      <c r="D33" s="2">
        <v>1716.887</v>
      </c>
      <c r="E33" s="2">
        <v>968898</v>
      </c>
      <c r="F33" s="80">
        <f>(B33*D33+C33*E33)</f>
        <v>305877387.38454545</v>
      </c>
    </row>
    <row r="34" spans="1:6" ht="12.75">
      <c r="A34" s="79">
        <v>2</v>
      </c>
      <c r="B34" s="320">
        <v>4753.636363636363</v>
      </c>
      <c r="C34" s="320">
        <v>307.27272727272725</v>
      </c>
      <c r="D34" s="2">
        <v>820.939</v>
      </c>
      <c r="E34" s="2">
        <v>463284</v>
      </c>
      <c r="F34" s="80">
        <f>(B34*D34+C34*E34)</f>
        <v>146256983.66454542</v>
      </c>
    </row>
    <row r="35" spans="1:6" ht="13.5" thickBot="1">
      <c r="A35" s="79">
        <v>3</v>
      </c>
      <c r="B35" s="320">
        <v>3729.090909090909</v>
      </c>
      <c r="C35" s="320">
        <v>239.09090909090907</v>
      </c>
      <c r="D35" s="2">
        <v>105.314</v>
      </c>
      <c r="E35" s="2">
        <v>59432</v>
      </c>
      <c r="F35" s="80">
        <f>(B35*D35+C35*E35)</f>
        <v>14602376.389090909</v>
      </c>
    </row>
    <row r="36" spans="1:6" ht="13.5" thickBot="1">
      <c r="A36" s="321" t="s">
        <v>257</v>
      </c>
      <c r="B36" s="322"/>
      <c r="C36" s="322"/>
      <c r="D36" s="322">
        <f>SUM(D33:D35)</f>
        <v>2643.14</v>
      </c>
      <c r="E36" s="324">
        <f>SUM(E33:E35)</f>
        <v>1491614</v>
      </c>
      <c r="F36" s="139">
        <f>SUM(F33:F35)</f>
        <v>466736747.43818176</v>
      </c>
    </row>
    <row r="37" spans="1:6" ht="13.5" thickBot="1">
      <c r="A37" s="1"/>
      <c r="B37" s="1"/>
      <c r="C37" s="1"/>
      <c r="D37" s="1"/>
      <c r="E37" s="1"/>
      <c r="F37" s="1"/>
    </row>
    <row r="38" spans="1:6" ht="16.5" thickBot="1">
      <c r="A38" s="96" t="s">
        <v>406</v>
      </c>
      <c r="B38" s="143"/>
      <c r="C38" s="143"/>
      <c r="D38" s="143"/>
      <c r="E38" s="97"/>
      <c r="F38" s="325">
        <f>F11+F19+F28+F36</f>
        <v>4283340133.6363635</v>
      </c>
    </row>
    <row r="39" spans="1:6" ht="12.75">
      <c r="A39" s="1"/>
      <c r="B39" s="1"/>
      <c r="C39" s="1"/>
      <c r="D39" s="1"/>
      <c r="E39" s="1"/>
      <c r="F39" s="1"/>
    </row>
    <row r="40" spans="1:6" ht="15.75">
      <c r="A40" s="7"/>
      <c r="B40" s="1"/>
      <c r="C40" s="1"/>
      <c r="D40" s="1"/>
      <c r="E40" s="1"/>
      <c r="F40" s="1"/>
    </row>
    <row r="41" spans="1:6" ht="15.75">
      <c r="A41" s="76" t="s">
        <v>407</v>
      </c>
      <c r="B41" s="1"/>
      <c r="C41" s="1"/>
      <c r="D41" s="1"/>
      <c r="E41" s="1"/>
      <c r="F41" s="1"/>
    </row>
    <row r="42" spans="1:6" ht="12.75">
      <c r="A42" s="3"/>
      <c r="B42" s="4"/>
      <c r="C42" s="4"/>
      <c r="D42" s="4"/>
      <c r="E42" s="4"/>
      <c r="F42" s="5"/>
    </row>
    <row r="43" spans="1:6" ht="13.5" thickBot="1">
      <c r="A43" s="81" t="s">
        <v>258</v>
      </c>
      <c r="B43" s="1"/>
      <c r="C43" s="1"/>
      <c r="D43" s="1"/>
      <c r="E43" s="1"/>
      <c r="F43" s="1"/>
    </row>
    <row r="44" spans="1:6" ht="12.75">
      <c r="A44" s="78" t="s">
        <v>254</v>
      </c>
      <c r="B44" s="315" t="s">
        <v>399</v>
      </c>
      <c r="C44" s="315"/>
      <c r="D44" s="315" t="s">
        <v>255</v>
      </c>
      <c r="E44" s="315"/>
      <c r="F44" s="316" t="s">
        <v>400</v>
      </c>
    </row>
    <row r="45" spans="1:6" ht="12.75">
      <c r="A45" s="317" t="s">
        <v>256</v>
      </c>
      <c r="B45" s="318" t="s">
        <v>404</v>
      </c>
      <c r="C45" s="318" t="s">
        <v>401</v>
      </c>
      <c r="D45" s="318" t="s">
        <v>2</v>
      </c>
      <c r="E45" s="318" t="s">
        <v>0</v>
      </c>
      <c r="F45" s="319"/>
    </row>
    <row r="46" spans="1:6" ht="12.75">
      <c r="A46" s="79">
        <v>1</v>
      </c>
      <c r="B46" s="320">
        <v>4753.636363636363</v>
      </c>
      <c r="C46" s="320">
        <v>307.27272727272725</v>
      </c>
      <c r="D46" s="2"/>
      <c r="E46" s="2"/>
      <c r="F46" s="80"/>
    </row>
    <row r="47" spans="1:6" ht="12.75">
      <c r="A47" s="79">
        <v>2</v>
      </c>
      <c r="B47" s="320">
        <v>4753.636363636363</v>
      </c>
      <c r="C47" s="320">
        <v>307.27272727272725</v>
      </c>
      <c r="D47" s="255">
        <v>894.152</v>
      </c>
      <c r="E47" s="2">
        <v>19847</v>
      </c>
      <c r="F47" s="80">
        <f>(B47*D47+C47*E47)</f>
        <v>10348915.28</v>
      </c>
    </row>
    <row r="48" spans="1:6" ht="13.5" thickBot="1">
      <c r="A48" s="79">
        <v>3</v>
      </c>
      <c r="B48" s="320">
        <v>3729.090909090909</v>
      </c>
      <c r="C48" s="320">
        <v>239.09090909090907</v>
      </c>
      <c r="D48" s="2"/>
      <c r="E48" s="2"/>
      <c r="F48" s="122"/>
    </row>
    <row r="49" spans="1:6" ht="13.5" thickBot="1">
      <c r="A49" s="321" t="s">
        <v>257</v>
      </c>
      <c r="B49" s="322"/>
      <c r="C49" s="322"/>
      <c r="D49" s="326"/>
      <c r="E49" s="324"/>
      <c r="F49" s="139">
        <f>F47</f>
        <v>10348915.28</v>
      </c>
    </row>
    <row r="50" spans="1:6" ht="13.5" thickBot="1">
      <c r="A50" s="1"/>
      <c r="B50" s="1"/>
      <c r="C50" s="1"/>
      <c r="D50" s="1"/>
      <c r="E50" s="1"/>
      <c r="F50" s="1"/>
    </row>
    <row r="51" spans="1:6" ht="16.5" thickBot="1">
      <c r="A51" s="96" t="s">
        <v>408</v>
      </c>
      <c r="B51" s="143"/>
      <c r="C51" s="143"/>
      <c r="D51" s="143"/>
      <c r="E51" s="97"/>
      <c r="F51" s="325">
        <f>F49</f>
        <v>10348915.28</v>
      </c>
    </row>
    <row r="52" spans="1:6" ht="15.75">
      <c r="A52" s="8"/>
      <c r="B52" s="4"/>
      <c r="C52" s="4"/>
      <c r="D52" s="4"/>
      <c r="E52" s="4"/>
      <c r="F52" s="327"/>
    </row>
    <row r="53" spans="1:6" ht="15.75">
      <c r="A53" s="8"/>
      <c r="B53" s="4"/>
      <c r="C53" s="4"/>
      <c r="D53" s="4"/>
      <c r="E53" s="4"/>
      <c r="F53" s="327"/>
    </row>
    <row r="54" spans="1:6" ht="15.75">
      <c r="A54" s="8"/>
      <c r="B54" s="4"/>
      <c r="C54" s="4"/>
      <c r="D54" s="4"/>
      <c r="E54" s="4"/>
      <c r="F54" s="327"/>
    </row>
    <row r="55" spans="1:6" ht="15.75">
      <c r="A55" s="76" t="s">
        <v>259</v>
      </c>
      <c r="B55" s="1"/>
      <c r="C55" s="1"/>
      <c r="D55" s="1"/>
      <c r="E55" s="1"/>
      <c r="F55" s="1"/>
    </row>
    <row r="56" spans="1:6" ht="13.5" thickBot="1">
      <c r="A56" s="9"/>
      <c r="B56" s="1"/>
      <c r="C56" s="1"/>
      <c r="D56" s="1"/>
      <c r="E56" s="1"/>
      <c r="F56" s="1"/>
    </row>
    <row r="57" spans="1:6" ht="16.5" thickBot="1">
      <c r="A57" s="144" t="s">
        <v>3</v>
      </c>
      <c r="B57" s="328"/>
      <c r="C57" s="328"/>
      <c r="D57" s="328"/>
      <c r="E57" s="328"/>
      <c r="F57" s="329">
        <f>F11+F19</f>
        <v>956796338.181818</v>
      </c>
    </row>
    <row r="58" spans="1:6" ht="16.5" thickBot="1">
      <c r="A58" s="330" t="s">
        <v>260</v>
      </c>
      <c r="B58" s="4"/>
      <c r="C58" s="4"/>
      <c r="D58" s="4"/>
      <c r="E58" s="4"/>
      <c r="F58" s="331">
        <f>F28+F49+F36</f>
        <v>3336892710.7345457</v>
      </c>
    </row>
    <row r="59" spans="1:6" ht="16.5" thickBot="1">
      <c r="A59" s="104" t="s">
        <v>261</v>
      </c>
      <c r="B59" s="143"/>
      <c r="C59" s="143"/>
      <c r="D59" s="143"/>
      <c r="E59" s="143"/>
      <c r="F59" s="329">
        <f>SUM(F57:F58)</f>
        <v>4293689048.9163637</v>
      </c>
    </row>
    <row r="60" spans="1:6" ht="15.75">
      <c r="A60" s="105"/>
      <c r="B60" s="4"/>
      <c r="C60" s="4"/>
      <c r="D60" s="4"/>
      <c r="E60" s="4"/>
      <c r="F60" s="91"/>
    </row>
    <row r="61" ht="12.75">
      <c r="A61" s="10" t="s">
        <v>262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&amp;RPríloha č.2b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F23" sqref="F23"/>
    </sheetView>
  </sheetViews>
  <sheetFormatPr defaultColWidth="9.00390625" defaultRowHeight="12.75"/>
  <cols>
    <col min="1" max="1" width="28.875" style="0" customWidth="1"/>
    <col min="2" max="2" width="12.625" style="0" customWidth="1"/>
    <col min="3" max="3" width="13.875" style="0" customWidth="1"/>
    <col min="4" max="4" width="11.125" style="0" customWidth="1"/>
    <col min="6" max="6" width="9.625" style="0" bestFit="1" customWidth="1"/>
  </cols>
  <sheetData>
    <row r="1" spans="1:7" ht="12.75">
      <c r="A1" s="46" t="s">
        <v>9</v>
      </c>
      <c r="B1" s="340" t="s">
        <v>45</v>
      </c>
      <c r="C1" s="340" t="s">
        <v>49</v>
      </c>
      <c r="D1" s="340" t="s">
        <v>409</v>
      </c>
      <c r="E1" s="340" t="s">
        <v>58</v>
      </c>
      <c r="F1" s="441" t="s">
        <v>358</v>
      </c>
      <c r="G1" s="74"/>
    </row>
    <row r="2" spans="1:7" ht="12.75">
      <c r="A2" s="341"/>
      <c r="B2" s="333" t="s">
        <v>10</v>
      </c>
      <c r="C2" s="333" t="s">
        <v>46</v>
      </c>
      <c r="D2" s="333" t="s">
        <v>46</v>
      </c>
      <c r="E2" s="333" t="s">
        <v>411</v>
      </c>
      <c r="F2" s="442" t="s">
        <v>409</v>
      </c>
      <c r="G2" s="74"/>
    </row>
    <row r="3" spans="1:7" ht="13.5" thickBot="1">
      <c r="A3" s="310" t="s">
        <v>11</v>
      </c>
      <c r="B3" s="311" t="s">
        <v>47</v>
      </c>
      <c r="C3" s="312" t="s">
        <v>48</v>
      </c>
      <c r="D3" s="312" t="s">
        <v>410</v>
      </c>
      <c r="E3" s="353" t="s">
        <v>412</v>
      </c>
      <c r="F3" s="443" t="s">
        <v>430</v>
      </c>
      <c r="G3" s="74"/>
    </row>
    <row r="4" spans="1:6" ht="13.5" thickTop="1">
      <c r="A4" s="348" t="s">
        <v>12</v>
      </c>
      <c r="B4" s="349">
        <v>523064</v>
      </c>
      <c r="C4" s="349">
        <v>233258</v>
      </c>
      <c r="D4" s="349">
        <v>233258</v>
      </c>
      <c r="E4" s="65">
        <f>C4-D4</f>
        <v>0</v>
      </c>
      <c r="F4" s="352">
        <f>D4/B4*100</f>
        <v>44.59454292400165</v>
      </c>
    </row>
    <row r="5" spans="1:6" ht="12.75">
      <c r="A5" s="231"/>
      <c r="B5" s="166"/>
      <c r="C5" s="166"/>
      <c r="D5" s="42"/>
      <c r="E5" s="2"/>
      <c r="F5" s="352"/>
    </row>
    <row r="6" spans="1:6" ht="12.75">
      <c r="A6" s="231" t="s">
        <v>13</v>
      </c>
      <c r="B6" s="166">
        <v>39984</v>
      </c>
      <c r="C6" s="166">
        <v>18602</v>
      </c>
      <c r="D6" s="166">
        <v>18602</v>
      </c>
      <c r="E6" s="2">
        <f aca="true" t="shared" si="0" ref="E6:E31">C6-D6</f>
        <v>0</v>
      </c>
      <c r="F6" s="352">
        <f>D6/B6*100</f>
        <v>46.52360944377751</v>
      </c>
    </row>
    <row r="7" spans="1:6" ht="12.75">
      <c r="A7" s="231"/>
      <c r="B7" s="166"/>
      <c r="C7" s="166"/>
      <c r="D7" s="42"/>
      <c r="E7" s="2"/>
      <c r="F7" s="352"/>
    </row>
    <row r="8" spans="1:6" ht="12.75">
      <c r="A8" s="231" t="s">
        <v>14</v>
      </c>
      <c r="B8" s="166">
        <v>344002</v>
      </c>
      <c r="C8" s="166">
        <v>173637</v>
      </c>
      <c r="D8" s="166">
        <v>173637</v>
      </c>
      <c r="E8" s="2">
        <f t="shared" si="0"/>
        <v>0</v>
      </c>
      <c r="F8" s="352">
        <f>D8/B8*100</f>
        <v>50.4755786303568</v>
      </c>
    </row>
    <row r="9" spans="1:6" ht="12.75">
      <c r="A9" s="231"/>
      <c r="B9" s="166"/>
      <c r="C9" s="166"/>
      <c r="D9" s="42"/>
      <c r="E9" s="2"/>
      <c r="F9" s="352"/>
    </row>
    <row r="10" spans="1:6" ht="12.75">
      <c r="A10" s="231" t="s">
        <v>15</v>
      </c>
      <c r="B10" s="166">
        <v>2293628</v>
      </c>
      <c r="C10" s="166">
        <v>1036214</v>
      </c>
      <c r="D10" s="166">
        <v>1036214</v>
      </c>
      <c r="E10" s="2">
        <f t="shared" si="0"/>
        <v>0</v>
      </c>
      <c r="F10" s="352">
        <f>D10/B10*100</f>
        <v>45.177945159371966</v>
      </c>
    </row>
    <row r="11" spans="1:6" ht="12.75">
      <c r="A11" s="231"/>
      <c r="B11" s="166"/>
      <c r="C11" s="166"/>
      <c r="D11" s="42"/>
      <c r="E11" s="2"/>
      <c r="F11" s="352"/>
    </row>
    <row r="12" spans="1:6" ht="12.75">
      <c r="A12" s="231" t="s">
        <v>16</v>
      </c>
      <c r="B12" s="166">
        <v>1616850</v>
      </c>
      <c r="C12" s="166">
        <v>891795</v>
      </c>
      <c r="D12" s="166">
        <f>891795-2673.976</f>
        <v>889121.024</v>
      </c>
      <c r="E12" s="2">
        <f t="shared" si="0"/>
        <v>2673.976000000024</v>
      </c>
      <c r="F12" s="352">
        <f>D12/B12*100</f>
        <v>54.990940656214235</v>
      </c>
    </row>
    <row r="13" spans="1:6" ht="12.75">
      <c r="A13" s="231"/>
      <c r="B13" s="166"/>
      <c r="C13" s="166"/>
      <c r="D13" s="42"/>
      <c r="E13" s="2"/>
      <c r="F13" s="352"/>
    </row>
    <row r="14" spans="1:6" ht="12.75">
      <c r="A14" s="231" t="s">
        <v>17</v>
      </c>
      <c r="B14" s="166"/>
      <c r="C14" s="166"/>
      <c r="D14" s="42"/>
      <c r="E14" s="2"/>
      <c r="F14" s="352"/>
    </row>
    <row r="15" spans="1:6" ht="12.75">
      <c r="A15" s="231" t="s">
        <v>263</v>
      </c>
      <c r="B15" s="166">
        <v>865845</v>
      </c>
      <c r="C15" s="166">
        <v>384426.476</v>
      </c>
      <c r="D15" s="166">
        <f>C15</f>
        <v>384426.476</v>
      </c>
      <c r="E15" s="2">
        <f t="shared" si="0"/>
        <v>0</v>
      </c>
      <c r="F15" s="352">
        <f>D15/B15*100</f>
        <v>44.39899473924317</v>
      </c>
    </row>
    <row r="16" spans="1:6" ht="12.75">
      <c r="A16" s="342" t="s">
        <v>18</v>
      </c>
      <c r="B16" s="166">
        <v>51732</v>
      </c>
      <c r="C16" s="166">
        <v>20879.2</v>
      </c>
      <c r="D16" s="166">
        <v>20879.2</v>
      </c>
      <c r="E16" s="2">
        <f t="shared" si="0"/>
        <v>0</v>
      </c>
      <c r="F16" s="352">
        <f>D16/B16*100</f>
        <v>40.360318564911466</v>
      </c>
    </row>
    <row r="17" spans="1:6" ht="12.75">
      <c r="A17" s="342" t="s">
        <v>19</v>
      </c>
      <c r="B17" s="166">
        <v>147019</v>
      </c>
      <c r="C17" s="166">
        <v>79133.775</v>
      </c>
      <c r="D17" s="166">
        <f>C17-628.378</f>
        <v>78505.397</v>
      </c>
      <c r="E17" s="2">
        <f t="shared" si="0"/>
        <v>628.377999999997</v>
      </c>
      <c r="F17" s="352">
        <f>D17/B17*100</f>
        <v>53.398130173651026</v>
      </c>
    </row>
    <row r="18" spans="1:6" ht="12.75">
      <c r="A18" s="342" t="s">
        <v>20</v>
      </c>
      <c r="B18" s="166">
        <v>781385</v>
      </c>
      <c r="C18" s="332">
        <f>13610.867+26.175+122.208+30.818+1+2566.964+53.42+294.02+348120.513</f>
        <v>364825.985</v>
      </c>
      <c r="D18" s="332">
        <f>13610.867+26.175+122.208+2566.964+348120.513</f>
        <v>364446.72699999996</v>
      </c>
      <c r="E18" s="2">
        <f t="shared" si="0"/>
        <v>379.25800000003073</v>
      </c>
      <c r="F18" s="352">
        <f>D18/B18*100</f>
        <v>46.64112147020994</v>
      </c>
    </row>
    <row r="19" spans="1:6" ht="12.75">
      <c r="A19" s="342"/>
      <c r="B19" s="166"/>
      <c r="C19" s="166"/>
      <c r="D19" s="334"/>
      <c r="E19" s="2"/>
      <c r="F19" s="352"/>
    </row>
    <row r="20" spans="1:6" ht="12.75">
      <c r="A20" s="231" t="s">
        <v>21</v>
      </c>
      <c r="B20" s="166"/>
      <c r="C20" s="166"/>
      <c r="D20" s="334"/>
      <c r="E20" s="2"/>
      <c r="F20" s="352"/>
    </row>
    <row r="21" spans="1:6" ht="12.75">
      <c r="A21" s="342" t="s">
        <v>22</v>
      </c>
      <c r="B21" s="166">
        <v>2400669</v>
      </c>
      <c r="C21" s="166">
        <v>1164958</v>
      </c>
      <c r="D21" s="166">
        <f>'Príloha 6'!Q48</f>
        <v>1141573.982</v>
      </c>
      <c r="E21" s="2">
        <f t="shared" si="0"/>
        <v>23384.017999999924</v>
      </c>
      <c r="F21" s="352">
        <f>D21/B21*100</f>
        <v>47.552327372078366</v>
      </c>
    </row>
    <row r="22" spans="1:6" ht="12.75">
      <c r="A22" s="342" t="s">
        <v>23</v>
      </c>
      <c r="B22" s="166">
        <v>0</v>
      </c>
      <c r="C22" s="166">
        <v>0</v>
      </c>
      <c r="D22" s="166">
        <v>0</v>
      </c>
      <c r="E22" s="2">
        <f t="shared" si="0"/>
        <v>0</v>
      </c>
      <c r="F22" s="352"/>
    </row>
    <row r="23" spans="1:6" ht="12.75">
      <c r="A23" s="342" t="s">
        <v>24</v>
      </c>
      <c r="B23" s="166">
        <v>1270600</v>
      </c>
      <c r="C23" s="166">
        <v>837014</v>
      </c>
      <c r="D23" s="166">
        <f>'Príloha 6'!L47</f>
        <v>670252.9840000002</v>
      </c>
      <c r="E23" s="2">
        <f t="shared" si="0"/>
        <v>166761.01599999983</v>
      </c>
      <c r="F23" s="352">
        <f>D23/B23*100</f>
        <v>52.7509038249646</v>
      </c>
    </row>
    <row r="24" spans="1:6" ht="12.75">
      <c r="A24" s="342"/>
      <c r="B24" s="166"/>
      <c r="C24" s="166"/>
      <c r="D24" s="334"/>
      <c r="E24" s="2"/>
      <c r="F24" s="352"/>
    </row>
    <row r="25" spans="1:6" ht="12.75">
      <c r="A25" s="231" t="s">
        <v>25</v>
      </c>
      <c r="B25" s="332">
        <v>349741</v>
      </c>
      <c r="C25" s="332">
        <v>277545</v>
      </c>
      <c r="D25" s="332">
        <v>277545</v>
      </c>
      <c r="E25" s="2">
        <f t="shared" si="0"/>
        <v>0</v>
      </c>
      <c r="F25" s="352">
        <f>D25/B25*100</f>
        <v>79.35729582748377</v>
      </c>
    </row>
    <row r="26" spans="1:6" ht="12.75">
      <c r="A26" s="231"/>
      <c r="B26" s="332"/>
      <c r="C26" s="332"/>
      <c r="D26" s="335"/>
      <c r="E26" s="2"/>
      <c r="F26" s="352"/>
    </row>
    <row r="27" spans="1:6" ht="12.75">
      <c r="A27" s="343" t="s">
        <v>26</v>
      </c>
      <c r="B27" s="336">
        <f>SUM(B4:B25)</f>
        <v>10684519</v>
      </c>
      <c r="C27" s="336">
        <f>SUM(C4:C26)</f>
        <v>5482288.436</v>
      </c>
      <c r="D27" s="336">
        <f>SUM(D4:D26)</f>
        <v>5288461.79</v>
      </c>
      <c r="E27" s="350">
        <f t="shared" si="0"/>
        <v>193826.64599999972</v>
      </c>
      <c r="F27" s="403">
        <f>D27/B27*100</f>
        <v>49.4964891727929</v>
      </c>
    </row>
    <row r="28" spans="1:6" ht="12.75">
      <c r="A28" s="231"/>
      <c r="B28" s="332"/>
      <c r="C28" s="332"/>
      <c r="D28" s="335"/>
      <c r="E28" s="2"/>
      <c r="F28" s="403"/>
    </row>
    <row r="29" spans="1:6" ht="12.75">
      <c r="A29" s="231" t="s">
        <v>27</v>
      </c>
      <c r="B29" s="332">
        <v>0</v>
      </c>
      <c r="C29" s="332">
        <v>0</v>
      </c>
      <c r="D29" s="335"/>
      <c r="E29" s="2">
        <f t="shared" si="0"/>
        <v>0</v>
      </c>
      <c r="F29" s="403"/>
    </row>
    <row r="30" spans="1:6" ht="13.5" thickBot="1">
      <c r="A30" s="344"/>
      <c r="B30" s="337"/>
      <c r="C30" s="337"/>
      <c r="D30" s="338"/>
      <c r="E30" s="339"/>
      <c r="F30" s="405"/>
    </row>
    <row r="31" spans="1:6" ht="14.25" thickBot="1" thickTop="1">
      <c r="A31" s="345" t="s">
        <v>413</v>
      </c>
      <c r="B31" s="346">
        <f>B27+B29</f>
        <v>10684519</v>
      </c>
      <c r="C31" s="347">
        <f>C27+C29</f>
        <v>5482288.436</v>
      </c>
      <c r="D31" s="347">
        <f>D27+D29</f>
        <v>5288461.79</v>
      </c>
      <c r="E31" s="351">
        <f t="shared" si="0"/>
        <v>193826.64599999972</v>
      </c>
      <c r="F31" s="404">
        <f>D31/B31*100</f>
        <v>49.4964891727929</v>
      </c>
    </row>
    <row r="33" ht="12.75">
      <c r="A33" t="s">
        <v>326</v>
      </c>
    </row>
    <row r="34" ht="12.75">
      <c r="A34" t="s">
        <v>327</v>
      </c>
    </row>
    <row r="35" ht="12.75">
      <c r="A35" t="s">
        <v>328</v>
      </c>
    </row>
    <row r="36" ht="12.75">
      <c r="A36" t="s">
        <v>329</v>
      </c>
    </row>
  </sheetData>
  <printOptions/>
  <pageMargins left="0.7480314960629921" right="0.1968503937007874" top="1.7716535433070868" bottom="0.984251968503937" header="1.3385826771653544" footer="0.5118110236220472"/>
  <pageSetup horizontalDpi="600" verticalDpi="600" orientation="portrait" paperSize="9" r:id="rId1"/>
  <headerFooter alignWithMargins="0">
    <oddHeader>&amp;CRozsah nákladov na výkony zo zmluvy verejnom záujme
za 1. polrok 2002&amp;R
Príloha č.3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G31"/>
  <sheetViews>
    <sheetView workbookViewId="0" topLeftCell="A11">
      <selection activeCell="E21" sqref="E21"/>
    </sheetView>
  </sheetViews>
  <sheetFormatPr defaultColWidth="9.00390625" defaultRowHeight="12.75"/>
  <cols>
    <col min="1" max="1" width="1.12109375" style="0" customWidth="1"/>
    <col min="2" max="2" width="49.875" style="0" customWidth="1"/>
    <col min="3" max="3" width="10.25390625" style="0" customWidth="1"/>
    <col min="4" max="4" width="13.625" style="0" customWidth="1"/>
    <col min="5" max="5" width="15.125" style="0" customWidth="1"/>
    <col min="6" max="6" width="14.25390625" style="0" customWidth="1"/>
  </cols>
  <sheetData>
    <row r="1" spans="2:7" ht="14.25">
      <c r="B1" s="38" t="s">
        <v>28</v>
      </c>
      <c r="C1" s="232" t="s">
        <v>29</v>
      </c>
      <c r="D1" s="233" t="s">
        <v>30</v>
      </c>
      <c r="E1" s="234" t="s">
        <v>44</v>
      </c>
      <c r="F1" s="235" t="s">
        <v>361</v>
      </c>
      <c r="G1" t="s">
        <v>276</v>
      </c>
    </row>
    <row r="2" spans="2:6" ht="15" thickBot="1">
      <c r="B2" s="226"/>
      <c r="C2" s="236"/>
      <c r="D2" s="237">
        <v>2002</v>
      </c>
      <c r="E2" s="238" t="s">
        <v>360</v>
      </c>
      <c r="F2" s="239" t="s">
        <v>362</v>
      </c>
    </row>
    <row r="3" spans="2:6" ht="14.25">
      <c r="B3" s="227" t="s">
        <v>31</v>
      </c>
      <c r="C3" s="225" t="s">
        <v>32</v>
      </c>
      <c r="D3" s="241">
        <v>3669</v>
      </c>
      <c r="E3" s="225">
        <v>3669</v>
      </c>
      <c r="F3" s="209">
        <f>E3/D3*100</f>
        <v>100</v>
      </c>
    </row>
    <row r="4" spans="2:6" ht="14.25">
      <c r="B4" s="228" t="s">
        <v>33</v>
      </c>
      <c r="C4" s="214" t="s">
        <v>34</v>
      </c>
      <c r="D4" s="210">
        <f>'Príloha 1'!B6/1000</f>
        <v>35301.013912</v>
      </c>
      <c r="E4" s="212">
        <f>'Príloha 1'!G6/1000</f>
        <v>17803.777</v>
      </c>
      <c r="F4" s="179">
        <f aca="true" t="shared" si="0" ref="F4:F25">E4/D4*100</f>
        <v>50.43418028836813</v>
      </c>
    </row>
    <row r="5" spans="2:6" ht="14.25">
      <c r="B5" s="228" t="s">
        <v>35</v>
      </c>
      <c r="C5" s="214" t="s">
        <v>34</v>
      </c>
      <c r="D5" s="210">
        <f>'Príloha 1'!B7/1000</f>
        <v>20141.986087999998</v>
      </c>
      <c r="E5" s="212">
        <f>'Príloha 1'!G7/1000</f>
        <v>10560.741</v>
      </c>
      <c r="F5" s="179">
        <f t="shared" si="0"/>
        <v>52.43147797769445</v>
      </c>
    </row>
    <row r="6" spans="2:6" ht="14.25">
      <c r="B6" s="228" t="s">
        <v>33</v>
      </c>
      <c r="C6" s="214" t="s">
        <v>36</v>
      </c>
      <c r="D6" s="210">
        <f>'Príloha 1'!C6/1000</f>
        <v>8000</v>
      </c>
      <c r="E6" s="212">
        <f>'Príloha 1'!H6/1000</f>
        <v>5230.456</v>
      </c>
      <c r="F6" s="179">
        <f t="shared" si="0"/>
        <v>65.3807</v>
      </c>
    </row>
    <row r="7" spans="2:6" ht="14.25">
      <c r="B7" s="228" t="s">
        <v>50</v>
      </c>
      <c r="C7" s="214" t="s">
        <v>37</v>
      </c>
      <c r="D7" s="210">
        <f>'Príloha 1'!D18/1000</f>
        <v>1.091</v>
      </c>
      <c r="E7" s="212">
        <f>'Príloha 1'!I18/1000</f>
        <v>0.8941520000000001</v>
      </c>
      <c r="F7" s="179">
        <f t="shared" si="0"/>
        <v>81.95710357470212</v>
      </c>
    </row>
    <row r="8" spans="2:6" ht="14.25">
      <c r="B8" s="228" t="s">
        <v>352</v>
      </c>
      <c r="C8" s="214" t="s">
        <v>37</v>
      </c>
      <c r="D8" s="210">
        <f>'Príloha 1'!D28/1000</f>
        <v>112.866</v>
      </c>
      <c r="E8" s="212">
        <f>'Príloha 1'!I28/1000</f>
        <v>28.217</v>
      </c>
      <c r="F8" s="179">
        <f t="shared" si="0"/>
        <v>25.00044300320734</v>
      </c>
    </row>
    <row r="9" spans="2:6" ht="14.25">
      <c r="B9" s="39"/>
      <c r="C9" s="216"/>
      <c r="D9" s="217"/>
      <c r="E9" s="218"/>
      <c r="F9" s="229"/>
    </row>
    <row r="10" spans="2:7" ht="15">
      <c r="B10" s="230" t="s">
        <v>353</v>
      </c>
      <c r="C10" s="215" t="s">
        <v>38</v>
      </c>
      <c r="D10" s="63">
        <f>'[1]Príloha č.4'!B34/1000</f>
        <v>10684.519</v>
      </c>
      <c r="E10" s="240">
        <f>'Príloha 3'!C31/1000</f>
        <v>5482.288436</v>
      </c>
      <c r="F10" s="179">
        <f t="shared" si="0"/>
        <v>51.31057781824339</v>
      </c>
      <c r="G10" s="1"/>
    </row>
    <row r="11" spans="2:6" ht="15">
      <c r="B11" s="407" t="s">
        <v>424</v>
      </c>
      <c r="C11" s="214"/>
      <c r="D11" s="408"/>
      <c r="E11" s="240">
        <f>'Príloha 3'!D27/1000</f>
        <v>5288.46179</v>
      </c>
      <c r="F11" s="182"/>
    </row>
    <row r="12" spans="2:6" s="41" customFormat="1" ht="15">
      <c r="B12" s="407" t="s">
        <v>426</v>
      </c>
      <c r="C12" s="215"/>
      <c r="D12" s="409"/>
      <c r="E12" s="240">
        <f>'Príloha 3'!E27/1000</f>
        <v>193.82664599999973</v>
      </c>
      <c r="F12" s="410"/>
    </row>
    <row r="13" spans="2:6" ht="14.25">
      <c r="B13" s="228" t="s">
        <v>39</v>
      </c>
      <c r="C13" s="214" t="s">
        <v>38</v>
      </c>
      <c r="D13" s="64">
        <f>('[1]Príloha č.3'!G9+'[1]Príloha č.3'!G18+'[1]Príloha č.3'!G29)/1000</f>
        <v>8290.583143305585</v>
      </c>
      <c r="E13" s="213">
        <f>'Príloha 2a'!C36/1000000</f>
        <v>4126.479786</v>
      </c>
      <c r="F13" s="179">
        <f t="shared" si="0"/>
        <v>49.77309454199271</v>
      </c>
    </row>
    <row r="14" spans="2:6" ht="14.25">
      <c r="B14" s="228" t="s">
        <v>40</v>
      </c>
      <c r="C14" s="214" t="s">
        <v>38</v>
      </c>
      <c r="D14" s="64">
        <f>'[1]Príloha č.3'!G44/1000</f>
        <v>18.399</v>
      </c>
      <c r="E14" s="213">
        <f>'Príloha 2a'!C49/1000000</f>
        <v>11.569196</v>
      </c>
      <c r="F14" s="179">
        <f t="shared" si="0"/>
        <v>62.87948258057503</v>
      </c>
    </row>
    <row r="15" spans="2:6" ht="14.25">
      <c r="B15" s="228" t="s">
        <v>354</v>
      </c>
      <c r="C15" s="214" t="s">
        <v>38</v>
      </c>
      <c r="D15" s="64">
        <v>50</v>
      </c>
      <c r="E15" s="213">
        <v>357.566</v>
      </c>
      <c r="F15" s="179">
        <f t="shared" si="0"/>
        <v>715.132</v>
      </c>
    </row>
    <row r="16" spans="2:6" ht="14.25">
      <c r="B16" s="39"/>
      <c r="C16" s="216"/>
      <c r="D16" s="220"/>
      <c r="E16" s="219"/>
      <c r="F16" s="229"/>
    </row>
    <row r="17" spans="2:6" ht="15">
      <c r="B17" s="230" t="s">
        <v>355</v>
      </c>
      <c r="C17" s="215" t="s">
        <v>38</v>
      </c>
      <c r="D17" s="63">
        <f>SUM(D13:D16)</f>
        <v>8358.982143305584</v>
      </c>
      <c r="E17" s="240">
        <f>E13+E14+E15</f>
        <v>4495.614982</v>
      </c>
      <c r="F17" s="179">
        <f t="shared" si="0"/>
        <v>53.781846939347524</v>
      </c>
    </row>
    <row r="18" spans="2:6" ht="12.75">
      <c r="B18" s="231" t="s">
        <v>359</v>
      </c>
      <c r="C18" s="223" t="s">
        <v>358</v>
      </c>
      <c r="D18" s="224">
        <f>D17/D10*100</f>
        <v>78.23451990029298</v>
      </c>
      <c r="E18" s="224">
        <f>E17/E10*100</f>
        <v>82.0025256693736</v>
      </c>
      <c r="F18" s="179"/>
    </row>
    <row r="19" spans="2:6" ht="14.25">
      <c r="B19" s="39"/>
      <c r="C19" s="216"/>
      <c r="D19" s="220"/>
      <c r="E19" s="219"/>
      <c r="F19" s="229"/>
    </row>
    <row r="20" spans="2:6" ht="15">
      <c r="B20" s="230" t="s">
        <v>356</v>
      </c>
      <c r="C20" s="215" t="s">
        <v>38</v>
      </c>
      <c r="D20" s="63">
        <f>D10-D17</f>
        <v>2325.536856694416</v>
      </c>
      <c r="E20" s="240">
        <f>E10-E17</f>
        <v>986.6734539999998</v>
      </c>
      <c r="F20" s="179">
        <f t="shared" si="0"/>
        <v>42.42777108260866</v>
      </c>
    </row>
    <row r="21" spans="2:6" ht="15">
      <c r="B21" s="230" t="s">
        <v>425</v>
      </c>
      <c r="C21" s="221"/>
      <c r="D21" s="222"/>
      <c r="E21" s="406">
        <f>E20-E12</f>
        <v>792.846808</v>
      </c>
      <c r="F21" s="229"/>
    </row>
    <row r="22" spans="2:6" ht="14.25">
      <c r="B22" s="39"/>
      <c r="C22" s="216"/>
      <c r="D22" s="220"/>
      <c r="E22" s="219"/>
      <c r="F22" s="229"/>
    </row>
    <row r="23" spans="2:6" ht="15">
      <c r="B23" s="230" t="s">
        <v>41</v>
      </c>
      <c r="C23" s="215" t="s">
        <v>38</v>
      </c>
      <c r="D23" s="63">
        <v>805.3</v>
      </c>
      <c r="E23" s="240">
        <f>185+217.6335</f>
        <v>402.6335</v>
      </c>
      <c r="F23" s="179">
        <f t="shared" si="0"/>
        <v>49.997951074133866</v>
      </c>
    </row>
    <row r="24" spans="2:6" ht="12.75">
      <c r="B24" s="231" t="s">
        <v>357</v>
      </c>
      <c r="C24" s="223" t="s">
        <v>358</v>
      </c>
      <c r="D24" s="224">
        <f>D23/D20*100</f>
        <v>34.62856319313193</v>
      </c>
      <c r="E24" s="224">
        <f>E23/E20*100</f>
        <v>40.807168609605675</v>
      </c>
      <c r="F24" s="179"/>
    </row>
    <row r="25" spans="2:6" ht="15">
      <c r="B25" s="230" t="s">
        <v>429</v>
      </c>
      <c r="C25" s="215" t="s">
        <v>38</v>
      </c>
      <c r="D25" s="63">
        <f>D20-D23</f>
        <v>1520.2368566944162</v>
      </c>
      <c r="E25" s="240">
        <f>E20-E23</f>
        <v>584.0399539999997</v>
      </c>
      <c r="F25" s="179">
        <f t="shared" si="0"/>
        <v>38.41769467883635</v>
      </c>
    </row>
    <row r="26" spans="2:6" ht="15">
      <c r="B26" s="230" t="s">
        <v>427</v>
      </c>
      <c r="C26" s="215" t="s">
        <v>38</v>
      </c>
      <c r="D26" s="63">
        <v>1520.2</v>
      </c>
      <c r="E26" s="240">
        <f>E21-E23</f>
        <v>390.213308</v>
      </c>
      <c r="F26" s="179">
        <f>E26/D26*100</f>
        <v>25.66855071701092</v>
      </c>
    </row>
    <row r="27" spans="5:6" ht="12.75">
      <c r="E27" s="92"/>
      <c r="F27" s="92"/>
    </row>
    <row r="28" ht="12.75">
      <c r="B28" s="157" t="s">
        <v>348</v>
      </c>
    </row>
    <row r="29" ht="12.75">
      <c r="B29" s="157" t="s">
        <v>349</v>
      </c>
    </row>
    <row r="30" ht="12.75">
      <c r="B30" s="157" t="s">
        <v>350</v>
      </c>
    </row>
    <row r="31" ht="12.75">
      <c r="B31" s="157" t="s">
        <v>329</v>
      </c>
    </row>
  </sheetData>
  <printOptions/>
  <pageMargins left="1.25" right="0.75" top="1.56" bottom="0.44" header="0.84" footer="0.25"/>
  <pageSetup horizontalDpi="600" verticalDpi="600" orientation="landscape" paperSize="9" r:id="rId1"/>
  <headerFooter alignWithMargins="0">
    <oddHeader>&amp;CKvantifikácia úhrady straty zo zmluvy vo verejnom záujme 
1. polrok 2002&amp;R
Príloha č.4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38"/>
  <sheetViews>
    <sheetView workbookViewId="0" topLeftCell="A1">
      <selection activeCell="A12" sqref="A12"/>
    </sheetView>
  </sheetViews>
  <sheetFormatPr defaultColWidth="9.00390625" defaultRowHeight="12.75"/>
  <cols>
    <col min="1" max="1" width="26.00390625" style="0" customWidth="1"/>
    <col min="2" max="2" width="12.75390625" style="0" customWidth="1"/>
    <col min="3" max="3" width="29.875" style="0" customWidth="1"/>
    <col min="4" max="4" width="12.625" style="0" customWidth="1"/>
    <col min="5" max="5" width="0" style="0" hidden="1" customWidth="1"/>
    <col min="6" max="6" width="6.625" style="0" hidden="1" customWidth="1"/>
  </cols>
  <sheetData>
    <row r="2" spans="1:4" ht="15.75">
      <c r="A2" s="450" t="s">
        <v>264</v>
      </c>
      <c r="B2" s="450"/>
      <c r="C2" s="450"/>
      <c r="D2" s="450"/>
    </row>
    <row r="3" ht="13.5" thickBot="1"/>
    <row r="4" spans="1:6" ht="12.75">
      <c r="A4" s="107" t="s">
        <v>265</v>
      </c>
      <c r="B4" s="108" t="s">
        <v>266</v>
      </c>
      <c r="C4" s="109" t="s">
        <v>347</v>
      </c>
      <c r="D4" s="110" t="s">
        <v>58</v>
      </c>
      <c r="E4" s="58"/>
      <c r="F4" s="58"/>
    </row>
    <row r="5" spans="1:4" ht="13.5" thickBot="1">
      <c r="A5" s="111"/>
      <c r="B5" s="112"/>
      <c r="C5" s="113" t="s">
        <v>351</v>
      </c>
      <c r="D5" s="114"/>
    </row>
    <row r="6" spans="1:4" ht="12.75">
      <c r="A6" s="115" t="s">
        <v>267</v>
      </c>
      <c r="B6" s="116">
        <v>0</v>
      </c>
      <c r="C6" s="65">
        <v>0</v>
      </c>
      <c r="D6" s="117">
        <f>B6-C6</f>
        <v>0</v>
      </c>
    </row>
    <row r="7" spans="1:4" ht="12.75">
      <c r="A7" s="118" t="s">
        <v>268</v>
      </c>
      <c r="B7" s="119">
        <v>1028333</v>
      </c>
      <c r="C7" s="2">
        <f>847990-8790</f>
        <v>839200</v>
      </c>
      <c r="D7" s="80">
        <f aca="true" t="shared" si="0" ref="D7:D12">B7-C7</f>
        <v>189133</v>
      </c>
    </row>
    <row r="8" spans="1:4" ht="12.75">
      <c r="A8" s="118" t="s">
        <v>269</v>
      </c>
      <c r="B8" s="119">
        <v>398601</v>
      </c>
      <c r="C8" s="2">
        <v>386046</v>
      </c>
      <c r="D8" s="80">
        <f t="shared" si="0"/>
        <v>12555</v>
      </c>
    </row>
    <row r="9" spans="1:4" ht="12.75">
      <c r="A9" s="118" t="s">
        <v>270</v>
      </c>
      <c r="B9" s="119">
        <v>81796</v>
      </c>
      <c r="C9" s="2">
        <v>5939</v>
      </c>
      <c r="D9" s="80">
        <f t="shared" si="0"/>
        <v>75857</v>
      </c>
    </row>
    <row r="10" spans="1:4" ht="12.75">
      <c r="A10" s="118" t="s">
        <v>271</v>
      </c>
      <c r="B10" s="119">
        <v>0</v>
      </c>
      <c r="C10" s="2"/>
      <c r="D10" s="80">
        <f t="shared" si="0"/>
        <v>0</v>
      </c>
    </row>
    <row r="11" spans="1:4" ht="13.5" thickBot="1">
      <c r="A11" s="120"/>
      <c r="B11" s="121"/>
      <c r="C11" s="88"/>
      <c r="D11" s="122">
        <f t="shared" si="0"/>
        <v>0</v>
      </c>
    </row>
    <row r="12" spans="1:4" ht="13.5" thickBot="1">
      <c r="A12" s="123" t="s">
        <v>261</v>
      </c>
      <c r="B12" s="124">
        <f>B6+B7+B8+B9+B10</f>
        <v>1508730</v>
      </c>
      <c r="C12" s="90">
        <f>C6+C7+C8+C9+C10</f>
        <v>1231185</v>
      </c>
      <c r="D12" s="125">
        <f t="shared" si="0"/>
        <v>277545</v>
      </c>
    </row>
    <row r="15" spans="1:4" ht="15.75">
      <c r="A15" s="450" t="s">
        <v>272</v>
      </c>
      <c r="B15" s="450"/>
      <c r="C15" s="450"/>
      <c r="D15" s="450"/>
    </row>
    <row r="16" ht="13.5" thickBot="1"/>
    <row r="17" spans="1:6" ht="12.75">
      <c r="A17" s="107" t="s">
        <v>265</v>
      </c>
      <c r="B17" s="108" t="s">
        <v>266</v>
      </c>
      <c r="C17" s="109" t="s">
        <v>347</v>
      </c>
      <c r="D17" s="110" t="s">
        <v>58</v>
      </c>
      <c r="E17" s="126" t="s">
        <v>273</v>
      </c>
      <c r="F17" s="107" t="s">
        <v>58</v>
      </c>
    </row>
    <row r="18" spans="1:6" ht="13.5" thickBot="1">
      <c r="A18" s="111"/>
      <c r="B18" s="112"/>
      <c r="C18" s="113" t="s">
        <v>351</v>
      </c>
      <c r="D18" s="114"/>
      <c r="E18" s="127"/>
      <c r="F18" s="128"/>
    </row>
    <row r="19" spans="1:6" ht="12.75">
      <c r="A19" s="129" t="s">
        <v>335</v>
      </c>
      <c r="B19" s="116">
        <f>7737+4166</f>
        <v>11903</v>
      </c>
      <c r="C19" s="65"/>
      <c r="D19" s="117">
        <f aca="true" t="shared" si="1" ref="D19:D25">B19-C19</f>
        <v>11903</v>
      </c>
      <c r="E19" s="130"/>
      <c r="F19" s="131">
        <f>D19-E19</f>
        <v>11903</v>
      </c>
    </row>
    <row r="20" spans="1:6" ht="12.75">
      <c r="A20" s="129" t="s">
        <v>336</v>
      </c>
      <c r="B20" s="116">
        <f>61+33</f>
        <v>94</v>
      </c>
      <c r="C20" s="65"/>
      <c r="D20" s="117">
        <f t="shared" si="1"/>
        <v>94</v>
      </c>
      <c r="E20" s="132"/>
      <c r="F20" s="133">
        <f aca="true" t="shared" si="2" ref="F20:F33">D20-E20</f>
        <v>94</v>
      </c>
    </row>
    <row r="21" spans="1:6" ht="12.75">
      <c r="A21" s="129" t="s">
        <v>337</v>
      </c>
      <c r="B21" s="116">
        <f>3040+1637</f>
        <v>4677</v>
      </c>
      <c r="C21" s="65"/>
      <c r="D21" s="117">
        <f t="shared" si="1"/>
        <v>4677</v>
      </c>
      <c r="E21" s="132"/>
      <c r="F21" s="133">
        <f t="shared" si="2"/>
        <v>4677</v>
      </c>
    </row>
    <row r="22" spans="1:6" ht="12.75">
      <c r="A22" s="134" t="s">
        <v>338</v>
      </c>
      <c r="B22" s="119">
        <f>20931+11270</f>
        <v>32201</v>
      </c>
      <c r="C22" s="2"/>
      <c r="D22" s="80">
        <f t="shared" si="1"/>
        <v>32201</v>
      </c>
      <c r="E22" s="132">
        <v>32201</v>
      </c>
      <c r="F22" s="133">
        <f t="shared" si="2"/>
        <v>0</v>
      </c>
    </row>
    <row r="23" spans="1:6" ht="12.75">
      <c r="A23" s="134" t="s">
        <v>339</v>
      </c>
      <c r="B23" s="119">
        <v>87</v>
      </c>
      <c r="C23" s="2"/>
      <c r="D23" s="80">
        <f t="shared" si="1"/>
        <v>87</v>
      </c>
      <c r="E23" s="132"/>
      <c r="F23" s="133">
        <f t="shared" si="2"/>
        <v>87</v>
      </c>
    </row>
    <row r="24" spans="1:6" ht="12.75">
      <c r="A24" s="134" t="s">
        <v>340</v>
      </c>
      <c r="B24" s="119">
        <f>10356-226</f>
        <v>10130</v>
      </c>
      <c r="C24" s="2"/>
      <c r="D24" s="80">
        <f t="shared" si="1"/>
        <v>10130</v>
      </c>
      <c r="E24" s="132"/>
      <c r="F24" s="133">
        <f t="shared" si="2"/>
        <v>10130</v>
      </c>
    </row>
    <row r="25" spans="1:7" ht="12.75">
      <c r="A25" s="134" t="s">
        <v>341</v>
      </c>
      <c r="B25" s="119">
        <f>164619-1869</f>
        <v>162750</v>
      </c>
      <c r="C25" s="2"/>
      <c r="D25" s="80">
        <f t="shared" si="1"/>
        <v>162750</v>
      </c>
      <c r="E25" s="132"/>
      <c r="F25" s="133">
        <f t="shared" si="2"/>
        <v>162750</v>
      </c>
      <c r="G25" s="1"/>
    </row>
    <row r="26" spans="1:7" ht="12.75">
      <c r="A26" s="134" t="s">
        <v>342</v>
      </c>
      <c r="B26" s="119">
        <f>8109-405</f>
        <v>7704</v>
      </c>
      <c r="C26" s="2"/>
      <c r="D26" s="80">
        <f>5007+2696</f>
        <v>7703</v>
      </c>
      <c r="E26" s="132">
        <v>7703</v>
      </c>
      <c r="F26" s="133">
        <f t="shared" si="2"/>
        <v>0</v>
      </c>
      <c r="G26" s="1"/>
    </row>
    <row r="27" spans="1:6" ht="12.75">
      <c r="A27" s="133" t="s">
        <v>274</v>
      </c>
      <c r="B27" s="119">
        <f>B28+B29+B30+B31</f>
        <v>497570</v>
      </c>
      <c r="C27" s="2">
        <f>C28+C29+C30+C31</f>
        <v>369549</v>
      </c>
      <c r="D27" s="80">
        <f>D28+D29+D30+D31</f>
        <v>128021</v>
      </c>
      <c r="E27" s="132"/>
      <c r="F27" s="133">
        <f t="shared" si="2"/>
        <v>128021</v>
      </c>
    </row>
    <row r="28" spans="1:6" ht="12.75">
      <c r="A28" s="133" t="s">
        <v>343</v>
      </c>
      <c r="B28" s="119">
        <v>57772</v>
      </c>
      <c r="C28" s="2"/>
      <c r="D28" s="80">
        <f>B28-C28</f>
        <v>57772</v>
      </c>
      <c r="E28" s="132"/>
      <c r="F28" s="133">
        <f t="shared" si="2"/>
        <v>57772</v>
      </c>
    </row>
    <row r="29" spans="1:6" ht="12.75">
      <c r="A29" s="136" t="s">
        <v>344</v>
      </c>
      <c r="B29" s="119">
        <v>10588</v>
      </c>
      <c r="C29" s="2"/>
      <c r="D29" s="80">
        <f>B29-C29</f>
        <v>10588</v>
      </c>
      <c r="E29" s="132"/>
      <c r="F29" s="133">
        <f t="shared" si="2"/>
        <v>10588</v>
      </c>
    </row>
    <row r="30" spans="1:6" ht="12.75">
      <c r="A30" s="136" t="s">
        <v>345</v>
      </c>
      <c r="B30" s="119">
        <v>41</v>
      </c>
      <c r="C30" s="2"/>
      <c r="D30" s="80">
        <f>B30-C30</f>
        <v>41</v>
      </c>
      <c r="E30" s="132"/>
      <c r="F30" s="133">
        <f t="shared" si="2"/>
        <v>41</v>
      </c>
    </row>
    <row r="31" spans="1:6" ht="12.75">
      <c r="A31" s="136" t="s">
        <v>346</v>
      </c>
      <c r="B31" s="119">
        <v>429169</v>
      </c>
      <c r="C31" s="2">
        <v>369549</v>
      </c>
      <c r="D31" s="80">
        <f>B31-C31</f>
        <v>59620</v>
      </c>
      <c r="E31" s="132"/>
      <c r="F31" s="133">
        <f t="shared" si="2"/>
        <v>59620</v>
      </c>
    </row>
    <row r="32" spans="1:6" ht="13.5" thickBot="1">
      <c r="A32" s="137"/>
      <c r="B32" s="121"/>
      <c r="C32" s="88"/>
      <c r="D32" s="122"/>
      <c r="E32" s="138"/>
      <c r="F32" s="137">
        <f t="shared" si="2"/>
        <v>0</v>
      </c>
    </row>
    <row r="33" spans="1:6" ht="13.5" thickBot="1">
      <c r="A33" s="139" t="s">
        <v>261</v>
      </c>
      <c r="B33" s="124">
        <f>B19+B22+B23+B24+B25+B27</f>
        <v>714641</v>
      </c>
      <c r="C33" s="90">
        <f>C19+C22+C23+C24+C25+C27</f>
        <v>369549</v>
      </c>
      <c r="D33" s="125">
        <f>D19+D20+D21+D22+D23+D24+D25+D26+D27</f>
        <v>357566</v>
      </c>
      <c r="E33" s="140">
        <f>E19+E20+E21+E22+E23+E24+E25+E26+E27</f>
        <v>39904</v>
      </c>
      <c r="F33" s="139">
        <f t="shared" si="2"/>
        <v>317662</v>
      </c>
    </row>
    <row r="35" spans="1:7" ht="12.75">
      <c r="A35" t="s">
        <v>348</v>
      </c>
      <c r="G35" s="1"/>
    </row>
    <row r="36" ht="12.75">
      <c r="A36" t="s">
        <v>349</v>
      </c>
    </row>
    <row r="37" ht="12.75">
      <c r="A37" t="s">
        <v>350</v>
      </c>
    </row>
    <row r="38" ht="12.75">
      <c r="A38" t="s">
        <v>329</v>
      </c>
    </row>
  </sheetData>
  <mergeCells count="2">
    <mergeCell ref="A2:D2"/>
    <mergeCell ref="A15:D15"/>
  </mergeCells>
  <printOptions/>
  <pageMargins left="0.92" right="0.75" top="1.33" bottom="1" header="0.4921259845" footer="0.4921259845"/>
  <pageSetup horizontalDpi="600" verticalDpi="600" orientation="portrait" paperSize="9" r:id="rId1"/>
  <headerFooter alignWithMargins="0">
    <oddHeader>&amp;R
Príloha č.5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45">
      <selection activeCell="Q53" sqref="Q53"/>
    </sheetView>
  </sheetViews>
  <sheetFormatPr defaultColWidth="9.00390625" defaultRowHeight="12.75"/>
  <cols>
    <col min="1" max="1" width="27.375" style="0" customWidth="1"/>
    <col min="2" max="2" width="9.00390625" style="0" hidden="1" customWidth="1"/>
    <col min="3" max="4" width="9.875" style="0" hidden="1" customWidth="1"/>
    <col min="5" max="5" width="7.875" style="0" hidden="1" customWidth="1"/>
    <col min="6" max="6" width="9.625" style="0" bestFit="1" customWidth="1"/>
    <col min="7" max="9" width="0" style="0" hidden="1" customWidth="1"/>
    <col min="10" max="10" width="11.375" style="0" customWidth="1"/>
    <col min="11" max="11" width="0.12890625" style="0" hidden="1" customWidth="1"/>
    <col min="12" max="12" width="9.875" style="0" customWidth="1"/>
    <col min="13" max="13" width="1.25" style="0" customWidth="1"/>
    <col min="14" max="14" width="8.875" style="0" customWidth="1"/>
    <col min="15" max="15" width="11.875" style="0" customWidth="1"/>
    <col min="16" max="16" width="5.75390625" style="0" hidden="1" customWidth="1"/>
  </cols>
  <sheetData>
    <row r="1" spans="1:15" ht="15.75">
      <c r="A1" s="354" t="s">
        <v>414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</row>
    <row r="2" spans="1:6" ht="15.75">
      <c r="A2" s="151"/>
      <c r="B2" s="4"/>
      <c r="C2" s="4"/>
      <c r="D2" s="74"/>
      <c r="E2" s="74"/>
      <c r="F2" s="4"/>
    </row>
    <row r="3" spans="1:15" ht="13.5" thickBot="1">
      <c r="A3" s="157" t="s">
        <v>415</v>
      </c>
      <c r="B3" s="157"/>
      <c r="C3" s="157"/>
      <c r="D3" s="41" t="s">
        <v>277</v>
      </c>
      <c r="E3" s="157"/>
      <c r="F3" s="355" t="s">
        <v>278</v>
      </c>
      <c r="G3" s="355"/>
      <c r="H3" s="355"/>
      <c r="I3" s="355"/>
      <c r="J3" s="355"/>
      <c r="K3" s="158" t="s">
        <v>279</v>
      </c>
      <c r="L3" s="158"/>
      <c r="N3" s="355" t="s">
        <v>325</v>
      </c>
      <c r="O3" s="355"/>
    </row>
    <row r="4" spans="1:17" ht="12.75">
      <c r="A4" s="268"/>
      <c r="B4" s="109" t="s">
        <v>280</v>
      </c>
      <c r="C4" s="159" t="s">
        <v>281</v>
      </c>
      <c r="D4" s="159" t="s">
        <v>282</v>
      </c>
      <c r="E4" s="107" t="s">
        <v>282</v>
      </c>
      <c r="F4" s="107" t="s">
        <v>283</v>
      </c>
      <c r="G4" s="159" t="s">
        <v>284</v>
      </c>
      <c r="H4" s="109"/>
      <c r="I4" s="109"/>
      <c r="J4" s="107" t="s">
        <v>57</v>
      </c>
      <c r="K4" s="386"/>
      <c r="L4" s="181" t="s">
        <v>421</v>
      </c>
      <c r="M4" s="61"/>
      <c r="N4" s="159" t="s">
        <v>285</v>
      </c>
      <c r="O4" s="107" t="s">
        <v>57</v>
      </c>
      <c r="P4" s="175"/>
      <c r="Q4" s="181" t="s">
        <v>421</v>
      </c>
    </row>
    <row r="5" spans="1:17" ht="13.5" thickBot="1">
      <c r="A5" s="389" t="s">
        <v>265</v>
      </c>
      <c r="B5" s="390">
        <v>888</v>
      </c>
      <c r="C5" s="391">
        <v>880</v>
      </c>
      <c r="D5" s="391">
        <v>888</v>
      </c>
      <c r="E5" s="389">
        <v>880</v>
      </c>
      <c r="F5" s="389" t="s">
        <v>286</v>
      </c>
      <c r="G5" s="392" t="s">
        <v>287</v>
      </c>
      <c r="H5" s="392" t="s">
        <v>288</v>
      </c>
      <c r="I5" s="391" t="s">
        <v>289</v>
      </c>
      <c r="J5" s="389" t="s">
        <v>416</v>
      </c>
      <c r="K5" s="393" t="s">
        <v>58</v>
      </c>
      <c r="L5" s="389" t="s">
        <v>422</v>
      </c>
      <c r="M5" s="61"/>
      <c r="N5" s="391" t="s">
        <v>290</v>
      </c>
      <c r="O5" s="389" t="s">
        <v>291</v>
      </c>
      <c r="P5" s="395"/>
      <c r="Q5" s="401" t="s">
        <v>291</v>
      </c>
    </row>
    <row r="6" spans="1:17" ht="13.5" thickBot="1">
      <c r="A6" s="376" t="s">
        <v>292</v>
      </c>
      <c r="B6" s="160">
        <f>1650+650</f>
        <v>2300</v>
      </c>
      <c r="C6" s="160">
        <f>770+800</f>
        <v>1570</v>
      </c>
      <c r="D6" s="160"/>
      <c r="E6" s="161">
        <v>6000</v>
      </c>
      <c r="F6" s="160">
        <f>SUM(B6:E6)</f>
        <v>9870</v>
      </c>
      <c r="G6" s="387">
        <v>2413</v>
      </c>
      <c r="H6" s="349">
        <v>2031</v>
      </c>
      <c r="I6" s="349">
        <v>6581</v>
      </c>
      <c r="J6" s="388">
        <f>SUM(G6:I6)</f>
        <v>11025</v>
      </c>
      <c r="K6" s="396">
        <f aca="true" t="shared" si="0" ref="K6:K42">J6-F6</f>
        <v>1155</v>
      </c>
      <c r="L6" s="162">
        <f>J6</f>
        <v>11025</v>
      </c>
      <c r="N6" s="160">
        <f>48890+39589</f>
        <v>88479</v>
      </c>
      <c r="O6" s="269">
        <v>92125</v>
      </c>
      <c r="P6" s="74"/>
      <c r="Q6" s="402">
        <f>O6</f>
        <v>92125</v>
      </c>
    </row>
    <row r="7" spans="1:17" ht="13.5" thickBot="1">
      <c r="A7" s="377" t="s">
        <v>293</v>
      </c>
      <c r="B7" s="163"/>
      <c r="C7" s="163">
        <v>60</v>
      </c>
      <c r="D7" s="163"/>
      <c r="E7" s="164">
        <v>700</v>
      </c>
      <c r="F7" s="163">
        <f aca="true" t="shared" si="1" ref="F7:F42">SUM(B7:E7)</f>
        <v>760</v>
      </c>
      <c r="G7" s="165">
        <v>25</v>
      </c>
      <c r="H7" s="166">
        <v>36</v>
      </c>
      <c r="I7" s="166">
        <v>794</v>
      </c>
      <c r="J7" s="167">
        <f aca="true" t="shared" si="2" ref="J7:J42">SUM(G7:I7)</f>
        <v>855</v>
      </c>
      <c r="K7" s="397">
        <f t="shared" si="0"/>
        <v>95</v>
      </c>
      <c r="L7" s="163">
        <f aca="true" t="shared" si="3" ref="L7:L46">J7</f>
        <v>855</v>
      </c>
      <c r="N7" s="163">
        <f>34621+44907</f>
        <v>79528</v>
      </c>
      <c r="O7" s="267">
        <v>79033</v>
      </c>
      <c r="P7" s="74"/>
      <c r="Q7" s="133">
        <f aca="true" t="shared" si="4" ref="Q7:Q42">O7</f>
        <v>79033</v>
      </c>
    </row>
    <row r="8" spans="1:17" ht="13.5" thickBot="1">
      <c r="A8" s="377" t="s">
        <v>294</v>
      </c>
      <c r="B8" s="163"/>
      <c r="C8" s="163">
        <v>4</v>
      </c>
      <c r="D8" s="163"/>
      <c r="E8" s="164"/>
      <c r="F8" s="163">
        <f t="shared" si="1"/>
        <v>4</v>
      </c>
      <c r="G8" s="165"/>
      <c r="H8" s="166">
        <v>22</v>
      </c>
      <c r="I8" s="166">
        <v>6</v>
      </c>
      <c r="J8" s="167">
        <f t="shared" si="2"/>
        <v>28</v>
      </c>
      <c r="K8" s="397">
        <f t="shared" si="0"/>
        <v>24</v>
      </c>
      <c r="L8" s="163">
        <f t="shared" si="3"/>
        <v>28</v>
      </c>
      <c r="N8" s="163">
        <f>6854+10787</f>
        <v>17641</v>
      </c>
      <c r="O8" s="267">
        <v>14373</v>
      </c>
      <c r="P8" s="74"/>
      <c r="Q8" s="133">
        <f t="shared" si="4"/>
        <v>14373</v>
      </c>
    </row>
    <row r="9" spans="1:17" ht="13.5" thickBot="1">
      <c r="A9" s="377" t="s">
        <v>295</v>
      </c>
      <c r="B9" s="163"/>
      <c r="C9" s="163"/>
      <c r="D9" s="163"/>
      <c r="E9" s="164"/>
      <c r="F9" s="163">
        <f t="shared" si="1"/>
        <v>0</v>
      </c>
      <c r="G9" s="165"/>
      <c r="H9" s="166"/>
      <c r="I9" s="166"/>
      <c r="J9" s="167">
        <f t="shared" si="2"/>
        <v>0</v>
      </c>
      <c r="K9" s="397">
        <f t="shared" si="0"/>
        <v>0</v>
      </c>
      <c r="L9" s="163">
        <f t="shared" si="3"/>
        <v>0</v>
      </c>
      <c r="N9" s="163"/>
      <c r="O9" s="267"/>
      <c r="P9" s="74"/>
      <c r="Q9" s="133">
        <f t="shared" si="4"/>
        <v>0</v>
      </c>
    </row>
    <row r="10" spans="1:17" ht="13.5" thickBot="1">
      <c r="A10" s="377" t="s">
        <v>296</v>
      </c>
      <c r="B10" s="163"/>
      <c r="C10" s="163">
        <v>2080</v>
      </c>
      <c r="D10" s="163"/>
      <c r="E10" s="164">
        <v>400</v>
      </c>
      <c r="F10" s="163">
        <f t="shared" si="1"/>
        <v>2480</v>
      </c>
      <c r="G10" s="165">
        <v>522</v>
      </c>
      <c r="H10" s="166">
        <v>1060</v>
      </c>
      <c r="I10" s="166">
        <v>310</v>
      </c>
      <c r="J10" s="167">
        <f t="shared" si="2"/>
        <v>1892</v>
      </c>
      <c r="K10" s="397">
        <f t="shared" si="0"/>
        <v>-588</v>
      </c>
      <c r="L10" s="163">
        <f t="shared" si="3"/>
        <v>1892</v>
      </c>
      <c r="N10" s="163">
        <f>3961+6771</f>
        <v>10732</v>
      </c>
      <c r="O10" s="267">
        <v>14669</v>
      </c>
      <c r="P10" s="74"/>
      <c r="Q10" s="133">
        <f t="shared" si="4"/>
        <v>14669</v>
      </c>
    </row>
    <row r="11" spans="1:17" ht="13.5" thickBot="1">
      <c r="A11" s="377" t="s">
        <v>383</v>
      </c>
      <c r="B11" s="163"/>
      <c r="C11" s="163">
        <v>230</v>
      </c>
      <c r="D11" s="163"/>
      <c r="E11" s="164">
        <v>2500</v>
      </c>
      <c r="F11" s="163">
        <f t="shared" si="1"/>
        <v>2730</v>
      </c>
      <c r="G11" s="165">
        <v>5</v>
      </c>
      <c r="H11" s="166">
        <v>297</v>
      </c>
      <c r="I11" s="166">
        <v>4204</v>
      </c>
      <c r="J11" s="167">
        <f t="shared" si="2"/>
        <v>4506</v>
      </c>
      <c r="K11" s="397">
        <f t="shared" si="0"/>
        <v>1776</v>
      </c>
      <c r="L11" s="163">
        <f t="shared" si="3"/>
        <v>4506</v>
      </c>
      <c r="N11" s="163">
        <f>2556+3418</f>
        <v>5974</v>
      </c>
      <c r="O11" s="267">
        <v>5650</v>
      </c>
      <c r="P11" s="74"/>
      <c r="Q11" s="133">
        <f t="shared" si="4"/>
        <v>5650</v>
      </c>
    </row>
    <row r="12" spans="1:17" ht="13.5" thickBot="1">
      <c r="A12" s="377" t="s">
        <v>297</v>
      </c>
      <c r="B12" s="163">
        <v>700</v>
      </c>
      <c r="C12" s="163"/>
      <c r="D12" s="163"/>
      <c r="E12" s="164">
        <v>1130</v>
      </c>
      <c r="F12" s="163">
        <f t="shared" si="1"/>
        <v>1830</v>
      </c>
      <c r="G12" s="165">
        <v>844</v>
      </c>
      <c r="H12" s="166"/>
      <c r="I12" s="166">
        <v>919</v>
      </c>
      <c r="J12" s="167">
        <f t="shared" si="2"/>
        <v>1763</v>
      </c>
      <c r="K12" s="397">
        <f t="shared" si="0"/>
        <v>-67</v>
      </c>
      <c r="L12" s="163">
        <v>0</v>
      </c>
      <c r="N12" s="163"/>
      <c r="O12" s="267">
        <v>1</v>
      </c>
      <c r="P12" s="74"/>
      <c r="Q12" s="133">
        <v>0</v>
      </c>
    </row>
    <row r="13" spans="1:17" ht="13.5" thickBot="1">
      <c r="A13" s="377" t="s">
        <v>384</v>
      </c>
      <c r="B13" s="163">
        <f>99597+55805</f>
        <v>155402</v>
      </c>
      <c r="C13" s="163">
        <v>3000</v>
      </c>
      <c r="D13" s="163"/>
      <c r="E13" s="164">
        <v>6400</v>
      </c>
      <c r="F13" s="163">
        <f t="shared" si="1"/>
        <v>164802</v>
      </c>
      <c r="G13" s="165">
        <v>219672</v>
      </c>
      <c r="H13" s="166">
        <v>4532</v>
      </c>
      <c r="I13" s="166">
        <v>7036</v>
      </c>
      <c r="J13" s="167">
        <f t="shared" si="2"/>
        <v>231240</v>
      </c>
      <c r="K13" s="397">
        <f t="shared" si="0"/>
        <v>66438</v>
      </c>
      <c r="L13" s="163">
        <f t="shared" si="3"/>
        <v>231240</v>
      </c>
      <c r="N13" s="163">
        <f>34479+44568</f>
        <v>79047</v>
      </c>
      <c r="O13" s="267">
        <v>77933</v>
      </c>
      <c r="P13" s="74"/>
      <c r="Q13" s="133">
        <f>O13</f>
        <v>77933</v>
      </c>
    </row>
    <row r="14" spans="1:17" ht="13.5" thickBot="1">
      <c r="A14" s="377" t="s">
        <v>385</v>
      </c>
      <c r="B14" s="163">
        <v>3500</v>
      </c>
      <c r="C14" s="163">
        <f>4900+4920</f>
        <v>9820</v>
      </c>
      <c r="D14" s="163"/>
      <c r="E14" s="164">
        <f>40790+42390</f>
        <v>83180</v>
      </c>
      <c r="F14" s="163">
        <f t="shared" si="1"/>
        <v>96500</v>
      </c>
      <c r="G14" s="165">
        <v>4919</v>
      </c>
      <c r="H14" s="166">
        <v>10235</v>
      </c>
      <c r="I14" s="166">
        <v>77495</v>
      </c>
      <c r="J14" s="167">
        <f t="shared" si="2"/>
        <v>92649</v>
      </c>
      <c r="K14" s="397">
        <f t="shared" si="0"/>
        <v>-3851</v>
      </c>
      <c r="L14" s="163">
        <f t="shared" si="3"/>
        <v>92649</v>
      </c>
      <c r="N14" s="163">
        <f>183410+196143</f>
        <v>379553</v>
      </c>
      <c r="O14" s="267">
        <v>382199</v>
      </c>
      <c r="P14" s="74"/>
      <c r="Q14" s="133">
        <f t="shared" si="4"/>
        <v>382199</v>
      </c>
    </row>
    <row r="15" spans="1:17" ht="13.5" thickBot="1">
      <c r="A15" s="377" t="s">
        <v>298</v>
      </c>
      <c r="B15" s="163"/>
      <c r="C15" s="163"/>
      <c r="D15" s="163">
        <v>2100</v>
      </c>
      <c r="E15" s="164"/>
      <c r="F15" s="163">
        <f t="shared" si="1"/>
        <v>2100</v>
      </c>
      <c r="G15" s="165">
        <v>1793</v>
      </c>
      <c r="H15" s="166"/>
      <c r="I15" s="166"/>
      <c r="J15" s="167">
        <f t="shared" si="2"/>
        <v>1793</v>
      </c>
      <c r="K15" s="397">
        <f t="shared" si="0"/>
        <v>-307</v>
      </c>
      <c r="L15" s="163">
        <v>0</v>
      </c>
      <c r="N15" s="163"/>
      <c r="O15" s="267"/>
      <c r="P15" s="4">
        <f>J15+O15</f>
        <v>1793</v>
      </c>
      <c r="Q15" s="133">
        <f t="shared" si="4"/>
        <v>0</v>
      </c>
    </row>
    <row r="16" spans="1:17" ht="13.5" thickBot="1">
      <c r="A16" s="377" t="s">
        <v>386</v>
      </c>
      <c r="B16" s="163">
        <f>189+1132</f>
        <v>1321</v>
      </c>
      <c r="C16" s="163">
        <f>1850+1857</f>
        <v>3707</v>
      </c>
      <c r="D16" s="163">
        <f>378+415</f>
        <v>793</v>
      </c>
      <c r="E16" s="164">
        <f>15398+16002</f>
        <v>31400</v>
      </c>
      <c r="F16" s="163">
        <f t="shared" si="1"/>
        <v>37221</v>
      </c>
      <c r="G16" s="165">
        <v>1649</v>
      </c>
      <c r="H16" s="166">
        <v>3779</v>
      </c>
      <c r="I16" s="166">
        <v>24796</v>
      </c>
      <c r="J16" s="167">
        <f t="shared" si="2"/>
        <v>30224</v>
      </c>
      <c r="K16" s="397">
        <f t="shared" si="0"/>
        <v>-6997</v>
      </c>
      <c r="L16" s="163">
        <f t="shared" si="3"/>
        <v>30224</v>
      </c>
      <c r="N16" s="163">
        <f>69258+74046</f>
        <v>143304</v>
      </c>
      <c r="O16" s="267">
        <v>141197</v>
      </c>
      <c r="P16" s="74"/>
      <c r="Q16" s="133">
        <f t="shared" si="4"/>
        <v>141197</v>
      </c>
    </row>
    <row r="17" spans="1:17" ht="13.5" thickBot="1">
      <c r="A17" s="377" t="s">
        <v>299</v>
      </c>
      <c r="B17" s="163">
        <v>43</v>
      </c>
      <c r="C17" s="163">
        <v>120</v>
      </c>
      <c r="D17" s="163"/>
      <c r="E17" s="164">
        <f>570+590</f>
        <v>1160</v>
      </c>
      <c r="F17" s="163">
        <f t="shared" si="1"/>
        <v>1323</v>
      </c>
      <c r="G17" s="165"/>
      <c r="H17" s="166">
        <v>125</v>
      </c>
      <c r="I17" s="166">
        <v>1094</v>
      </c>
      <c r="J17" s="167">
        <f t="shared" si="2"/>
        <v>1219</v>
      </c>
      <c r="K17" s="397">
        <f t="shared" si="0"/>
        <v>-104</v>
      </c>
      <c r="L17" s="416">
        <f t="shared" si="3"/>
        <v>1219</v>
      </c>
      <c r="M17" s="92"/>
      <c r="N17" s="416">
        <f>2655+2808</f>
        <v>5463</v>
      </c>
      <c r="O17" s="417">
        <v>6180</v>
      </c>
      <c r="P17" s="59"/>
      <c r="Q17" s="418">
        <f t="shared" si="4"/>
        <v>6180</v>
      </c>
    </row>
    <row r="18" spans="1:17" ht="13.5" thickBot="1">
      <c r="A18" s="377" t="s">
        <v>300</v>
      </c>
      <c r="B18" s="163">
        <f>10325+10325</f>
        <v>20650</v>
      </c>
      <c r="C18" s="163">
        <v>80</v>
      </c>
      <c r="D18" s="163"/>
      <c r="E18" s="164">
        <v>1800</v>
      </c>
      <c r="F18" s="163">
        <f t="shared" si="1"/>
        <v>22530</v>
      </c>
      <c r="G18" s="165">
        <v>26266</v>
      </c>
      <c r="H18" s="166">
        <v>328</v>
      </c>
      <c r="I18" s="166">
        <v>1560</v>
      </c>
      <c r="J18" s="167">
        <f t="shared" si="2"/>
        <v>28154</v>
      </c>
      <c r="K18" s="397">
        <f t="shared" si="0"/>
        <v>5624</v>
      </c>
      <c r="L18" s="416">
        <f t="shared" si="3"/>
        <v>28154</v>
      </c>
      <c r="M18" s="92"/>
      <c r="N18" s="416">
        <f>30735+35141</f>
        <v>65876</v>
      </c>
      <c r="O18" s="417">
        <v>61718</v>
      </c>
      <c r="P18" s="59"/>
      <c r="Q18" s="418">
        <f t="shared" si="4"/>
        <v>61718</v>
      </c>
    </row>
    <row r="19" spans="1:17" ht="13.5" thickBot="1">
      <c r="A19" s="377" t="s">
        <v>301</v>
      </c>
      <c r="B19" s="163">
        <v>20</v>
      </c>
      <c r="C19" s="163">
        <v>60</v>
      </c>
      <c r="D19" s="163"/>
      <c r="E19" s="164">
        <v>260</v>
      </c>
      <c r="F19" s="163">
        <f t="shared" si="1"/>
        <v>340</v>
      </c>
      <c r="G19" s="165">
        <v>14</v>
      </c>
      <c r="H19" s="166">
        <v>56</v>
      </c>
      <c r="I19" s="166">
        <v>319</v>
      </c>
      <c r="J19" s="167">
        <f t="shared" si="2"/>
        <v>389</v>
      </c>
      <c r="K19" s="397">
        <f t="shared" si="0"/>
        <v>49</v>
      </c>
      <c r="L19" s="416">
        <f t="shared" si="3"/>
        <v>389</v>
      </c>
      <c r="M19" s="92"/>
      <c r="N19" s="416">
        <f>51+51</f>
        <v>102</v>
      </c>
      <c r="O19" s="417">
        <v>116</v>
      </c>
      <c r="P19" s="59"/>
      <c r="Q19" s="418">
        <f t="shared" si="4"/>
        <v>116</v>
      </c>
    </row>
    <row r="20" spans="1:17" ht="13.5" thickBot="1">
      <c r="A20" s="377" t="s">
        <v>302</v>
      </c>
      <c r="B20" s="163"/>
      <c r="C20" s="163">
        <v>120</v>
      </c>
      <c r="D20" s="163"/>
      <c r="E20" s="164"/>
      <c r="F20" s="163">
        <f t="shared" si="1"/>
        <v>120</v>
      </c>
      <c r="G20" s="165"/>
      <c r="H20" s="166"/>
      <c r="I20" s="166"/>
      <c r="J20" s="167">
        <f t="shared" si="2"/>
        <v>0</v>
      </c>
      <c r="K20" s="397">
        <f t="shared" si="0"/>
        <v>-120</v>
      </c>
      <c r="L20" s="416">
        <f t="shared" si="3"/>
        <v>0</v>
      </c>
      <c r="M20" s="92"/>
      <c r="N20" s="416"/>
      <c r="O20" s="417">
        <v>243</v>
      </c>
      <c r="P20" s="59"/>
      <c r="Q20" s="418">
        <f t="shared" si="4"/>
        <v>243</v>
      </c>
    </row>
    <row r="21" spans="1:17" ht="13.5" thickBot="1">
      <c r="A21" s="377" t="s">
        <v>303</v>
      </c>
      <c r="B21" s="163"/>
      <c r="C21" s="163"/>
      <c r="D21" s="163"/>
      <c r="E21" s="164"/>
      <c r="F21" s="163">
        <f t="shared" si="1"/>
        <v>0</v>
      </c>
      <c r="G21" s="165"/>
      <c r="H21" s="166"/>
      <c r="I21" s="166"/>
      <c r="J21" s="167">
        <f t="shared" si="2"/>
        <v>0</v>
      </c>
      <c r="K21" s="397">
        <f t="shared" si="0"/>
        <v>0</v>
      </c>
      <c r="L21" s="416">
        <f t="shared" si="3"/>
        <v>0</v>
      </c>
      <c r="M21" s="92"/>
      <c r="N21" s="416">
        <f>97+708</f>
        <v>805</v>
      </c>
      <c r="O21" s="417">
        <v>749</v>
      </c>
      <c r="P21" s="59"/>
      <c r="Q21" s="418">
        <f t="shared" si="4"/>
        <v>749</v>
      </c>
    </row>
    <row r="22" spans="1:17" ht="13.5" thickBot="1">
      <c r="A22" s="377" t="s">
        <v>304</v>
      </c>
      <c r="B22" s="163">
        <v>3100</v>
      </c>
      <c r="C22" s="163">
        <v>6</v>
      </c>
      <c r="D22" s="163"/>
      <c r="E22" s="164">
        <v>360</v>
      </c>
      <c r="F22" s="163">
        <f t="shared" si="1"/>
        <v>3466</v>
      </c>
      <c r="G22" s="165">
        <v>5925</v>
      </c>
      <c r="H22" s="166">
        <v>16</v>
      </c>
      <c r="I22" s="166">
        <v>401</v>
      </c>
      <c r="J22" s="167">
        <f t="shared" si="2"/>
        <v>6342</v>
      </c>
      <c r="K22" s="397">
        <f t="shared" si="0"/>
        <v>2876</v>
      </c>
      <c r="L22" s="416">
        <f>J22-73.218</f>
        <v>6268.782</v>
      </c>
      <c r="M22" s="92"/>
      <c r="N22" s="416">
        <f>438+750</f>
        <v>1188</v>
      </c>
      <c r="O22" s="417">
        <v>3111</v>
      </c>
      <c r="P22" s="59"/>
      <c r="Q22" s="418">
        <f>O22-20.676</f>
        <v>3090.324</v>
      </c>
    </row>
    <row r="23" spans="1:17" ht="13.5" thickBot="1">
      <c r="A23" s="377" t="s">
        <v>305</v>
      </c>
      <c r="B23" s="163"/>
      <c r="C23" s="163"/>
      <c r="D23" s="163"/>
      <c r="E23" s="164"/>
      <c r="F23" s="163">
        <f t="shared" si="1"/>
        <v>0</v>
      </c>
      <c r="G23" s="165"/>
      <c r="H23" s="166"/>
      <c r="I23" s="166"/>
      <c r="J23" s="167">
        <f t="shared" si="2"/>
        <v>0</v>
      </c>
      <c r="K23" s="397">
        <f t="shared" si="0"/>
        <v>0</v>
      </c>
      <c r="L23" s="416">
        <f t="shared" si="3"/>
        <v>0</v>
      </c>
      <c r="M23" s="92"/>
      <c r="N23" s="416"/>
      <c r="O23" s="417">
        <v>252</v>
      </c>
      <c r="P23" s="59"/>
      <c r="Q23" s="418">
        <f t="shared" si="4"/>
        <v>252</v>
      </c>
    </row>
    <row r="24" spans="1:17" ht="13.5" thickBot="1">
      <c r="A24" s="377" t="s">
        <v>306</v>
      </c>
      <c r="B24" s="163"/>
      <c r="C24" s="163"/>
      <c r="D24" s="163"/>
      <c r="E24" s="164"/>
      <c r="F24" s="163">
        <f t="shared" si="1"/>
        <v>0</v>
      </c>
      <c r="G24" s="165"/>
      <c r="H24" s="166"/>
      <c r="I24" s="166"/>
      <c r="J24" s="167">
        <f t="shared" si="2"/>
        <v>0</v>
      </c>
      <c r="K24" s="397">
        <f t="shared" si="0"/>
        <v>0</v>
      </c>
      <c r="L24" s="416">
        <f t="shared" si="3"/>
        <v>0</v>
      </c>
      <c r="M24" s="92"/>
      <c r="N24" s="416"/>
      <c r="O24" s="417"/>
      <c r="P24" s="59"/>
      <c r="Q24" s="418">
        <f t="shared" si="4"/>
        <v>0</v>
      </c>
    </row>
    <row r="25" spans="1:17" ht="13.5" thickBot="1">
      <c r="A25" s="377" t="s">
        <v>307</v>
      </c>
      <c r="B25" s="163"/>
      <c r="C25" s="163"/>
      <c r="D25" s="163"/>
      <c r="E25" s="164"/>
      <c r="F25" s="163">
        <f t="shared" si="1"/>
        <v>0</v>
      </c>
      <c r="G25" s="165"/>
      <c r="H25" s="166"/>
      <c r="I25" s="166"/>
      <c r="J25" s="167">
        <f t="shared" si="2"/>
        <v>0</v>
      </c>
      <c r="K25" s="397">
        <f t="shared" si="0"/>
        <v>0</v>
      </c>
      <c r="L25" s="416">
        <f t="shared" si="3"/>
        <v>0</v>
      </c>
      <c r="M25" s="92"/>
      <c r="N25" s="416"/>
      <c r="O25" s="417">
        <v>16</v>
      </c>
      <c r="P25" s="59"/>
      <c r="Q25" s="418">
        <v>0</v>
      </c>
    </row>
    <row r="26" spans="1:17" ht="13.5" thickBot="1">
      <c r="A26" s="377" t="s">
        <v>308</v>
      </c>
      <c r="B26" s="163">
        <v>25000</v>
      </c>
      <c r="C26" s="163"/>
      <c r="D26" s="163"/>
      <c r="E26" s="164"/>
      <c r="F26" s="163">
        <f t="shared" si="1"/>
        <v>25000</v>
      </c>
      <c r="G26" s="165">
        <v>2781</v>
      </c>
      <c r="H26" s="166">
        <v>4</v>
      </c>
      <c r="I26" s="166"/>
      <c r="J26" s="167">
        <f t="shared" si="2"/>
        <v>2785</v>
      </c>
      <c r="K26" s="397">
        <f t="shared" si="0"/>
        <v>-22215</v>
      </c>
      <c r="L26" s="416">
        <f>J26-557.434</f>
        <v>2227.566</v>
      </c>
      <c r="M26" s="92"/>
      <c r="N26" s="416"/>
      <c r="O26" s="417">
        <v>1413</v>
      </c>
      <c r="P26" s="419">
        <f>J26+O26</f>
        <v>4198</v>
      </c>
      <c r="Q26" s="418">
        <f>O26</f>
        <v>1413</v>
      </c>
    </row>
    <row r="27" spans="1:17" ht="13.5" thickBot="1">
      <c r="A27" s="377" t="s">
        <v>309</v>
      </c>
      <c r="B27" s="163">
        <v>184000</v>
      </c>
      <c r="C27" s="163"/>
      <c r="D27" s="163"/>
      <c r="E27" s="164"/>
      <c r="F27" s="163">
        <f t="shared" si="1"/>
        <v>184000</v>
      </c>
      <c r="G27" s="165">
        <v>33190</v>
      </c>
      <c r="H27" s="166"/>
      <c r="I27" s="166"/>
      <c r="J27" s="167">
        <f t="shared" si="2"/>
        <v>33190</v>
      </c>
      <c r="K27" s="397">
        <f t="shared" si="0"/>
        <v>-150810</v>
      </c>
      <c r="L27" s="416">
        <f>J27-621.845</f>
        <v>32568.155</v>
      </c>
      <c r="M27" s="92"/>
      <c r="N27" s="416"/>
      <c r="O27" s="417">
        <v>121206</v>
      </c>
      <c r="P27" s="419">
        <f>J27+O27</f>
        <v>154396</v>
      </c>
      <c r="Q27" s="418">
        <f>O27-75.534</f>
        <v>121130.466</v>
      </c>
    </row>
    <row r="28" spans="1:17" ht="13.5" thickBot="1">
      <c r="A28" s="377" t="s">
        <v>310</v>
      </c>
      <c r="B28" s="163"/>
      <c r="C28" s="163"/>
      <c r="D28" s="163"/>
      <c r="E28" s="164"/>
      <c r="F28" s="163">
        <f t="shared" si="1"/>
        <v>0</v>
      </c>
      <c r="G28" s="165"/>
      <c r="H28" s="166"/>
      <c r="I28" s="166"/>
      <c r="J28" s="167">
        <f t="shared" si="2"/>
        <v>0</v>
      </c>
      <c r="K28" s="397">
        <f t="shared" si="0"/>
        <v>0</v>
      </c>
      <c r="L28" s="416">
        <f t="shared" si="3"/>
        <v>0</v>
      </c>
      <c r="M28" s="92"/>
      <c r="N28" s="416"/>
      <c r="O28" s="417">
        <v>2293</v>
      </c>
      <c r="P28" s="59"/>
      <c r="Q28" s="418">
        <f>O28</f>
        <v>2293</v>
      </c>
    </row>
    <row r="29" spans="1:17" ht="13.5" thickBot="1">
      <c r="A29" s="377" t="s">
        <v>311</v>
      </c>
      <c r="B29" s="163">
        <v>1200</v>
      </c>
      <c r="C29" s="163">
        <v>30</v>
      </c>
      <c r="D29" s="163"/>
      <c r="E29" s="164">
        <v>2050</v>
      </c>
      <c r="F29" s="163">
        <f t="shared" si="1"/>
        <v>3280</v>
      </c>
      <c r="G29" s="165">
        <v>4227</v>
      </c>
      <c r="H29" s="166">
        <v>33</v>
      </c>
      <c r="I29" s="166">
        <v>1662</v>
      </c>
      <c r="J29" s="167">
        <f t="shared" si="2"/>
        <v>5922</v>
      </c>
      <c r="K29" s="397">
        <f t="shared" si="0"/>
        <v>2642</v>
      </c>
      <c r="L29" s="416">
        <f t="shared" si="3"/>
        <v>5922</v>
      </c>
      <c r="M29" s="92"/>
      <c r="N29" s="416">
        <f>1662+5744</f>
        <v>7406</v>
      </c>
      <c r="O29" s="417">
        <v>5493</v>
      </c>
      <c r="P29" s="59"/>
      <c r="Q29" s="418">
        <f t="shared" si="4"/>
        <v>5493</v>
      </c>
    </row>
    <row r="30" spans="1:17" ht="13.5" thickBot="1">
      <c r="A30" s="377" t="s">
        <v>312</v>
      </c>
      <c r="B30" s="163">
        <f>36940+25000</f>
        <v>61940</v>
      </c>
      <c r="C30" s="163">
        <v>680</v>
      </c>
      <c r="D30" s="163"/>
      <c r="E30" s="164">
        <f>1832+1832</f>
        <v>3664</v>
      </c>
      <c r="F30" s="163">
        <f t="shared" si="1"/>
        <v>66284</v>
      </c>
      <c r="G30" s="165"/>
      <c r="H30" s="166">
        <v>667</v>
      </c>
      <c r="I30" s="166">
        <v>3747</v>
      </c>
      <c r="J30" s="167">
        <f t="shared" si="2"/>
        <v>4414</v>
      </c>
      <c r="K30" s="397">
        <f t="shared" si="0"/>
        <v>-61870</v>
      </c>
      <c r="L30" s="416">
        <f t="shared" si="3"/>
        <v>4414</v>
      </c>
      <c r="M30" s="92"/>
      <c r="N30" s="416">
        <f>11195+12835</f>
        <v>24030</v>
      </c>
      <c r="O30" s="417">
        <v>25648</v>
      </c>
      <c r="P30" s="59"/>
      <c r="Q30" s="418">
        <f t="shared" si="4"/>
        <v>25648</v>
      </c>
    </row>
    <row r="31" spans="1:17" ht="13.5" thickBot="1">
      <c r="A31" s="377" t="s">
        <v>313</v>
      </c>
      <c r="B31" s="163"/>
      <c r="C31" s="163"/>
      <c r="D31" s="163"/>
      <c r="E31" s="164"/>
      <c r="F31" s="163">
        <f t="shared" si="1"/>
        <v>0</v>
      </c>
      <c r="G31" s="165"/>
      <c r="H31" s="166"/>
      <c r="I31" s="166"/>
      <c r="J31" s="167">
        <f t="shared" si="2"/>
        <v>0</v>
      </c>
      <c r="K31" s="397">
        <f t="shared" si="0"/>
        <v>0</v>
      </c>
      <c r="L31" s="416">
        <f t="shared" si="3"/>
        <v>0</v>
      </c>
      <c r="M31" s="92"/>
      <c r="N31" s="416"/>
      <c r="O31" s="417">
        <v>5194</v>
      </c>
      <c r="P31" s="59"/>
      <c r="Q31" s="418">
        <f t="shared" si="4"/>
        <v>5194</v>
      </c>
    </row>
    <row r="32" spans="1:18" ht="13.5" thickBot="1">
      <c r="A32" s="377" t="s">
        <v>387</v>
      </c>
      <c r="B32" s="163"/>
      <c r="C32" s="163"/>
      <c r="D32" s="163"/>
      <c r="E32" s="164"/>
      <c r="F32" s="163">
        <f t="shared" si="1"/>
        <v>0</v>
      </c>
      <c r="G32" s="165"/>
      <c r="H32" s="166"/>
      <c r="I32" s="166"/>
      <c r="J32" s="167">
        <f t="shared" si="2"/>
        <v>0</v>
      </c>
      <c r="K32" s="397">
        <f t="shared" si="0"/>
        <v>0</v>
      </c>
      <c r="L32" s="416">
        <f t="shared" si="3"/>
        <v>0</v>
      </c>
      <c r="M32" s="92"/>
      <c r="N32" s="416"/>
      <c r="O32" s="417"/>
      <c r="P32" s="59"/>
      <c r="Q32" s="418">
        <f t="shared" si="4"/>
        <v>0</v>
      </c>
      <c r="R32" s="1"/>
    </row>
    <row r="33" spans="1:17" ht="13.5" thickBot="1">
      <c r="A33" s="377" t="s">
        <v>314</v>
      </c>
      <c r="B33" s="163">
        <f>200000+860000</f>
        <v>1060000</v>
      </c>
      <c r="C33" s="163"/>
      <c r="D33" s="163"/>
      <c r="E33" s="164"/>
      <c r="F33" s="163">
        <f t="shared" si="1"/>
        <v>1060000</v>
      </c>
      <c r="G33" s="165">
        <v>1028333</v>
      </c>
      <c r="H33" s="166"/>
      <c r="I33" s="166"/>
      <c r="J33" s="167">
        <f t="shared" si="2"/>
        <v>1028333</v>
      </c>
      <c r="K33" s="397">
        <f t="shared" si="0"/>
        <v>-31667</v>
      </c>
      <c r="L33" s="416">
        <f t="shared" si="3"/>
        <v>1028333</v>
      </c>
      <c r="M33" s="92"/>
      <c r="N33" s="416"/>
      <c r="O33" s="417"/>
      <c r="P33" s="59"/>
      <c r="Q33" s="418">
        <f t="shared" si="4"/>
        <v>0</v>
      </c>
    </row>
    <row r="34" spans="1:17" ht="13.5" thickBot="1">
      <c r="A34" s="377" t="s">
        <v>315</v>
      </c>
      <c r="B34" s="163">
        <v>389937</v>
      </c>
      <c r="C34" s="163"/>
      <c r="D34" s="163"/>
      <c r="E34" s="164"/>
      <c r="F34" s="163">
        <f t="shared" si="1"/>
        <v>389937</v>
      </c>
      <c r="G34" s="165">
        <v>397954</v>
      </c>
      <c r="H34" s="166"/>
      <c r="I34" s="166">
        <v>84</v>
      </c>
      <c r="J34" s="167">
        <f t="shared" si="2"/>
        <v>398038</v>
      </c>
      <c r="K34" s="397">
        <f t="shared" si="0"/>
        <v>8101</v>
      </c>
      <c r="L34" s="416">
        <f t="shared" si="3"/>
        <v>398038</v>
      </c>
      <c r="M34" s="92"/>
      <c r="N34" s="416"/>
      <c r="O34" s="417">
        <v>380</v>
      </c>
      <c r="P34" s="59"/>
      <c r="Q34" s="418">
        <f t="shared" si="4"/>
        <v>380</v>
      </c>
    </row>
    <row r="35" spans="1:17" ht="13.5" thickBot="1">
      <c r="A35" s="377" t="s">
        <v>316</v>
      </c>
      <c r="B35" s="163">
        <f>12207+28969</f>
        <v>41176</v>
      </c>
      <c r="C35" s="163">
        <v>180</v>
      </c>
      <c r="D35" s="163"/>
      <c r="E35" s="164"/>
      <c r="F35" s="163">
        <f t="shared" si="1"/>
        <v>41356</v>
      </c>
      <c r="G35" s="165">
        <v>60288</v>
      </c>
      <c r="H35" s="166">
        <v>411</v>
      </c>
      <c r="I35" s="166">
        <v>952</v>
      </c>
      <c r="J35" s="167">
        <f t="shared" si="2"/>
        <v>61651</v>
      </c>
      <c r="K35" s="397">
        <f t="shared" si="0"/>
        <v>20295</v>
      </c>
      <c r="L35" s="416">
        <f t="shared" si="3"/>
        <v>61651</v>
      </c>
      <c r="M35" s="92"/>
      <c r="N35" s="416">
        <f>3262+3242</f>
        <v>6504</v>
      </c>
      <c r="O35" s="417">
        <v>10272</v>
      </c>
      <c r="P35" s="59"/>
      <c r="Q35" s="418">
        <f t="shared" si="4"/>
        <v>10272</v>
      </c>
    </row>
    <row r="36" spans="1:17" ht="13.5" thickBot="1">
      <c r="A36" s="377" t="s">
        <v>317</v>
      </c>
      <c r="B36" s="163"/>
      <c r="C36" s="163"/>
      <c r="D36" s="163"/>
      <c r="E36" s="164"/>
      <c r="F36" s="163">
        <f t="shared" si="1"/>
        <v>0</v>
      </c>
      <c r="G36" s="165"/>
      <c r="H36" s="166"/>
      <c r="I36" s="166"/>
      <c r="J36" s="167">
        <f t="shared" si="2"/>
        <v>0</v>
      </c>
      <c r="K36" s="397">
        <f t="shared" si="0"/>
        <v>0</v>
      </c>
      <c r="L36" s="416">
        <f t="shared" si="3"/>
        <v>0</v>
      </c>
      <c r="M36" s="92"/>
      <c r="N36" s="416"/>
      <c r="O36" s="417"/>
      <c r="P36" s="59"/>
      <c r="Q36" s="418">
        <f t="shared" si="4"/>
        <v>0</v>
      </c>
    </row>
    <row r="37" spans="1:17" ht="13.5" thickBot="1">
      <c r="A37" s="377" t="s">
        <v>318</v>
      </c>
      <c r="B37" s="163"/>
      <c r="C37" s="163"/>
      <c r="D37" s="163"/>
      <c r="E37" s="164"/>
      <c r="F37" s="163">
        <f t="shared" si="1"/>
        <v>0</v>
      </c>
      <c r="G37" s="165"/>
      <c r="H37" s="166"/>
      <c r="I37" s="166"/>
      <c r="J37" s="167">
        <f t="shared" si="2"/>
        <v>0</v>
      </c>
      <c r="K37" s="397">
        <f t="shared" si="0"/>
        <v>0</v>
      </c>
      <c r="L37" s="416">
        <f t="shared" si="3"/>
        <v>0</v>
      </c>
      <c r="M37" s="92"/>
      <c r="N37" s="416"/>
      <c r="O37" s="417">
        <v>40</v>
      </c>
      <c r="P37" s="419">
        <f>J37+O37</f>
        <v>40</v>
      </c>
      <c r="Q37" s="418">
        <f>O37-38.758</f>
        <v>1.2419999999999973</v>
      </c>
    </row>
    <row r="38" spans="1:17" ht="13.5" thickBot="1">
      <c r="A38" s="378" t="s">
        <v>319</v>
      </c>
      <c r="B38" s="163">
        <f>23000+40000</f>
        <v>63000</v>
      </c>
      <c r="C38" s="163"/>
      <c r="D38" s="163"/>
      <c r="E38" s="164"/>
      <c r="F38" s="163">
        <f t="shared" si="1"/>
        <v>63000</v>
      </c>
      <c r="G38" s="165">
        <f>197050-1060</f>
        <v>195990</v>
      </c>
      <c r="H38" s="166">
        <v>2</v>
      </c>
      <c r="I38" s="166">
        <v>108</v>
      </c>
      <c r="J38" s="167">
        <f t="shared" si="2"/>
        <v>196100</v>
      </c>
      <c r="K38" s="397">
        <f t="shared" si="0"/>
        <v>133100</v>
      </c>
      <c r="L38" s="416">
        <f>J38-0.417-393.397-10173.9-6.384-39957.947-71847.988-38432.486</f>
        <v>35287.48100000002</v>
      </c>
      <c r="M38" s="92"/>
      <c r="N38" s="416"/>
      <c r="O38" s="417">
        <v>25190</v>
      </c>
      <c r="P38" s="59"/>
      <c r="Q38" s="418">
        <v>1957.95</v>
      </c>
    </row>
    <row r="39" spans="1:17" ht="13.5" thickBot="1">
      <c r="A39" s="378" t="s">
        <v>320</v>
      </c>
      <c r="B39" s="168"/>
      <c r="C39" s="168"/>
      <c r="D39" s="168"/>
      <c r="E39" s="169"/>
      <c r="F39" s="163">
        <f t="shared" si="1"/>
        <v>0</v>
      </c>
      <c r="G39" s="165"/>
      <c r="H39" s="166"/>
      <c r="I39" s="166"/>
      <c r="J39" s="167">
        <f t="shared" si="2"/>
        <v>0</v>
      </c>
      <c r="K39" s="397">
        <f t="shared" si="0"/>
        <v>0</v>
      </c>
      <c r="L39" s="416">
        <f t="shared" si="3"/>
        <v>0</v>
      </c>
      <c r="M39" s="92"/>
      <c r="N39" s="416"/>
      <c r="O39" s="417"/>
      <c r="P39" s="59"/>
      <c r="Q39" s="418">
        <f t="shared" si="4"/>
        <v>0</v>
      </c>
    </row>
    <row r="40" spans="1:17" ht="13.5" thickBot="1">
      <c r="A40" s="378" t="s">
        <v>321</v>
      </c>
      <c r="B40" s="168"/>
      <c r="C40" s="168"/>
      <c r="D40" s="168"/>
      <c r="E40" s="169"/>
      <c r="F40" s="163">
        <f t="shared" si="1"/>
        <v>0</v>
      </c>
      <c r="G40" s="165"/>
      <c r="H40" s="166"/>
      <c r="I40" s="166"/>
      <c r="J40" s="167">
        <f t="shared" si="2"/>
        <v>0</v>
      </c>
      <c r="K40" s="397">
        <f t="shared" si="0"/>
        <v>0</v>
      </c>
      <c r="L40" s="416">
        <f t="shared" si="3"/>
        <v>0</v>
      </c>
      <c r="M40" s="92"/>
      <c r="N40" s="416"/>
      <c r="O40" s="417">
        <v>281</v>
      </c>
      <c r="P40" s="59"/>
      <c r="Q40" s="418">
        <f t="shared" si="4"/>
        <v>281</v>
      </c>
    </row>
    <row r="41" spans="1:17" ht="13.5" thickBot="1">
      <c r="A41" s="377" t="s">
        <v>322</v>
      </c>
      <c r="B41" s="170">
        <f>124887+123788</f>
        <v>248675</v>
      </c>
      <c r="C41" s="170"/>
      <c r="D41" s="170"/>
      <c r="E41" s="171"/>
      <c r="F41" s="163">
        <f t="shared" si="1"/>
        <v>248675</v>
      </c>
      <c r="G41" s="165">
        <v>219297</v>
      </c>
      <c r="H41" s="166"/>
      <c r="I41" s="166"/>
      <c r="J41" s="167">
        <f t="shared" si="2"/>
        <v>219297</v>
      </c>
      <c r="K41" s="397">
        <f t="shared" si="0"/>
        <v>-29378</v>
      </c>
      <c r="L41" s="416">
        <f t="shared" si="3"/>
        <v>219297</v>
      </c>
      <c r="M41" s="92"/>
      <c r="N41" s="416"/>
      <c r="O41" s="417"/>
      <c r="P41" s="59"/>
      <c r="Q41" s="418">
        <f t="shared" si="4"/>
        <v>0</v>
      </c>
    </row>
    <row r="42" spans="1:17" ht="16.5" customHeight="1" thickBot="1">
      <c r="A42" s="379" t="s">
        <v>323</v>
      </c>
      <c r="B42" s="265">
        <f>713+938</f>
        <v>1651</v>
      </c>
      <c r="C42" s="265">
        <v>40</v>
      </c>
      <c r="D42" s="265"/>
      <c r="E42" s="266">
        <f>6613+7729</f>
        <v>14342</v>
      </c>
      <c r="F42" s="168">
        <f t="shared" si="1"/>
        <v>16033</v>
      </c>
      <c r="G42" s="172">
        <v>689</v>
      </c>
      <c r="H42" s="173">
        <v>382</v>
      </c>
      <c r="I42" s="173">
        <v>11706</v>
      </c>
      <c r="J42" s="174">
        <f t="shared" si="2"/>
        <v>12777</v>
      </c>
      <c r="K42" s="397">
        <f t="shared" si="0"/>
        <v>-3256</v>
      </c>
      <c r="L42" s="420">
        <f t="shared" si="3"/>
        <v>12777</v>
      </c>
      <c r="M42" s="92"/>
      <c r="N42" s="421">
        <f>47959+29094+61790+61706</f>
        <v>200549</v>
      </c>
      <c r="O42" s="422">
        <v>175341</v>
      </c>
      <c r="P42" s="59"/>
      <c r="Q42" s="423">
        <f t="shared" si="4"/>
        <v>175341</v>
      </c>
    </row>
    <row r="43" spans="1:17" s="41" customFormat="1" ht="13.5" thickBot="1">
      <c r="A43" s="123" t="s">
        <v>417</v>
      </c>
      <c r="B43" s="139">
        <f aca="true" t="shared" si="5" ref="B43:J43">SUM(B6:B42)</f>
        <v>2263615</v>
      </c>
      <c r="C43" s="139">
        <f t="shared" si="5"/>
        <v>21787</v>
      </c>
      <c r="D43" s="139">
        <f t="shared" si="5"/>
        <v>2893</v>
      </c>
      <c r="E43" s="140">
        <f t="shared" si="5"/>
        <v>155346</v>
      </c>
      <c r="F43" s="356">
        <f t="shared" si="5"/>
        <v>2443641</v>
      </c>
      <c r="G43" s="357">
        <f t="shared" si="5"/>
        <v>2206796</v>
      </c>
      <c r="H43" s="358">
        <f t="shared" si="5"/>
        <v>24016</v>
      </c>
      <c r="I43" s="358">
        <f t="shared" si="5"/>
        <v>143774</v>
      </c>
      <c r="J43" s="359">
        <f t="shared" si="5"/>
        <v>2374586</v>
      </c>
      <c r="K43" s="398">
        <f>N43-F43</f>
        <v>-1327460</v>
      </c>
      <c r="L43" s="424">
        <f>SUM(L6:L42)</f>
        <v>2208964.984</v>
      </c>
      <c r="M43" s="425"/>
      <c r="N43" s="426">
        <f>SUM(N6:N42)</f>
        <v>1116181</v>
      </c>
      <c r="O43" s="427">
        <f>SUM(O6:O42)</f>
        <v>1252316</v>
      </c>
      <c r="P43" s="427">
        <f>SUM(P6:P42)</f>
        <v>160427</v>
      </c>
      <c r="Q43" s="427">
        <f>SUM(Q6:Q42)</f>
        <v>1228931.982</v>
      </c>
    </row>
    <row r="44" spans="1:17" ht="13.5" thickBot="1">
      <c r="A44" s="360"/>
      <c r="B44" s="361"/>
      <c r="C44" s="361"/>
      <c r="D44" s="361"/>
      <c r="E44" s="361"/>
      <c r="F44" s="362"/>
      <c r="G44" s="363"/>
      <c r="H44" s="363"/>
      <c r="I44" s="364"/>
      <c r="J44" s="365"/>
      <c r="K44" s="366"/>
      <c r="L44" s="428"/>
      <c r="M44" s="92"/>
      <c r="N44" s="429"/>
      <c r="O44" s="430"/>
      <c r="P44" s="431">
        <f>SUM(P6:P43)</f>
        <v>320854</v>
      </c>
      <c r="Q44" s="432"/>
    </row>
    <row r="45" spans="1:17" ht="13.5" thickBot="1">
      <c r="A45" s="360" t="s">
        <v>418</v>
      </c>
      <c r="B45" s="361"/>
      <c r="C45" s="361"/>
      <c r="D45" s="361"/>
      <c r="E45" s="361"/>
      <c r="F45" s="362">
        <f aca="true" t="shared" si="6" ref="F45:L45">F43-F35-F34-F33</f>
        <v>952348</v>
      </c>
      <c r="G45" s="363">
        <f t="shared" si="6"/>
        <v>720221</v>
      </c>
      <c r="H45" s="363">
        <f t="shared" si="6"/>
        <v>23605</v>
      </c>
      <c r="I45" s="364">
        <f t="shared" si="6"/>
        <v>142738</v>
      </c>
      <c r="J45" s="365">
        <f t="shared" si="6"/>
        <v>886564</v>
      </c>
      <c r="K45" s="399">
        <f t="shared" si="6"/>
        <v>-1324189</v>
      </c>
      <c r="L45" s="365">
        <f t="shared" si="6"/>
        <v>720942.9840000002</v>
      </c>
      <c r="M45" s="59"/>
      <c r="N45" s="433" t="s">
        <v>423</v>
      </c>
      <c r="O45" s="434" t="s">
        <v>428</v>
      </c>
      <c r="P45" s="435"/>
      <c r="Q45" s="436">
        <f>O43-Q43</f>
        <v>23384.017999999924</v>
      </c>
    </row>
    <row r="46" spans="1:17" ht="13.5" thickBot="1">
      <c r="A46" s="360" t="s">
        <v>419</v>
      </c>
      <c r="B46" s="361"/>
      <c r="C46" s="361"/>
      <c r="D46" s="361"/>
      <c r="E46" s="361"/>
      <c r="F46" s="367"/>
      <c r="G46" s="368"/>
      <c r="H46" s="368"/>
      <c r="I46" s="369"/>
      <c r="J46" s="370">
        <v>50690</v>
      </c>
      <c r="K46" s="74"/>
      <c r="L46" s="437">
        <f t="shared" si="3"/>
        <v>50690</v>
      </c>
      <c r="M46" s="59"/>
      <c r="N46" s="438"/>
      <c r="O46" s="439"/>
      <c r="P46" s="438"/>
      <c r="Q46" s="440"/>
    </row>
    <row r="47" spans="1:17" s="41" customFormat="1" ht="13.5" thickBot="1">
      <c r="A47" s="384" t="s">
        <v>420</v>
      </c>
      <c r="B47" s="385"/>
      <c r="C47" s="385"/>
      <c r="D47" s="385"/>
      <c r="E47" s="385"/>
      <c r="F47" s="380"/>
      <c r="G47" s="381"/>
      <c r="H47" s="381"/>
      <c r="I47" s="382"/>
      <c r="J47" s="371">
        <f>J45-J46</f>
        <v>835874</v>
      </c>
      <c r="K47" s="400">
        <f>K45-K46</f>
        <v>-1324189</v>
      </c>
      <c r="L47" s="371">
        <f>L45-L46</f>
        <v>670252.9840000002</v>
      </c>
      <c r="M47" s="383"/>
      <c r="N47" s="414"/>
      <c r="O47" s="412"/>
      <c r="P47" s="413"/>
      <c r="Q47" s="245"/>
    </row>
    <row r="48" spans="1:17" s="41" customFormat="1" ht="13.5" thickBot="1">
      <c r="A48" s="372" t="s">
        <v>324</v>
      </c>
      <c r="B48" s="373"/>
      <c r="C48" s="373"/>
      <c r="D48" s="373"/>
      <c r="E48" s="373"/>
      <c r="F48" s="374"/>
      <c r="G48" s="374"/>
      <c r="H48" s="374"/>
      <c r="I48" s="374"/>
      <c r="J48" s="374"/>
      <c r="K48" s="373"/>
      <c r="L48" s="374"/>
      <c r="M48" s="373"/>
      <c r="N48" s="411"/>
      <c r="O48" s="139">
        <v>1164958</v>
      </c>
      <c r="P48" s="394"/>
      <c r="Q48" s="375">
        <f>O48-Q45</f>
        <v>1141573.982</v>
      </c>
    </row>
    <row r="49" spans="1:6" ht="15.75">
      <c r="A49" s="105"/>
      <c r="B49" s="4"/>
      <c r="C49" s="4"/>
      <c r="D49" s="74"/>
      <c r="E49" s="74"/>
      <c r="F49" s="91"/>
    </row>
    <row r="50" spans="1:6" ht="15.75">
      <c r="A50" s="105"/>
      <c r="B50" s="4"/>
      <c r="C50" s="4"/>
      <c r="D50" s="95"/>
      <c r="E50" s="74"/>
      <c r="F50" s="91"/>
    </row>
    <row r="51" spans="1:6" ht="15">
      <c r="A51" s="105"/>
      <c r="B51" s="5"/>
      <c r="C51" s="5"/>
      <c r="D51" s="156"/>
      <c r="E51" s="74"/>
      <c r="F51" s="59"/>
    </row>
    <row r="52" spans="1:6" ht="12.75">
      <c r="A52" s="10"/>
      <c r="B52" s="74"/>
      <c r="C52" s="74"/>
      <c r="F52" s="59"/>
    </row>
    <row r="53" spans="1:6" ht="12.75">
      <c r="A53" s="74"/>
      <c r="B53" s="74"/>
      <c r="C53" s="74"/>
      <c r="D53" s="74"/>
      <c r="E53" s="74"/>
      <c r="F53" s="59"/>
    </row>
    <row r="54" ht="12.75">
      <c r="F54" s="92"/>
    </row>
    <row r="55" ht="12.75">
      <c r="F55" s="92"/>
    </row>
    <row r="56" ht="12.75">
      <c r="F56" s="92"/>
    </row>
    <row r="57" ht="12.75">
      <c r="F57" s="92"/>
    </row>
    <row r="58" ht="12.75">
      <c r="F58" s="92"/>
    </row>
    <row r="59" ht="12.75">
      <c r="F59" s="92"/>
    </row>
    <row r="60" ht="12.75">
      <c r="F60" s="92"/>
    </row>
    <row r="61" ht="12.75">
      <c r="F61" s="92"/>
    </row>
    <row r="62" ht="12.75">
      <c r="F62" s="92"/>
    </row>
  </sheetData>
  <printOptions/>
  <pageMargins left="0.7086614173228347" right="0.1968503937007874" top="1.4173228346456694" bottom="0.984251968503937" header="1.141732283464567" footer="0.5118110236220472"/>
  <pageSetup horizontalDpi="600" verticalDpi="600" orientation="portrait" paperSize="9" r:id="rId1"/>
  <headerFooter alignWithMargins="0">
    <oddHeader>&amp;RPríloha č.6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H22"/>
  <sheetViews>
    <sheetView workbookViewId="0" topLeftCell="A1">
      <selection activeCell="B19" sqref="B19"/>
    </sheetView>
  </sheetViews>
  <sheetFormatPr defaultColWidth="9.00390625" defaultRowHeight="12.75"/>
  <cols>
    <col min="1" max="1" width="1.75390625" style="0" customWidth="1"/>
    <col min="2" max="2" width="15.875" style="0" customWidth="1"/>
  </cols>
  <sheetData>
    <row r="2" spans="2:8" ht="18.75">
      <c r="B2" s="66" t="s">
        <v>51</v>
      </c>
      <c r="C2" s="29"/>
      <c r="D2" s="29"/>
      <c r="E2" s="29"/>
      <c r="F2" s="29"/>
      <c r="G2" s="29"/>
      <c r="H2" s="29"/>
    </row>
    <row r="3" spans="2:8" ht="13.5" thickBot="1">
      <c r="B3" s="67"/>
      <c r="C3" s="67"/>
      <c r="D3" s="67"/>
      <c r="E3" s="67"/>
      <c r="F3" s="67"/>
      <c r="G3" s="67"/>
      <c r="H3" s="67"/>
    </row>
    <row r="4" spans="2:8" s="270" customFormat="1" ht="15.75">
      <c r="B4" s="273"/>
      <c r="C4" s="451" t="s">
        <v>52</v>
      </c>
      <c r="D4" s="452"/>
      <c r="E4" s="453"/>
      <c r="F4" s="281" t="s">
        <v>53</v>
      </c>
      <c r="G4" s="282"/>
      <c r="H4" s="283" t="s">
        <v>54</v>
      </c>
    </row>
    <row r="5" spans="2:8" s="270" customFormat="1" ht="15.75">
      <c r="B5" s="278" t="s">
        <v>55</v>
      </c>
      <c r="C5" s="68" t="s">
        <v>56</v>
      </c>
      <c r="D5" s="68" t="s">
        <v>57</v>
      </c>
      <c r="E5" s="68" t="s">
        <v>58</v>
      </c>
      <c r="F5" s="68" t="s">
        <v>59</v>
      </c>
      <c r="G5" s="68" t="s">
        <v>57</v>
      </c>
      <c r="H5" s="284" t="s">
        <v>60</v>
      </c>
    </row>
    <row r="6" spans="2:8" s="270" customFormat="1" ht="16.5" thickBot="1">
      <c r="B6" s="276"/>
      <c r="C6" s="70">
        <v>2002</v>
      </c>
      <c r="D6" s="71" t="s">
        <v>389</v>
      </c>
      <c r="E6" s="69"/>
      <c r="F6" s="70" t="s">
        <v>388</v>
      </c>
      <c r="G6" s="71" t="s">
        <v>390</v>
      </c>
      <c r="H6" s="285"/>
    </row>
    <row r="7" spans="2:8" s="270" customFormat="1" ht="16.5" thickTop="1">
      <c r="B7" s="278" t="s">
        <v>61</v>
      </c>
      <c r="C7" s="272">
        <v>90.5</v>
      </c>
      <c r="D7" s="272">
        <v>93.05</v>
      </c>
      <c r="E7" s="272">
        <f>D7-C7</f>
        <v>2.549999999999997</v>
      </c>
      <c r="F7" s="272">
        <f>D7/C7*100</f>
        <v>102.81767955801104</v>
      </c>
      <c r="G7" s="272">
        <v>96</v>
      </c>
      <c r="H7" s="279">
        <f>D7/G7</f>
        <v>0.9692708333333333</v>
      </c>
    </row>
    <row r="8" spans="2:8" s="270" customFormat="1" ht="15.75">
      <c r="B8" s="278" t="s">
        <v>62</v>
      </c>
      <c r="C8" s="272">
        <v>90.5</v>
      </c>
      <c r="D8" s="272">
        <v>92.52</v>
      </c>
      <c r="E8" s="272">
        <f>D8-C8</f>
        <v>2.019999999999996</v>
      </c>
      <c r="F8" s="272">
        <f>D8/C8*100</f>
        <v>102.23204419889503</v>
      </c>
      <c r="G8" s="272">
        <v>96.45</v>
      </c>
      <c r="H8" s="279">
        <f>D8/G8</f>
        <v>0.959253499222395</v>
      </c>
    </row>
    <row r="9" spans="2:8" s="270" customFormat="1" ht="16.5" thickBot="1">
      <c r="B9" s="278" t="s">
        <v>63</v>
      </c>
      <c r="C9" s="272">
        <v>96.7</v>
      </c>
      <c r="D9" s="272">
        <v>97.78</v>
      </c>
      <c r="E9" s="272">
        <f>D9-C9</f>
        <v>1.0799999999999983</v>
      </c>
      <c r="F9" s="272">
        <f>D9/C9*100</f>
        <v>101.1168562564633</v>
      </c>
      <c r="G9" s="272">
        <v>98.47</v>
      </c>
      <c r="H9" s="279">
        <f>D7/G7</f>
        <v>0.9692708333333333</v>
      </c>
    </row>
    <row r="10" spans="2:8" s="270" customFormat="1" ht="16.5" thickBot="1">
      <c r="B10" s="280" t="s">
        <v>64</v>
      </c>
      <c r="C10" s="288">
        <v>96</v>
      </c>
      <c r="D10" s="288">
        <v>97.39</v>
      </c>
      <c r="E10" s="288">
        <f>D10-C10</f>
        <v>1.3900000000000006</v>
      </c>
      <c r="F10" s="288">
        <f>D10/C10*100</f>
        <v>101.44791666666666</v>
      </c>
      <c r="G10" s="288">
        <v>98.25</v>
      </c>
      <c r="H10" s="289">
        <f>D7/G7</f>
        <v>0.9692708333333333</v>
      </c>
    </row>
    <row r="11" spans="2:8" ht="12.75">
      <c r="B11" s="29"/>
      <c r="C11" s="29"/>
      <c r="D11" s="29"/>
      <c r="E11" s="29"/>
      <c r="F11" s="29"/>
      <c r="G11" s="29"/>
      <c r="H11" s="29"/>
    </row>
    <row r="12" spans="2:8" ht="12.75">
      <c r="B12" s="29"/>
      <c r="C12" s="29"/>
      <c r="D12" s="29"/>
      <c r="E12" s="29"/>
      <c r="F12" s="29"/>
      <c r="G12" s="29"/>
      <c r="H12" s="29"/>
    </row>
    <row r="13" spans="2:8" ht="12.75">
      <c r="B13" s="29"/>
      <c r="C13" s="29"/>
      <c r="D13" s="29"/>
      <c r="E13" s="29"/>
      <c r="F13" s="29"/>
      <c r="G13" s="29"/>
      <c r="H13" s="29"/>
    </row>
    <row r="14" spans="2:8" ht="18.75">
      <c r="B14" s="66" t="s">
        <v>65</v>
      </c>
      <c r="C14" s="72"/>
      <c r="D14" s="29"/>
      <c r="E14" s="29"/>
      <c r="F14" s="29"/>
      <c r="G14" s="29"/>
      <c r="H14" s="29"/>
    </row>
    <row r="15" spans="2:8" ht="12.75">
      <c r="B15" s="29"/>
      <c r="C15" s="29"/>
      <c r="D15" s="29"/>
      <c r="E15" s="29"/>
      <c r="F15" s="29"/>
      <c r="G15" s="29"/>
      <c r="H15" s="29"/>
    </row>
    <row r="16" spans="2:8" ht="13.5" thickBot="1">
      <c r="B16" s="67"/>
      <c r="C16" s="67"/>
      <c r="D16" s="67"/>
      <c r="E16" s="67"/>
      <c r="F16" s="67"/>
      <c r="G16" s="67"/>
      <c r="H16" s="67"/>
    </row>
    <row r="17" spans="2:8" s="270" customFormat="1" ht="15.75">
      <c r="B17" s="273" t="s">
        <v>66</v>
      </c>
      <c r="C17" s="274" t="s">
        <v>67</v>
      </c>
      <c r="D17" s="274" t="s">
        <v>68</v>
      </c>
      <c r="E17" s="274" t="s">
        <v>69</v>
      </c>
      <c r="F17" s="274" t="s">
        <v>70</v>
      </c>
      <c r="G17" s="274" t="s">
        <v>71</v>
      </c>
      <c r="H17" s="275" t="s">
        <v>72</v>
      </c>
    </row>
    <row r="18" spans="2:8" s="270" customFormat="1" ht="16.5" thickBot="1">
      <c r="B18" s="276" t="s">
        <v>391</v>
      </c>
      <c r="C18" s="271"/>
      <c r="D18" s="271"/>
      <c r="E18" s="271"/>
      <c r="F18" s="271"/>
      <c r="G18" s="271"/>
      <c r="H18" s="277"/>
    </row>
    <row r="19" spans="2:8" s="270" customFormat="1" ht="16.5" thickTop="1">
      <c r="B19" s="278" t="s">
        <v>61</v>
      </c>
      <c r="C19" s="272">
        <v>90.96</v>
      </c>
      <c r="D19" s="272">
        <v>97.95</v>
      </c>
      <c r="E19" s="272">
        <v>94.05</v>
      </c>
      <c r="F19" s="272">
        <v>91.63</v>
      </c>
      <c r="G19" s="272">
        <v>92.41</v>
      </c>
      <c r="H19" s="279">
        <v>91.44</v>
      </c>
    </row>
    <row r="20" spans="2:8" s="270" customFormat="1" ht="15.75">
      <c r="B20" s="278" t="s">
        <v>62</v>
      </c>
      <c r="C20" s="272">
        <v>94.55</v>
      </c>
      <c r="D20" s="272">
        <v>96.03</v>
      </c>
      <c r="E20" s="272">
        <v>94.72</v>
      </c>
      <c r="F20" s="272">
        <v>94.87</v>
      </c>
      <c r="G20" s="272">
        <v>90.33</v>
      </c>
      <c r="H20" s="279">
        <v>84.96</v>
      </c>
    </row>
    <row r="21" spans="2:8" s="270" customFormat="1" ht="16.5" thickBot="1">
      <c r="B21" s="278" t="s">
        <v>63</v>
      </c>
      <c r="C21" s="272">
        <v>97.46</v>
      </c>
      <c r="D21" s="272">
        <v>99.05</v>
      </c>
      <c r="E21" s="272">
        <v>98.17</v>
      </c>
      <c r="F21" s="272">
        <v>97.47</v>
      </c>
      <c r="G21" s="272">
        <v>97.17</v>
      </c>
      <c r="H21" s="279">
        <v>97.45</v>
      </c>
    </row>
    <row r="22" spans="2:8" s="270" customFormat="1" ht="16.5" thickBot="1">
      <c r="B22" s="280" t="s">
        <v>64</v>
      </c>
      <c r="C22" s="286">
        <v>97.25</v>
      </c>
      <c r="D22" s="286">
        <v>98.87</v>
      </c>
      <c r="E22" s="286">
        <v>97.96</v>
      </c>
      <c r="F22" s="286">
        <v>97.24</v>
      </c>
      <c r="G22" s="286">
        <v>96.82</v>
      </c>
      <c r="H22" s="287">
        <v>96.27</v>
      </c>
    </row>
  </sheetData>
  <mergeCells count="1">
    <mergeCell ref="C4:E4"/>
  </mergeCells>
  <printOptions/>
  <pageMargins left="1.54" right="0.75" top="1.42" bottom="1" header="0.99" footer="0.4921259845"/>
  <pageSetup horizontalDpi="600" verticalDpi="600" orientation="landscape" paperSize="9" r:id="rId1"/>
  <headerFooter alignWithMargins="0">
    <oddHeader>&amp;RPríloha č.7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kumančíková kvetoslava</dc:creator>
  <cp:keywords/>
  <dc:description/>
  <cp:lastModifiedBy>DDC</cp:lastModifiedBy>
  <cp:lastPrinted>2002-12-17T15:11:55Z</cp:lastPrinted>
  <dcterms:created xsi:type="dcterms:W3CDTF">2002-08-21T15:28:25Z</dcterms:created>
  <dcterms:modified xsi:type="dcterms:W3CDTF">2002-12-17T15:13:06Z</dcterms:modified>
  <cp:category/>
  <cp:version/>
  <cp:contentType/>
  <cp:contentStatus/>
</cp:coreProperties>
</file>