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chválený " sheetId="1" r:id="rId1"/>
    <sheet name="Upravený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<sst xmlns="http://schemas.openxmlformats.org/spreadsheetml/2006/main" count="227" uniqueCount="88">
  <si>
    <t>(v Sk)</t>
  </si>
  <si>
    <t>Trieda                                                                                 podtrieda</t>
  </si>
  <si>
    <t>600                     Bežné            výdavky                  spolu</t>
  </si>
  <si>
    <t>610                    Mzdy, platy, služobné príjmy       a OOV</t>
  </si>
  <si>
    <t>620                     Poistné                    a príspevok                    do pooisťovní</t>
  </si>
  <si>
    <t>630                 Tovary                      a                    služby</t>
  </si>
  <si>
    <t>640                                 Bežné                transfery                   spolu</t>
  </si>
  <si>
    <t>640                                  Bežné                  transfery rozp. organizácií</t>
  </si>
  <si>
    <t>642, 644                Transfery nefinančným subjektom</t>
  </si>
  <si>
    <t>01.1.3   Zahraničná oblasť ( účasť v medz. org. )</t>
  </si>
  <si>
    <t xml:space="preserve">02.1.0   Vojenská obrana, 02.1.0.3 Hospodárska mobilizácia </t>
  </si>
  <si>
    <t>03.6.0.7 Železničná polícia</t>
  </si>
  <si>
    <t>04.5     DOPRAVA, z toho: 04.5.1 Cestná doprava</t>
  </si>
  <si>
    <t xml:space="preserve">            KÚ pre cestnú dopravu a pozemné komunikácie</t>
  </si>
  <si>
    <t>z toho: KÚ pre CD a PK Bratislava</t>
  </si>
  <si>
    <t>z toho: KÚ pre CD a PK Trnava</t>
  </si>
  <si>
    <t>z toho: KÚ pre CD a PK Nitra</t>
  </si>
  <si>
    <t>z toho: KÚ pre CD a PK Trenčín</t>
  </si>
  <si>
    <t>z toho: KÚ pre CD a PK Banská Bystrica</t>
  </si>
  <si>
    <t>z toho: KÚ pre CD a PK Žilina</t>
  </si>
  <si>
    <t>z toho: KÚ pre CD a PK Prešov</t>
  </si>
  <si>
    <t>z toho: KÚ pre CD a PK Košice</t>
  </si>
  <si>
    <t>04.5.1.1 MDPT</t>
  </si>
  <si>
    <t>z toho: Aparát MDPT SR</t>
  </si>
  <si>
    <t>z toho: Informatizácia spoločnosti</t>
  </si>
  <si>
    <t>04.5.1.1 PJ - Technická pomoc - prostriedky z EÚ</t>
  </si>
  <si>
    <t>04.5.1.1 PJ - Technická pomoc - prostr. ŠR (spolufinancovanie)</t>
  </si>
  <si>
    <t>04.5.1.2 Výstavba a oprava diaľnic a ciest ( SSC )</t>
  </si>
  <si>
    <t>04.5.1.4 Slovenská správa ciest</t>
  </si>
  <si>
    <t>04.5     DOPRAVA, z toho: 04.5.2 Vodná doprava</t>
  </si>
  <si>
    <t>04.5.2.1 Štátna plavebná správa</t>
  </si>
  <si>
    <t>04.5     DOPRAVA, z toho: 04.5.3 Železničná doprava</t>
  </si>
  <si>
    <t>z toho: Železničná spoločnosť, a. s. (BT, ZVVZ)</t>
  </si>
  <si>
    <t>z toho: Železnice SR (BT, ZVVZ)</t>
  </si>
  <si>
    <t xml:space="preserve">z toho: Štátny dráhový úrad </t>
  </si>
  <si>
    <t>04.5.3.1 Technická ochrana a obnova železníc</t>
  </si>
  <si>
    <t>04.5     DOPRAVA, z toho: 04.5.4 Letecká doprava</t>
  </si>
  <si>
    <t>z toho: Dotácie v leteckej doprave</t>
  </si>
  <si>
    <t>z toho: Letecký úrad SR</t>
  </si>
  <si>
    <r>
      <t xml:space="preserve">04.5     DOPRAVA,z toho: 04.5.5 Iná doprava </t>
    </r>
    <r>
      <rPr>
        <sz val="11"/>
        <rFont val="Arial CE"/>
        <family val="2"/>
      </rPr>
      <t>(Komb. doprava)</t>
    </r>
  </si>
  <si>
    <t>0.4.6    KOMUNIKÁCIE, 04.6.0 Komunikácie</t>
  </si>
  <si>
    <t>z toho: Telekomunikačný úrad</t>
  </si>
  <si>
    <t xml:space="preserve">z toho: Poštový regulačný úrad </t>
  </si>
  <si>
    <t xml:space="preserve">04.8.6  Výskum a vývoj v oblasti komunikácií                     </t>
  </si>
  <si>
    <t>07.2.1  Všeobecné lekárske služby (Železničný zdravotný ústav )</t>
  </si>
  <si>
    <t>09.8.0  Vzdelávanie inde neklasifikované</t>
  </si>
  <si>
    <t>REZORT DOPRAVY SPOLU:</t>
  </si>
  <si>
    <t xml:space="preserve">Spracované podľa listu MF SR č. MF/016527/2004-442 z 30.12.2004 - Rozpis záväzných ukazovateľov štátneho rozpočtu na rok 2005                                                                                    a listu OÚ MDPT SR č. 2745/160/04 z 12.11.2004 </t>
  </si>
  <si>
    <t>Trieda                                                                                                    podtrieda</t>
  </si>
  <si>
    <t>700 Kapitálové výdavky</t>
  </si>
  <si>
    <t xml:space="preserve">710 KV rozpočt. organizácií </t>
  </si>
  <si>
    <t>723 Dotácie nefinan. subjektom</t>
  </si>
  <si>
    <t>Bežné a kapitálové výdavky spolu</t>
  </si>
  <si>
    <t>Prostriedky z rozpočtu EÚ</t>
  </si>
  <si>
    <t>Spolufinancovanie zo ŠR</t>
  </si>
  <si>
    <t>04.5     DOPRAVA, z toho: 04.5.1. Cestná doprava</t>
  </si>
  <si>
    <t>z toho: Podpora obrany</t>
  </si>
  <si>
    <t>z toho: Prostriedky ŠR - výstavba diaľnic a rýchl. ciest</t>
  </si>
  <si>
    <t>z toho: Prostriedky ŠR - výstavba ciest I. triedy</t>
  </si>
  <si>
    <t>z toho: PJ MDPT SR - prostriedky z EÚ (ERDF+ KF)</t>
  </si>
  <si>
    <t>z toho: NDS, a.s. - prostriedky z EÚ (ERDF+ KF)</t>
  </si>
  <si>
    <t>z toho: PJ MDPT SR - prostr. ŠR (spolufinan. ERDF + KF)</t>
  </si>
  <si>
    <t>z toho: NDS, a.s. - prostr. ŠR (spolufinancovanie ERDF + KF)</t>
  </si>
  <si>
    <t>z toho: PJ MDPT SR - prostriedky z EÚ (ERDF + KF)</t>
  </si>
  <si>
    <t>z toho: Železnice SR - prostriedky z EÚ (ERDF + KF)</t>
  </si>
  <si>
    <t>z toho: PJ MDPT SR - prostr. zo ŠR (spolufinan. ERDF + KF)</t>
  </si>
  <si>
    <t>z toho: Železnice SR - prostr. zo ŠR (spolufinan. ERDF + KF)</t>
  </si>
  <si>
    <t>z toho: Železnice SR - prostr. zo ŠR (ostatné investičné akcie)</t>
  </si>
  <si>
    <t>04.5.3.1 Technická ochrana a obnova železníc ( býv. ŽV )</t>
  </si>
  <si>
    <t>z toho: PJ MDPT SR - prostriedky z EÚ (ERDF)</t>
  </si>
  <si>
    <t>z toho: Letiskové spoločnosti - prostriedky z EÚ (ERDF)</t>
  </si>
  <si>
    <t>z toho: PJ MDPT SR - prostr. ŠR (spolufinan. ERDF)</t>
  </si>
  <si>
    <t>z toho: Letiskové spoločnosti - prostr. ŠR (spolufinan. ERDF)</t>
  </si>
  <si>
    <t>07.2.1  Všeobecné lekárske služby ( Žel. zdrav. ústav )</t>
  </si>
  <si>
    <t>Trieda                                                                                                                             podtrieda</t>
  </si>
  <si>
    <t>641 BT ver. správy 642, 644 Transfery nefin. subjektom</t>
  </si>
  <si>
    <t>04.5.1.2 Údržba a oprava diaľnic a rýchlostných ciest (NDS, a.s.)</t>
  </si>
  <si>
    <t>04.5.1.2 Údržba a oprava ciest I. tr. a diaľ. privádzačov ( SSC )</t>
  </si>
  <si>
    <t>04.5.1.5 Ústav cestnej dopravy</t>
  </si>
  <si>
    <t xml:space="preserve">z toho: Úrad pre reguláciu železničnej dopravy </t>
  </si>
  <si>
    <t>Spracované po 46 RO MF SR a 54 RO MDPT SR</t>
  </si>
  <si>
    <t>Trieda                                                                                                                                                                podtrieda</t>
  </si>
  <si>
    <t>04.5.1.2 Výstavba diaľnic, rýchlostných ciest a ciest I. triedy</t>
  </si>
  <si>
    <t>z toho: Prostriedky ŠR - výstavba diaľnic a rýchl. ciest (NDS, a.s.)</t>
  </si>
  <si>
    <t>z toho: Prost. ŠR - výstavba ciest I. tr. a diaľ. privádzačov (SSC)</t>
  </si>
  <si>
    <r>
      <t>Pozn.</t>
    </r>
    <r>
      <rPr>
        <sz val="10"/>
        <rFont val="Arial Narrow"/>
        <family val="2"/>
      </rPr>
      <t xml:space="preserve">: RO MDPT SR č. 16 zo 17.8.2005 je zle urobené. 450 000,- Sk minutých na kombinovanú dopravu nemalo ísť na 630 04.5.1.1 MDPT SR ale na 630-ku 04.5.5 Kombinovaná doprava. Len v poslednej tabuľke je to správne.  </t>
    </r>
  </si>
  <si>
    <t xml:space="preserve">Rozpis rozpočtu kapitoly Ministerstva dopravy, pôšt a telekomunikácií SR na rok 2005 podľa rozpisového listu MF SR č. MF/016527/2004-442 z 30.12.2004 - Schválený rozpočet kapitoly MDPT SR na rok 2005                                   </t>
  </si>
  <si>
    <t>UPRAVENÝ ROZPOČET VÝDAVKOV KAPITOLY MDPT SR K 31.12.2005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</si>
</sst>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4">
    <font>
      <sz val="10"/>
      <name val="Arial"/>
      <family val="0"/>
    </font>
    <font>
      <b/>
      <sz val="16"/>
      <name val="Arial CE"/>
      <family val="0"/>
    </font>
    <font>
      <b/>
      <sz val="20"/>
      <name val="Arial CE"/>
      <family val="0"/>
    </font>
    <font>
      <b/>
      <sz val="14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11"/>
      <name val="Arial"/>
      <family val="0"/>
    </font>
    <font>
      <sz val="13"/>
      <name val="Arial CE"/>
      <family val="0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20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CE"/>
      <family val="0"/>
    </font>
    <font>
      <sz val="14"/>
      <name val="Arial CE"/>
      <family val="0"/>
    </font>
    <font>
      <b/>
      <sz val="10"/>
      <name val="Arial CE"/>
      <family val="0"/>
    </font>
    <font>
      <b/>
      <u val="single"/>
      <sz val="14"/>
      <name val="Arial CE"/>
      <family val="0"/>
    </font>
    <font>
      <u val="single"/>
      <sz val="14"/>
      <name val="Arial CE"/>
      <family val="0"/>
    </font>
    <font>
      <sz val="20"/>
      <name val="Arial"/>
      <family val="0"/>
    </font>
    <font>
      <b/>
      <i/>
      <sz val="11"/>
      <name val="Arial CE"/>
      <family val="0"/>
    </font>
    <font>
      <b/>
      <u val="single"/>
      <sz val="10"/>
      <name val="Arial Narrow"/>
      <family val="2"/>
    </font>
    <font>
      <sz val="10"/>
      <name val="Arial Narrow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 vertical="center"/>
    </xf>
    <xf numFmtId="0" fontId="0" fillId="3" borderId="0" xfId="0" applyFill="1" applyAlignment="1">
      <alignment/>
    </xf>
    <xf numFmtId="0" fontId="5" fillId="0" borderId="8" xfId="0" applyFont="1" applyFill="1" applyBorder="1" applyAlignment="1">
      <alignment horizontal="left" vertical="center"/>
    </xf>
    <xf numFmtId="4" fontId="4" fillId="2" borderId="8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16" fontId="4" fillId="4" borderId="14" xfId="0" applyNumberFormat="1" applyFont="1" applyFill="1" applyBorder="1" applyAlignment="1">
      <alignment horizontal="left" vertical="center"/>
    </xf>
    <xf numFmtId="4" fontId="4" fillId="4" borderId="14" xfId="0" applyNumberFormat="1" applyFont="1" applyFill="1" applyBorder="1" applyAlignment="1">
      <alignment horizontal="right" vertical="center"/>
    </xf>
    <xf numFmtId="4" fontId="5" fillId="4" borderId="15" xfId="0" applyNumberFormat="1" applyFont="1" applyFill="1" applyBorder="1" applyAlignment="1">
      <alignment horizontal="right" vertical="center"/>
    </xf>
    <xf numFmtId="4" fontId="5" fillId="4" borderId="16" xfId="0" applyNumberFormat="1" applyFont="1" applyFill="1" applyBorder="1" applyAlignment="1">
      <alignment horizontal="right" vertical="center"/>
    </xf>
    <xf numFmtId="4" fontId="5" fillId="4" borderId="17" xfId="0" applyNumberFormat="1" applyFont="1" applyFill="1" applyBorder="1" applyAlignment="1">
      <alignment horizontal="right" vertical="center"/>
    </xf>
    <xf numFmtId="4" fontId="5" fillId="4" borderId="18" xfId="0" applyNumberFormat="1" applyFont="1" applyFill="1" applyBorder="1" applyAlignment="1">
      <alignment horizontal="right" vertical="center"/>
    </xf>
    <xf numFmtId="16" fontId="4" fillId="2" borderId="14" xfId="0" applyNumberFormat="1" applyFont="1" applyFill="1" applyBorder="1" applyAlignment="1">
      <alignment horizontal="left" vertical="center"/>
    </xf>
    <xf numFmtId="4" fontId="4" fillId="2" borderId="14" xfId="0" applyNumberFormat="1" applyFont="1" applyFill="1" applyBorder="1" applyAlignment="1">
      <alignment horizontal="right" vertical="center"/>
    </xf>
    <xf numFmtId="4" fontId="5" fillId="2" borderId="15" xfId="0" applyNumberFormat="1" applyFont="1" applyFill="1" applyBorder="1" applyAlignment="1">
      <alignment horizontal="right" vertical="center"/>
    </xf>
    <xf numFmtId="4" fontId="5" fillId="2" borderId="19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4" fontId="5" fillId="2" borderId="18" xfId="0" applyNumberFormat="1" applyFont="1" applyFill="1" applyBorder="1" applyAlignment="1">
      <alignment horizontal="right" vertical="center"/>
    </xf>
    <xf numFmtId="16" fontId="5" fillId="3" borderId="1" xfId="0" applyNumberFormat="1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right" vertical="center"/>
    </xf>
    <xf numFmtId="4" fontId="5" fillId="3" borderId="3" xfId="0" applyNumberFormat="1" applyFont="1" applyFill="1" applyBorder="1" applyAlignment="1">
      <alignment horizontal="right" vertical="center"/>
    </xf>
    <xf numFmtId="4" fontId="5" fillId="3" borderId="4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5" fillId="3" borderId="7" xfId="0" applyNumberFormat="1" applyFont="1" applyFill="1" applyBorder="1" applyAlignment="1">
      <alignment horizontal="right" vertical="center"/>
    </xf>
    <xf numFmtId="16" fontId="5" fillId="3" borderId="8" xfId="0" applyNumberFormat="1" applyFont="1" applyFill="1" applyBorder="1" applyAlignment="1">
      <alignment horizontal="left" vertical="center"/>
    </xf>
    <xf numFmtId="4" fontId="5" fillId="3" borderId="11" xfId="0" applyNumberFormat="1" applyFont="1" applyFill="1" applyBorder="1" applyAlignment="1">
      <alignment horizontal="right" vertical="center"/>
    </xf>
    <xf numFmtId="4" fontId="4" fillId="3" borderId="8" xfId="0" applyNumberFormat="1" applyFont="1" applyFill="1" applyBorder="1" applyAlignment="1">
      <alignment horizontal="right" vertical="center"/>
    </xf>
    <xf numFmtId="4" fontId="5" fillId="3" borderId="13" xfId="0" applyNumberFormat="1" applyFont="1" applyFill="1" applyBorder="1" applyAlignment="1">
      <alignment horizontal="right" vertical="center"/>
    </xf>
    <xf numFmtId="16" fontId="5" fillId="3" borderId="21" xfId="0" applyNumberFormat="1" applyFont="1" applyFill="1" applyBorder="1" applyAlignment="1">
      <alignment horizontal="left" vertical="center"/>
    </xf>
    <xf numFmtId="4" fontId="5" fillId="3" borderId="22" xfId="0" applyNumberFormat="1" applyFont="1" applyFill="1" applyBorder="1" applyAlignment="1">
      <alignment horizontal="right" vertical="center"/>
    </xf>
    <xf numFmtId="4" fontId="5" fillId="3" borderId="23" xfId="0" applyNumberFormat="1" applyFont="1" applyFill="1" applyBorder="1" applyAlignment="1">
      <alignment horizontal="right" vertical="center"/>
    </xf>
    <xf numFmtId="16" fontId="5" fillId="3" borderId="24" xfId="0" applyNumberFormat="1" applyFont="1" applyFill="1" applyBorder="1" applyAlignment="1">
      <alignment horizontal="left" vertical="center"/>
    </xf>
    <xf numFmtId="4" fontId="4" fillId="2" borderId="24" xfId="0" applyNumberFormat="1" applyFont="1" applyFill="1" applyBorder="1" applyAlignment="1">
      <alignment horizontal="right" vertical="center"/>
    </xf>
    <xf numFmtId="4" fontId="5" fillId="3" borderId="25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4" fontId="5" fillId="3" borderId="27" xfId="0" applyNumberFormat="1" applyFont="1" applyFill="1" applyBorder="1" applyAlignment="1">
      <alignment horizontal="right" vertical="center"/>
    </xf>
    <xf numFmtId="4" fontId="4" fillId="3" borderId="24" xfId="0" applyNumberFormat="1" applyFont="1" applyFill="1" applyBorder="1" applyAlignment="1">
      <alignment horizontal="right" vertical="center"/>
    </xf>
    <xf numFmtId="4" fontId="5" fillId="3" borderId="28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/>
    </xf>
    <xf numFmtId="4" fontId="4" fillId="2" borderId="8" xfId="0" applyNumberFormat="1" applyFont="1" applyFill="1" applyBorder="1" applyAlignment="1">
      <alignment horizontal="right" vertical="center"/>
    </xf>
    <xf numFmtId="4" fontId="6" fillId="2" borderId="9" xfId="0" applyNumberFormat="1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vertical="center"/>
    </xf>
    <xf numFmtId="4" fontId="6" fillId="2" borderId="13" xfId="0" applyNumberFormat="1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horizontal="right" vertical="center"/>
    </xf>
    <xf numFmtId="4" fontId="5" fillId="2" borderId="29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left" vertical="center"/>
    </xf>
    <xf numFmtId="4" fontId="5" fillId="5" borderId="3" xfId="0" applyNumberFormat="1" applyFont="1" applyFill="1" applyBorder="1" applyAlignment="1">
      <alignment horizontal="right" vertical="center"/>
    </xf>
    <xf numFmtId="4" fontId="5" fillId="5" borderId="5" xfId="0" applyNumberFormat="1" applyFont="1" applyFill="1" applyBorder="1" applyAlignment="1">
      <alignment horizontal="right" vertical="center"/>
    </xf>
    <xf numFmtId="4" fontId="5" fillId="5" borderId="13" xfId="0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right" vertical="center"/>
    </xf>
    <xf numFmtId="4" fontId="5" fillId="5" borderId="7" xfId="0" applyNumberFormat="1" applyFont="1" applyFill="1" applyBorder="1" applyAlignment="1">
      <alignment horizontal="right" vertical="center"/>
    </xf>
    <xf numFmtId="0" fontId="5" fillId="5" borderId="21" xfId="0" applyFont="1" applyFill="1" applyBorder="1" applyAlignment="1">
      <alignment horizontal="left" vertical="center"/>
    </xf>
    <xf numFmtId="4" fontId="4" fillId="2" borderId="21" xfId="0" applyNumberFormat="1" applyFont="1" applyFill="1" applyBorder="1" applyAlignment="1">
      <alignment horizontal="right" vertical="center"/>
    </xf>
    <xf numFmtId="4" fontId="5" fillId="5" borderId="30" xfId="0" applyNumberFormat="1" applyFont="1" applyFill="1" applyBorder="1" applyAlignment="1">
      <alignment horizontal="right" vertical="center"/>
    </xf>
    <xf numFmtId="4" fontId="5" fillId="5" borderId="31" xfId="0" applyNumberFormat="1" applyFont="1" applyFill="1" applyBorder="1" applyAlignment="1">
      <alignment horizontal="right" vertical="center"/>
    </xf>
    <xf numFmtId="4" fontId="5" fillId="5" borderId="22" xfId="0" applyNumberFormat="1" applyFont="1" applyFill="1" applyBorder="1" applyAlignment="1">
      <alignment horizontal="right" vertical="center"/>
    </xf>
    <xf numFmtId="4" fontId="4" fillId="5" borderId="21" xfId="0" applyNumberFormat="1" applyFont="1" applyFill="1" applyBorder="1" applyAlignment="1">
      <alignment horizontal="right" vertical="center"/>
    </xf>
    <xf numFmtId="4" fontId="5" fillId="5" borderId="23" xfId="0" applyNumberFormat="1" applyFont="1" applyFill="1" applyBorder="1" applyAlignment="1">
      <alignment horizontal="right" vertical="center"/>
    </xf>
    <xf numFmtId="0" fontId="4" fillId="4" borderId="32" xfId="0" applyFont="1" applyFill="1" applyBorder="1" applyAlignment="1">
      <alignment horizontal="left" vertical="center"/>
    </xf>
    <xf numFmtId="4" fontId="4" fillId="4" borderId="32" xfId="0" applyNumberFormat="1" applyFont="1" applyFill="1" applyBorder="1" applyAlignment="1">
      <alignment horizontal="right" vertical="center"/>
    </xf>
    <xf numFmtId="4" fontId="5" fillId="4" borderId="33" xfId="0" applyNumberFormat="1" applyFont="1" applyFill="1" applyBorder="1" applyAlignment="1">
      <alignment horizontal="right" vertical="center"/>
    </xf>
    <xf numFmtId="4" fontId="5" fillId="4" borderId="34" xfId="0" applyNumberFormat="1" applyFont="1" applyFill="1" applyBorder="1" applyAlignment="1">
      <alignment horizontal="right" vertical="center"/>
    </xf>
    <xf numFmtId="4" fontId="5" fillId="4" borderId="35" xfId="0" applyNumberFormat="1" applyFont="1" applyFill="1" applyBorder="1" applyAlignment="1">
      <alignment horizontal="right" vertical="center"/>
    </xf>
    <xf numFmtId="4" fontId="5" fillId="4" borderId="36" xfId="0" applyNumberFormat="1" applyFont="1" applyFill="1" applyBorder="1" applyAlignment="1">
      <alignment horizontal="right" vertical="center"/>
    </xf>
    <xf numFmtId="4" fontId="5" fillId="4" borderId="37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4" fillId="4" borderId="32" xfId="0" applyFont="1" applyFill="1" applyBorder="1" applyAlignment="1">
      <alignment vertical="center"/>
    </xf>
    <xf numFmtId="4" fontId="5" fillId="4" borderId="32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4" fontId="5" fillId="0" borderId="30" xfId="0" applyNumberFormat="1" applyFont="1" applyBorder="1" applyAlignment="1">
      <alignment horizontal="right" vertical="center"/>
    </xf>
    <xf numFmtId="4" fontId="5" fillId="0" borderId="31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horizontal="right" vertical="center"/>
    </xf>
    <xf numFmtId="4" fontId="4" fillId="0" borderId="38" xfId="0" applyNumberFormat="1" applyFont="1" applyFill="1" applyBorder="1" applyAlignment="1">
      <alignment horizontal="right" vertical="center"/>
    </xf>
    <xf numFmtId="4" fontId="4" fillId="4" borderId="36" xfId="0" applyNumberFormat="1" applyFont="1" applyFill="1" applyBorder="1" applyAlignment="1">
      <alignment horizontal="right" vertical="center"/>
    </xf>
    <xf numFmtId="4" fontId="4" fillId="4" borderId="37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4" fontId="5" fillId="0" borderId="25" xfId="0" applyNumberFormat="1" applyFont="1" applyBorder="1" applyAlignment="1">
      <alignment horizontal="right" vertical="center"/>
    </xf>
    <xf numFmtId="4" fontId="5" fillId="0" borderId="27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5" fillId="0" borderId="28" xfId="0" applyNumberFormat="1" applyFont="1" applyBorder="1" applyAlignment="1">
      <alignment horizontal="right" vertical="center"/>
    </xf>
    <xf numFmtId="0" fontId="4" fillId="6" borderId="32" xfId="0" applyFont="1" applyFill="1" applyBorder="1" applyAlignment="1">
      <alignment vertical="center"/>
    </xf>
    <xf numFmtId="4" fontId="4" fillId="2" borderId="32" xfId="0" applyNumberFormat="1" applyFont="1" applyFill="1" applyBorder="1" applyAlignment="1">
      <alignment horizontal="right" vertical="center"/>
    </xf>
    <xf numFmtId="4" fontId="5" fillId="6" borderId="33" xfId="0" applyNumberFormat="1" applyFont="1" applyFill="1" applyBorder="1" applyAlignment="1">
      <alignment horizontal="right" vertical="center"/>
    </xf>
    <xf numFmtId="4" fontId="5" fillId="6" borderId="34" xfId="0" applyNumberFormat="1" applyFont="1" applyFill="1" applyBorder="1" applyAlignment="1">
      <alignment horizontal="right" vertical="center"/>
    </xf>
    <xf numFmtId="4" fontId="5" fillId="6" borderId="35" xfId="0" applyNumberFormat="1" applyFont="1" applyFill="1" applyBorder="1" applyAlignment="1">
      <alignment horizontal="right" vertical="center"/>
    </xf>
    <xf numFmtId="4" fontId="4" fillId="6" borderId="32" xfId="0" applyNumberFormat="1" applyFont="1" applyFill="1" applyBorder="1" applyAlignment="1">
      <alignment horizontal="right" vertical="center"/>
    </xf>
    <xf numFmtId="4" fontId="5" fillId="6" borderId="36" xfId="0" applyNumberFormat="1" applyFont="1" applyFill="1" applyBorder="1" applyAlignment="1">
      <alignment horizontal="right" vertical="center"/>
    </xf>
    <xf numFmtId="4" fontId="5" fillId="6" borderId="37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0" fontId="5" fillId="0" borderId="8" xfId="0" applyFont="1" applyFill="1" applyBorder="1" applyAlignment="1">
      <alignment vertical="center" wrapText="1"/>
    </xf>
    <xf numFmtId="14" fontId="5" fillId="0" borderId="24" xfId="0" applyNumberFormat="1" applyFont="1" applyFill="1" applyBorder="1" applyAlignment="1">
      <alignment vertical="center"/>
    </xf>
    <xf numFmtId="0" fontId="4" fillId="7" borderId="32" xfId="0" applyFont="1" applyFill="1" applyBorder="1" applyAlignment="1">
      <alignment vertical="center"/>
    </xf>
    <xf numFmtId="4" fontId="4" fillId="7" borderId="32" xfId="0" applyNumberFormat="1" applyFont="1" applyFill="1" applyBorder="1" applyAlignment="1">
      <alignment horizontal="right"/>
    </xf>
    <xf numFmtId="4" fontId="4" fillId="7" borderId="39" xfId="0" applyNumberFormat="1" applyFont="1" applyFill="1" applyBorder="1" applyAlignment="1">
      <alignment horizontal="right"/>
    </xf>
    <xf numFmtId="4" fontId="4" fillId="7" borderId="40" xfId="0" applyNumberFormat="1" applyFont="1" applyFill="1" applyBorder="1" applyAlignment="1">
      <alignment horizontal="right"/>
    </xf>
    <xf numFmtId="4" fontId="4" fillId="7" borderId="35" xfId="0" applyNumberFormat="1" applyFont="1" applyFill="1" applyBorder="1" applyAlignment="1">
      <alignment horizontal="right"/>
    </xf>
    <xf numFmtId="4" fontId="4" fillId="7" borderId="32" xfId="0" applyNumberFormat="1" applyFont="1" applyFill="1" applyBorder="1" applyAlignment="1">
      <alignment horizontal="right"/>
    </xf>
    <xf numFmtId="4" fontId="4" fillId="7" borderId="41" xfId="0" applyNumberFormat="1" applyFont="1" applyFill="1" applyBorder="1" applyAlignment="1">
      <alignment horizontal="right"/>
    </xf>
    <xf numFmtId="0" fontId="4" fillId="0" borderId="32" xfId="0" applyFont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4" fontId="8" fillId="2" borderId="33" xfId="0" applyNumberFormat="1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3" borderId="1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4" fontId="5" fillId="0" borderId="25" xfId="0" applyNumberFormat="1" applyFont="1" applyFill="1" applyBorder="1" applyAlignment="1">
      <alignment horizontal="right" vertical="center"/>
    </xf>
    <xf numFmtId="4" fontId="5" fillId="0" borderId="28" xfId="0" applyNumberFormat="1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6" fontId="4" fillId="4" borderId="32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" fontId="5" fillId="2" borderId="15" xfId="0" applyNumberFormat="1" applyFont="1" applyFill="1" applyBorder="1" applyAlignment="1">
      <alignment horizontal="right" vertical="center"/>
    </xf>
    <xf numFmtId="4" fontId="5" fillId="2" borderId="18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2" fontId="5" fillId="3" borderId="8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4" fontId="5" fillId="2" borderId="9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4" fontId="4" fillId="5" borderId="8" xfId="0" applyNumberFormat="1" applyFont="1" applyFill="1" applyBorder="1" applyAlignment="1">
      <alignment horizontal="right" vertical="center"/>
    </xf>
    <xf numFmtId="4" fontId="4" fillId="5" borderId="42" xfId="0" applyNumberFormat="1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4" fontId="4" fillId="5" borderId="14" xfId="0" applyNumberFormat="1" applyFont="1" applyFill="1" applyBorder="1" applyAlignment="1">
      <alignment horizontal="right" vertical="center"/>
    </xf>
    <xf numFmtId="0" fontId="12" fillId="5" borderId="42" xfId="0" applyFont="1" applyFill="1" applyBorder="1" applyAlignment="1">
      <alignment horizontal="justify" vertical="center"/>
    </xf>
    <xf numFmtId="4" fontId="13" fillId="5" borderId="8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/>
    </xf>
    <xf numFmtId="4" fontId="5" fillId="2" borderId="33" xfId="0" applyNumberFormat="1" applyFont="1" applyFill="1" applyBorder="1" applyAlignment="1">
      <alignment horizontal="right" vertical="center"/>
    </xf>
    <xf numFmtId="4" fontId="5" fillId="2" borderId="37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justify" vertical="center"/>
    </xf>
    <xf numFmtId="0" fontId="12" fillId="0" borderId="21" xfId="0" applyFont="1" applyBorder="1" applyAlignment="1">
      <alignment horizontal="justify" vertical="center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right" vertical="center"/>
    </xf>
    <xf numFmtId="3" fontId="14" fillId="0" borderId="21" xfId="0" applyNumberFormat="1" applyFont="1" applyBorder="1" applyAlignment="1">
      <alignment horizontal="right" vertical="center"/>
    </xf>
    <xf numFmtId="4" fontId="5" fillId="5" borderId="9" xfId="0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right" vertical="center"/>
    </xf>
    <xf numFmtId="4" fontId="4" fillId="5" borderId="42" xfId="0" applyNumberFormat="1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5" fillId="0" borderId="8" xfId="0" applyFont="1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1" xfId="0" applyFont="1" applyBorder="1" applyAlignment="1">
      <alignment horizontal="left" vertical="center"/>
    </xf>
    <xf numFmtId="0" fontId="12" fillId="0" borderId="0" xfId="0" applyFont="1" applyAlignment="1">
      <alignment horizontal="justify"/>
    </xf>
    <xf numFmtId="4" fontId="4" fillId="2" borderId="6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5" borderId="8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4" fontId="4" fillId="5" borderId="42" xfId="0" applyNumberFormat="1" applyFont="1" applyFill="1" applyBorder="1" applyAlignment="1">
      <alignment horizontal="center" vertical="center" wrapText="1"/>
    </xf>
    <xf numFmtId="0" fontId="0" fillId="5" borderId="8" xfId="0" applyFill="1" applyBorder="1" applyAlignment="1">
      <alignment vertical="center"/>
    </xf>
    <xf numFmtId="0" fontId="0" fillId="5" borderId="42" xfId="0" applyFill="1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5" borderId="8" xfId="0" applyFont="1" applyFill="1" applyBorder="1" applyAlignment="1">
      <alignment vertical="center"/>
    </xf>
    <xf numFmtId="0" fontId="16" fillId="0" borderId="0" xfId="0" applyFont="1" applyBorder="1" applyAlignment="1">
      <alignment horizontal="center" wrapText="1"/>
    </xf>
    <xf numFmtId="4" fontId="5" fillId="5" borderId="25" xfId="0" applyNumberFormat="1" applyFont="1" applyFill="1" applyBorder="1" applyAlignment="1">
      <alignment horizontal="right" vertical="center"/>
    </xf>
    <xf numFmtId="4" fontId="5" fillId="5" borderId="28" xfId="0" applyNumberFormat="1" applyFont="1" applyFill="1" applyBorder="1" applyAlignment="1">
      <alignment horizontal="right" vertical="center"/>
    </xf>
    <xf numFmtId="0" fontId="15" fillId="5" borderId="42" xfId="0" applyFont="1" applyFill="1" applyBorder="1" applyAlignment="1">
      <alignment vertical="center"/>
    </xf>
    <xf numFmtId="0" fontId="15" fillId="0" borderId="0" xfId="0" applyFont="1" applyAlignment="1">
      <alignment/>
    </xf>
    <xf numFmtId="4" fontId="5" fillId="4" borderId="33" xfId="0" applyNumberFormat="1" applyFont="1" applyFill="1" applyBorder="1" applyAlignment="1">
      <alignment horizontal="right" vertical="center"/>
    </xf>
    <xf numFmtId="4" fontId="5" fillId="4" borderId="37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4" fontId="5" fillId="3" borderId="9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vertical="center"/>
    </xf>
    <xf numFmtId="4" fontId="5" fillId="3" borderId="42" xfId="0" applyNumberFormat="1" applyFont="1" applyFill="1" applyBorder="1" applyAlignment="1">
      <alignment horizontal="right" vertical="center"/>
    </xf>
    <xf numFmtId="14" fontId="5" fillId="3" borderId="24" xfId="0" applyNumberFormat="1" applyFont="1" applyFill="1" applyBorder="1" applyAlignment="1">
      <alignment vertical="center"/>
    </xf>
    <xf numFmtId="4" fontId="4" fillId="7" borderId="32" xfId="0" applyNumberFormat="1" applyFont="1" applyFill="1" applyBorder="1" applyAlignment="1">
      <alignment horizontal="right" vertical="center"/>
    </xf>
    <xf numFmtId="4" fontId="4" fillId="7" borderId="33" xfId="0" applyNumberFormat="1" applyFont="1" applyFill="1" applyBorder="1" applyAlignment="1">
      <alignment horizontal="right" vertical="center"/>
    </xf>
    <xf numFmtId="4" fontId="4" fillId="7" borderId="37" xfId="0" applyNumberFormat="1" applyFont="1" applyFill="1" applyBorder="1" applyAlignment="1">
      <alignment horizontal="right" vertical="center"/>
    </xf>
    <xf numFmtId="4" fontId="4" fillId="7" borderId="33" xfId="0" applyNumberFormat="1" applyFont="1" applyFill="1" applyBorder="1" applyAlignment="1">
      <alignment horizontal="center" vertical="center"/>
    </xf>
    <xf numFmtId="4" fontId="4" fillId="7" borderId="3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Border="1" applyAlignment="1">
      <alignment wrapText="1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4" fontId="5" fillId="0" borderId="29" xfId="0" applyNumberFormat="1" applyFont="1" applyFill="1" applyBorder="1" applyAlignment="1">
      <alignment horizontal="right" vertical="center"/>
    </xf>
    <xf numFmtId="4" fontId="4" fillId="3" borderId="8" xfId="0" applyNumberFormat="1" applyFont="1" applyFill="1" applyBorder="1" applyAlignment="1">
      <alignment horizontal="right" vertical="center"/>
    </xf>
    <xf numFmtId="0" fontId="5" fillId="5" borderId="8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right" vertical="center"/>
    </xf>
    <xf numFmtId="4" fontId="5" fillId="0" borderId="3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22" xfId="0" applyNumberFormat="1" applyFont="1" applyFill="1" applyBorder="1" applyAlignment="1">
      <alignment horizontal="right" vertical="center"/>
    </xf>
    <xf numFmtId="4" fontId="5" fillId="0" borderId="23" xfId="0" applyNumberFormat="1" applyFont="1" applyFill="1" applyBorder="1" applyAlignment="1">
      <alignment horizontal="right" vertical="center"/>
    </xf>
    <xf numFmtId="4" fontId="4" fillId="4" borderId="37" xfId="0" applyNumberFormat="1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horizontal="right" vertical="center"/>
    </xf>
    <xf numFmtId="4" fontId="4" fillId="2" borderId="33" xfId="0" applyNumberFormat="1" applyFont="1" applyFill="1" applyBorder="1" applyAlignment="1">
      <alignment horizontal="right" vertical="center"/>
    </xf>
    <xf numFmtId="4" fontId="4" fillId="2" borderId="37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4" fontId="5" fillId="0" borderId="44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20" fillId="0" borderId="7" xfId="0" applyNumberFormat="1" applyFont="1" applyFill="1" applyBorder="1" applyAlignment="1">
      <alignment horizontal="right" vertical="center"/>
    </xf>
    <xf numFmtId="4" fontId="20" fillId="0" borderId="13" xfId="0" applyNumberFormat="1" applyFont="1" applyFill="1" applyBorder="1" applyAlignment="1">
      <alignment horizontal="right" vertical="center"/>
    </xf>
    <xf numFmtId="4" fontId="5" fillId="5" borderId="45" xfId="0" applyNumberFormat="1" applyFont="1" applyFill="1" applyBorder="1" applyAlignment="1">
      <alignment horizontal="right" vertical="center"/>
    </xf>
    <xf numFmtId="4" fontId="5" fillId="5" borderId="29" xfId="0" applyNumberFormat="1" applyFont="1" applyFill="1" applyBorder="1" applyAlignment="1">
      <alignment horizontal="right" vertical="center"/>
    </xf>
    <xf numFmtId="4" fontId="5" fillId="5" borderId="46" xfId="0" applyNumberFormat="1" applyFont="1" applyFill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60.421875" style="0" customWidth="1"/>
    <col min="2" max="2" width="18.7109375" style="0" customWidth="1"/>
    <col min="3" max="3" width="18.00390625" style="0" customWidth="1"/>
    <col min="4" max="5" width="18.140625" style="0" customWidth="1"/>
    <col min="6" max="6" width="20.00390625" style="0" customWidth="1"/>
    <col min="7" max="7" width="18.7109375" style="0" customWidth="1"/>
    <col min="8" max="8" width="19.8515625" style="0" customWidth="1"/>
    <col min="9" max="9" width="10.421875" style="0" customWidth="1"/>
    <col min="10" max="10" width="10.28125" style="0" customWidth="1"/>
    <col min="11" max="11" width="9.8515625" style="0" customWidth="1"/>
    <col min="12" max="12" width="10.00390625" style="0" customWidth="1"/>
    <col min="13" max="13" width="11.28125" style="0" customWidth="1"/>
    <col min="14" max="14" width="10.00390625" style="0" customWidth="1"/>
  </cols>
  <sheetData>
    <row r="1" spans="1:14" ht="39.75" customHeight="1">
      <c r="A1" s="269" t="s">
        <v>86</v>
      </c>
      <c r="B1" s="270"/>
      <c r="C1" s="270"/>
      <c r="D1" s="270"/>
      <c r="E1" s="270"/>
      <c r="F1" s="270"/>
      <c r="G1" s="270"/>
      <c r="H1" s="270"/>
      <c r="I1" s="2"/>
      <c r="J1" s="2"/>
      <c r="K1" s="2"/>
      <c r="L1" s="2"/>
      <c r="M1" s="2"/>
      <c r="N1" s="2"/>
    </row>
    <row r="2" spans="1:14" ht="21" customHeight="1" thickBot="1">
      <c r="A2" s="3"/>
      <c r="B2" s="3"/>
      <c r="C2" s="3"/>
      <c r="D2" s="3"/>
      <c r="E2" s="3"/>
      <c r="F2" s="3"/>
      <c r="G2" s="3"/>
      <c r="H2" s="4" t="s">
        <v>0</v>
      </c>
      <c r="I2" s="2"/>
      <c r="J2" s="2"/>
      <c r="K2" s="2"/>
      <c r="L2" s="2"/>
      <c r="M2" s="2"/>
      <c r="N2" s="2"/>
    </row>
    <row r="3" spans="1:8" ht="18.75" customHeight="1">
      <c r="A3" s="271" t="s">
        <v>1</v>
      </c>
      <c r="B3" s="274" t="s">
        <v>2</v>
      </c>
      <c r="C3" s="277" t="s">
        <v>3</v>
      </c>
      <c r="D3" s="280" t="s">
        <v>4</v>
      </c>
      <c r="E3" s="283" t="s">
        <v>5</v>
      </c>
      <c r="F3" s="271" t="s">
        <v>6</v>
      </c>
      <c r="G3" s="288" t="s">
        <v>7</v>
      </c>
      <c r="H3" s="291" t="s">
        <v>8</v>
      </c>
    </row>
    <row r="4" spans="1:8" ht="21.75" customHeight="1">
      <c r="A4" s="272"/>
      <c r="B4" s="275"/>
      <c r="C4" s="278"/>
      <c r="D4" s="281"/>
      <c r="E4" s="284"/>
      <c r="F4" s="286"/>
      <c r="G4" s="289"/>
      <c r="H4" s="292"/>
    </row>
    <row r="5" spans="1:8" ht="18.75" customHeight="1" thickBot="1">
      <c r="A5" s="273"/>
      <c r="B5" s="276"/>
      <c r="C5" s="279"/>
      <c r="D5" s="282"/>
      <c r="E5" s="285"/>
      <c r="F5" s="287"/>
      <c r="G5" s="290"/>
      <c r="H5" s="293"/>
    </row>
    <row r="6" spans="1:8" s="12" customFormat="1" ht="15">
      <c r="A6" s="5" t="s">
        <v>9</v>
      </c>
      <c r="B6" s="6">
        <f>SUM(C6+D6+E6+F6)</f>
        <v>7000000</v>
      </c>
      <c r="C6" s="7"/>
      <c r="D6" s="8"/>
      <c r="E6" s="9"/>
      <c r="F6" s="10">
        <f>SUM(G6+H6)</f>
        <v>7000000</v>
      </c>
      <c r="G6" s="9">
        <f>4500000+2500000</f>
        <v>7000000</v>
      </c>
      <c r="H6" s="11"/>
    </row>
    <row r="7" spans="1:8" ht="15">
      <c r="A7" s="13" t="s">
        <v>10</v>
      </c>
      <c r="B7" s="14">
        <f>SUM(C7+D7+E7+F7)</f>
        <v>44000000</v>
      </c>
      <c r="C7" s="15"/>
      <c r="D7" s="16"/>
      <c r="E7" s="17">
        <v>44000000</v>
      </c>
      <c r="F7" s="18">
        <f>SUM(G7+H7)</f>
        <v>0</v>
      </c>
      <c r="G7" s="16"/>
      <c r="H7" s="19"/>
    </row>
    <row r="8" spans="1:8" ht="15">
      <c r="A8" s="20" t="s">
        <v>11</v>
      </c>
      <c r="B8" s="14">
        <f>SUM(C8+D8+E8+F8)</f>
        <v>515998000</v>
      </c>
      <c r="C8" s="15">
        <v>322970000</v>
      </c>
      <c r="D8" s="16">
        <f>93350000+1819000</f>
        <v>95169000</v>
      </c>
      <c r="E8" s="17">
        <v>87859000</v>
      </c>
      <c r="F8" s="21">
        <f>SUM(G8+H8)</f>
        <v>10000000</v>
      </c>
      <c r="G8" s="17">
        <v>10000000</v>
      </c>
      <c r="H8" s="22"/>
    </row>
    <row r="9" spans="1:8" s="12" customFormat="1" ht="15.75" thickBot="1">
      <c r="A9" s="23" t="s">
        <v>12</v>
      </c>
      <c r="B9" s="24">
        <f aca="true" t="shared" si="0" ref="B9:H9">SUM(B10+B19+B22+B23+B24+B25)</f>
        <v>2548996000</v>
      </c>
      <c r="C9" s="25">
        <f>SUM(C10+C19+C22+C23+C24+C25)</f>
        <v>408203000</v>
      </c>
      <c r="D9" s="26">
        <f>SUM(D10+D19+D22+D23+D24+D25)</f>
        <v>149468000</v>
      </c>
      <c r="E9" s="27">
        <f>SUM(E10+E19+E22+E23+E24+E25)</f>
        <v>1970561000</v>
      </c>
      <c r="F9" s="24">
        <f t="shared" si="0"/>
        <v>20764000</v>
      </c>
      <c r="G9" s="25">
        <f>SUM(G10+G19+G22+G23+G24+G25)</f>
        <v>20764000</v>
      </c>
      <c r="H9" s="28">
        <f t="shared" si="0"/>
        <v>0</v>
      </c>
    </row>
    <row r="10" spans="1:8" s="12" customFormat="1" ht="15.75" thickBot="1">
      <c r="A10" s="29" t="s">
        <v>13</v>
      </c>
      <c r="B10" s="30">
        <f aca="true" t="shared" si="1" ref="B10:B25">SUM(C10+D10+E10+F10)</f>
        <v>147439000</v>
      </c>
      <c r="C10" s="31">
        <f>SUM(C11:C18)</f>
        <v>80137000</v>
      </c>
      <c r="D10" s="32">
        <f>SUM(D11:D18)</f>
        <v>28190000</v>
      </c>
      <c r="E10" s="33">
        <f>SUM(E11:E18)</f>
        <v>31612000</v>
      </c>
      <c r="F10" s="30">
        <f aca="true" t="shared" si="2" ref="F10:F25">SUM(G10+H10)</f>
        <v>7500000</v>
      </c>
      <c r="G10" s="33">
        <f>SUM(G11:G18)</f>
        <v>7500000</v>
      </c>
      <c r="H10" s="34">
        <f>SUM(H11:H18)</f>
        <v>0</v>
      </c>
    </row>
    <row r="11" spans="1:8" ht="15">
      <c r="A11" s="35" t="s">
        <v>14</v>
      </c>
      <c r="B11" s="36">
        <f t="shared" si="1"/>
        <v>16942000</v>
      </c>
      <c r="C11" s="37">
        <v>9332000</v>
      </c>
      <c r="D11" s="38">
        <v>3262000</v>
      </c>
      <c r="E11" s="39">
        <f>3137000-25000</f>
        <v>3112000</v>
      </c>
      <c r="F11" s="40">
        <f t="shared" si="2"/>
        <v>1236000</v>
      </c>
      <c r="G11" s="39">
        <v>1236000</v>
      </c>
      <c r="H11" s="41"/>
    </row>
    <row r="12" spans="1:8" ht="15">
      <c r="A12" s="42" t="s">
        <v>15</v>
      </c>
      <c r="B12" s="36">
        <f t="shared" si="1"/>
        <v>15261000</v>
      </c>
      <c r="C12" s="37">
        <v>8285000</v>
      </c>
      <c r="D12" s="38">
        <v>2896000</v>
      </c>
      <c r="E12" s="43">
        <f>3600000+2000</f>
        <v>3602000</v>
      </c>
      <c r="F12" s="44">
        <f t="shared" si="2"/>
        <v>478000</v>
      </c>
      <c r="G12" s="39">
        <v>478000</v>
      </c>
      <c r="H12" s="45"/>
    </row>
    <row r="13" spans="1:8" ht="15">
      <c r="A13" s="46" t="s">
        <v>16</v>
      </c>
      <c r="B13" s="36">
        <f t="shared" si="1"/>
        <v>17525000</v>
      </c>
      <c r="C13" s="37">
        <v>9080000</v>
      </c>
      <c r="D13" s="38">
        <v>3355000</v>
      </c>
      <c r="E13" s="47">
        <v>4516000</v>
      </c>
      <c r="F13" s="44">
        <f t="shared" si="2"/>
        <v>574000</v>
      </c>
      <c r="G13" s="39">
        <v>574000</v>
      </c>
      <c r="H13" s="48"/>
    </row>
    <row r="14" spans="1:8" ht="15">
      <c r="A14" s="42" t="s">
        <v>17</v>
      </c>
      <c r="B14" s="36">
        <f t="shared" si="1"/>
        <v>15911000</v>
      </c>
      <c r="C14" s="37">
        <v>8769000</v>
      </c>
      <c r="D14" s="38">
        <v>3065000</v>
      </c>
      <c r="E14" s="43">
        <f>3333000-67000</f>
        <v>3266000</v>
      </c>
      <c r="F14" s="44">
        <f t="shared" si="2"/>
        <v>811000</v>
      </c>
      <c r="G14" s="39">
        <v>811000</v>
      </c>
      <c r="H14" s="45"/>
    </row>
    <row r="15" spans="1:8" ht="15">
      <c r="A15" s="46" t="s">
        <v>18</v>
      </c>
      <c r="B15" s="36">
        <f t="shared" si="1"/>
        <v>20564000</v>
      </c>
      <c r="C15" s="37">
        <v>11379000</v>
      </c>
      <c r="D15" s="38">
        <v>3977000</v>
      </c>
      <c r="E15" s="47">
        <f>3900000+231000</f>
        <v>4131000</v>
      </c>
      <c r="F15" s="44">
        <f t="shared" si="2"/>
        <v>1077000</v>
      </c>
      <c r="G15" s="39">
        <v>1077000</v>
      </c>
      <c r="H15" s="48"/>
    </row>
    <row r="16" spans="1:8" ht="15">
      <c r="A16" s="42" t="s">
        <v>19</v>
      </c>
      <c r="B16" s="36">
        <f t="shared" si="1"/>
        <v>19727000</v>
      </c>
      <c r="C16" s="37">
        <v>11163000</v>
      </c>
      <c r="D16" s="38">
        <v>3901000</v>
      </c>
      <c r="E16" s="43">
        <v>3777000</v>
      </c>
      <c r="F16" s="44">
        <f t="shared" si="2"/>
        <v>886000</v>
      </c>
      <c r="G16" s="39">
        <v>886000</v>
      </c>
      <c r="H16" s="45"/>
    </row>
    <row r="17" spans="1:8" ht="15">
      <c r="A17" s="46" t="s">
        <v>20</v>
      </c>
      <c r="B17" s="36">
        <f t="shared" si="1"/>
        <v>21190000</v>
      </c>
      <c r="C17" s="37">
        <v>10736000</v>
      </c>
      <c r="D17" s="38">
        <v>3752000</v>
      </c>
      <c r="E17" s="47">
        <f>5457000+106000</f>
        <v>5563000</v>
      </c>
      <c r="F17" s="44">
        <f t="shared" si="2"/>
        <v>1139000</v>
      </c>
      <c r="G17" s="47">
        <v>1139000</v>
      </c>
      <c r="H17" s="48"/>
    </row>
    <row r="18" spans="1:8" ht="15">
      <c r="A18" s="49" t="s">
        <v>21</v>
      </c>
      <c r="B18" s="50">
        <f t="shared" si="1"/>
        <v>20319000</v>
      </c>
      <c r="C18" s="51">
        <v>11393000</v>
      </c>
      <c r="D18" s="52">
        <v>3982000</v>
      </c>
      <c r="E18" s="53">
        <v>3645000</v>
      </c>
      <c r="F18" s="54">
        <f t="shared" si="2"/>
        <v>1299000</v>
      </c>
      <c r="G18" s="53">
        <v>1299000</v>
      </c>
      <c r="H18" s="55"/>
    </row>
    <row r="19" spans="1:8" ht="15">
      <c r="A19" s="56" t="s">
        <v>22</v>
      </c>
      <c r="B19" s="57">
        <f>SUM(C19+D19+E19+F19)</f>
        <v>577481000</v>
      </c>
      <c r="C19" s="58">
        <f>SUM(C20:C21)</f>
        <v>91666000</v>
      </c>
      <c r="D19" s="59">
        <f>SUM(D20:D21)</f>
        <v>32037000</v>
      </c>
      <c r="E19" s="60">
        <f>SUM(E20:E21)</f>
        <v>447514000</v>
      </c>
      <c r="F19" s="57">
        <f t="shared" si="2"/>
        <v>6264000</v>
      </c>
      <c r="G19" s="61">
        <f>SUM(G20:G21)</f>
        <v>6264000</v>
      </c>
      <c r="H19" s="62">
        <f>SUM(H20:H21)</f>
        <v>0</v>
      </c>
    </row>
    <row r="20" spans="1:8" ht="15">
      <c r="A20" s="5" t="s">
        <v>23</v>
      </c>
      <c r="B20" s="57">
        <f>SUM(C20+D20+E20+F20)</f>
        <v>507481000</v>
      </c>
      <c r="C20" s="15">
        <v>89510000</v>
      </c>
      <c r="D20" s="16">
        <v>31283000</v>
      </c>
      <c r="E20" s="17">
        <v>380424000</v>
      </c>
      <c r="F20" s="63">
        <f t="shared" si="2"/>
        <v>6264000</v>
      </c>
      <c r="G20" s="17">
        <v>6264000</v>
      </c>
      <c r="H20" s="11"/>
    </row>
    <row r="21" spans="1:8" ht="15">
      <c r="A21" s="5" t="s">
        <v>24</v>
      </c>
      <c r="B21" s="57">
        <f>SUM(C21+D21+E21+F21)</f>
        <v>70000000</v>
      </c>
      <c r="C21" s="7">
        <v>2156000</v>
      </c>
      <c r="D21" s="9">
        <v>754000</v>
      </c>
      <c r="E21" s="17">
        <v>67090000</v>
      </c>
      <c r="F21" s="63">
        <f t="shared" si="2"/>
        <v>0</v>
      </c>
      <c r="G21" s="9"/>
      <c r="H21" s="11"/>
    </row>
    <row r="22" spans="1:8" s="12" customFormat="1" ht="15">
      <c r="A22" s="64" t="s">
        <v>25</v>
      </c>
      <c r="B22" s="36">
        <f t="shared" si="1"/>
        <v>30769000</v>
      </c>
      <c r="C22" s="65"/>
      <c r="D22" s="66"/>
      <c r="E22" s="67">
        <v>30769000</v>
      </c>
      <c r="F22" s="68">
        <f t="shared" si="2"/>
        <v>0</v>
      </c>
      <c r="G22" s="66"/>
      <c r="H22" s="69"/>
    </row>
    <row r="23" spans="1:8" s="12" customFormat="1" ht="15">
      <c r="A23" s="70" t="s">
        <v>26</v>
      </c>
      <c r="B23" s="71">
        <f t="shared" si="1"/>
        <v>10256000</v>
      </c>
      <c r="C23" s="72"/>
      <c r="D23" s="73"/>
      <c r="E23" s="74">
        <v>10256000</v>
      </c>
      <c r="F23" s="75">
        <f t="shared" si="2"/>
        <v>0</v>
      </c>
      <c r="G23" s="74"/>
      <c r="H23" s="76"/>
    </row>
    <row r="24" spans="1:8" ht="15">
      <c r="A24" s="13" t="s">
        <v>27</v>
      </c>
      <c r="B24" s="14">
        <f t="shared" si="1"/>
        <v>1402309000</v>
      </c>
      <c r="C24" s="15"/>
      <c r="D24" s="16"/>
      <c r="E24" s="17">
        <v>1402309000</v>
      </c>
      <c r="F24" s="18">
        <f t="shared" si="2"/>
        <v>0</v>
      </c>
      <c r="G24" s="17"/>
      <c r="H24" s="22"/>
    </row>
    <row r="25" spans="1:8" ht="15.75" thickBot="1">
      <c r="A25" s="5" t="s">
        <v>28</v>
      </c>
      <c r="B25" s="36">
        <f t="shared" si="1"/>
        <v>380742000</v>
      </c>
      <c r="C25" s="7">
        <v>236400000</v>
      </c>
      <c r="D25" s="8">
        <v>89241000</v>
      </c>
      <c r="E25" s="9">
        <v>48101000</v>
      </c>
      <c r="F25" s="21">
        <f t="shared" si="2"/>
        <v>7000000</v>
      </c>
      <c r="G25" s="9">
        <v>7000000</v>
      </c>
      <c r="H25" s="11"/>
    </row>
    <row r="26" spans="1:8" ht="15.75" thickBot="1">
      <c r="A26" s="77" t="s">
        <v>29</v>
      </c>
      <c r="B26" s="78">
        <f>SUM(B27)</f>
        <v>34687000</v>
      </c>
      <c r="C26" s="79">
        <f aca="true" t="shared" si="3" ref="C26:H26">SUM(C27)</f>
        <v>17145000</v>
      </c>
      <c r="D26" s="80">
        <f t="shared" si="3"/>
        <v>5992000</v>
      </c>
      <c r="E26" s="81">
        <f t="shared" si="3"/>
        <v>11350000</v>
      </c>
      <c r="F26" s="78">
        <f t="shared" si="3"/>
        <v>200000</v>
      </c>
      <c r="G26" s="82">
        <f t="shared" si="3"/>
        <v>200000</v>
      </c>
      <c r="H26" s="83">
        <f t="shared" si="3"/>
        <v>0</v>
      </c>
    </row>
    <row r="27" spans="1:8" ht="15.75" thickBot="1">
      <c r="A27" s="84" t="s">
        <v>30</v>
      </c>
      <c r="B27" s="71">
        <f aca="true" t="shared" si="4" ref="B27:B43">SUM(C27+D27+E27+F27)</f>
        <v>34687000</v>
      </c>
      <c r="C27" s="7">
        <v>17145000</v>
      </c>
      <c r="D27" s="8">
        <v>5992000</v>
      </c>
      <c r="E27" s="9">
        <v>11350000</v>
      </c>
      <c r="F27" s="21">
        <f>SUM(G27+H27)</f>
        <v>200000</v>
      </c>
      <c r="G27" s="9">
        <v>200000</v>
      </c>
      <c r="H27" s="11"/>
    </row>
    <row r="28" spans="1:8" ht="15.75" thickBot="1">
      <c r="A28" s="85" t="s">
        <v>31</v>
      </c>
      <c r="B28" s="78">
        <f t="shared" si="4"/>
        <v>8220593000</v>
      </c>
      <c r="C28" s="79">
        <f>SUM(C29+C30+C31+C32)</f>
        <v>55976000</v>
      </c>
      <c r="D28" s="80">
        <f>SUM(D29+D30+D31+D32)</f>
        <v>19865000</v>
      </c>
      <c r="E28" s="83">
        <f>SUM(E29+E30+E31+E32)</f>
        <v>44102000</v>
      </c>
      <c r="F28" s="78">
        <f>SUM(G28:H28)</f>
        <v>8100650000</v>
      </c>
      <c r="G28" s="79">
        <f>SUM(G29+G30+G31+G32)</f>
        <v>650000</v>
      </c>
      <c r="H28" s="86">
        <f>SUM(H29+H30+H31+H32)</f>
        <v>8100000000</v>
      </c>
    </row>
    <row r="29" spans="1:8" ht="15">
      <c r="A29" s="87" t="s">
        <v>32</v>
      </c>
      <c r="B29" s="71">
        <f t="shared" si="4"/>
        <v>4500000000</v>
      </c>
      <c r="C29" s="88"/>
      <c r="D29" s="89"/>
      <c r="E29" s="90"/>
      <c r="F29" s="91">
        <f>SUM(G29+H29)</f>
        <v>4500000000</v>
      </c>
      <c r="G29" s="90"/>
      <c r="H29" s="92">
        <v>4500000000</v>
      </c>
    </row>
    <row r="30" spans="1:8" ht="15">
      <c r="A30" s="93" t="s">
        <v>33</v>
      </c>
      <c r="B30" s="14">
        <f t="shared" si="4"/>
        <v>3600000000</v>
      </c>
      <c r="C30" s="94"/>
      <c r="D30" s="95"/>
      <c r="E30" s="96"/>
      <c r="F30" s="97">
        <f>SUM(G30+H30)</f>
        <v>3600000000</v>
      </c>
      <c r="G30" s="96"/>
      <c r="H30" s="98">
        <f>2400000000+1200000000</f>
        <v>3600000000</v>
      </c>
    </row>
    <row r="31" spans="1:8" ht="15">
      <c r="A31" s="99" t="s">
        <v>34</v>
      </c>
      <c r="B31" s="14">
        <f t="shared" si="4"/>
        <v>19304000</v>
      </c>
      <c r="C31" s="15">
        <v>11776000</v>
      </c>
      <c r="D31" s="8">
        <v>4115000</v>
      </c>
      <c r="E31" s="17">
        <v>3163000</v>
      </c>
      <c r="F31" s="18">
        <f>SUM(G31+H31)</f>
        <v>250000</v>
      </c>
      <c r="G31" s="17">
        <v>250000</v>
      </c>
      <c r="H31" s="22"/>
    </row>
    <row r="32" spans="1:8" ht="15.75" thickBot="1">
      <c r="A32" s="99" t="s">
        <v>35</v>
      </c>
      <c r="B32" s="71">
        <f t="shared" si="4"/>
        <v>101289000</v>
      </c>
      <c r="C32" s="15">
        <v>44200000</v>
      </c>
      <c r="D32" s="100">
        <v>15750000</v>
      </c>
      <c r="E32" s="17">
        <v>40939000</v>
      </c>
      <c r="F32" s="101">
        <f>SUM(G32+H32)</f>
        <v>400000</v>
      </c>
      <c r="G32" s="17">
        <v>400000</v>
      </c>
      <c r="H32" s="22"/>
    </row>
    <row r="33" spans="1:8" ht="15.75" thickBot="1">
      <c r="A33" s="85" t="s">
        <v>36</v>
      </c>
      <c r="B33" s="78">
        <f t="shared" si="4"/>
        <v>113281000</v>
      </c>
      <c r="C33" s="79">
        <f>SUM(C34+C35)</f>
        <v>20188000</v>
      </c>
      <c r="D33" s="82">
        <f>SUM(D34+D35)</f>
        <v>8053000</v>
      </c>
      <c r="E33" s="83">
        <f>SUM(E34+E35)</f>
        <v>24740000</v>
      </c>
      <c r="F33" s="78">
        <f>SUM(G33:H33)</f>
        <v>60300000</v>
      </c>
      <c r="G33" s="102">
        <f>SUM(G34+G35)</f>
        <v>300000</v>
      </c>
      <c r="H33" s="103">
        <f>SUM(H34+H35)</f>
        <v>60000000</v>
      </c>
    </row>
    <row r="34" spans="1:8" ht="15">
      <c r="A34" s="87" t="s">
        <v>37</v>
      </c>
      <c r="B34" s="71">
        <f t="shared" si="4"/>
        <v>60000000</v>
      </c>
      <c r="C34" s="88"/>
      <c r="D34" s="104"/>
      <c r="E34" s="90"/>
      <c r="F34" s="105">
        <f aca="true" t="shared" si="5" ref="F34:F43">SUM(G34+H34)</f>
        <v>60000000</v>
      </c>
      <c r="G34" s="90"/>
      <c r="H34" s="92">
        <v>60000000</v>
      </c>
    </row>
    <row r="35" spans="1:8" ht="15.75" thickBot="1">
      <c r="A35" s="106" t="s">
        <v>38</v>
      </c>
      <c r="B35" s="50">
        <f t="shared" si="4"/>
        <v>53281000</v>
      </c>
      <c r="C35" s="107">
        <v>20188000</v>
      </c>
      <c r="D35" s="38">
        <v>8053000</v>
      </c>
      <c r="E35" s="108">
        <v>24740000</v>
      </c>
      <c r="F35" s="109">
        <f t="shared" si="5"/>
        <v>300000</v>
      </c>
      <c r="G35" s="108">
        <v>300000</v>
      </c>
      <c r="H35" s="110"/>
    </row>
    <row r="36" spans="1:8" ht="15.75" thickBot="1">
      <c r="A36" s="85" t="s">
        <v>39</v>
      </c>
      <c r="B36" s="78">
        <f t="shared" si="4"/>
        <v>20000000</v>
      </c>
      <c r="C36" s="79"/>
      <c r="D36" s="80"/>
      <c r="E36" s="82"/>
      <c r="F36" s="78">
        <f t="shared" si="5"/>
        <v>20000000</v>
      </c>
      <c r="G36" s="82"/>
      <c r="H36" s="83">
        <v>20000000</v>
      </c>
    </row>
    <row r="37" spans="1:8" ht="15.75" thickBot="1">
      <c r="A37" s="111" t="s">
        <v>40</v>
      </c>
      <c r="B37" s="112">
        <f t="shared" si="4"/>
        <v>109402000</v>
      </c>
      <c r="C37" s="113">
        <f aca="true" t="shared" si="6" ref="C37:H37">SUM(C38+C39)</f>
        <v>53622000</v>
      </c>
      <c r="D37" s="114">
        <f t="shared" si="6"/>
        <v>18041000</v>
      </c>
      <c r="E37" s="115">
        <f t="shared" si="6"/>
        <v>36239000</v>
      </c>
      <c r="F37" s="116">
        <f t="shared" si="5"/>
        <v>1500000</v>
      </c>
      <c r="G37" s="117">
        <f t="shared" si="6"/>
        <v>1500000</v>
      </c>
      <c r="H37" s="118">
        <f t="shared" si="6"/>
        <v>0</v>
      </c>
    </row>
    <row r="38" spans="1:8" ht="15">
      <c r="A38" s="119" t="s">
        <v>41</v>
      </c>
      <c r="B38" s="36">
        <f t="shared" si="4"/>
        <v>99474000</v>
      </c>
      <c r="C38" s="120">
        <v>48795000</v>
      </c>
      <c r="D38" s="38">
        <v>16354000</v>
      </c>
      <c r="E38" s="121">
        <v>33325000</v>
      </c>
      <c r="F38" s="122">
        <f t="shared" si="5"/>
        <v>1000000</v>
      </c>
      <c r="G38" s="121">
        <v>1000000</v>
      </c>
      <c r="H38" s="123"/>
    </row>
    <row r="39" spans="1:8" ht="15">
      <c r="A39" s="93" t="s">
        <v>42</v>
      </c>
      <c r="B39" s="14">
        <f t="shared" si="4"/>
        <v>9928000</v>
      </c>
      <c r="C39" s="94">
        <v>4827000</v>
      </c>
      <c r="D39" s="38">
        <v>1687000</v>
      </c>
      <c r="E39" s="96">
        <f>2909000+5000</f>
        <v>2914000</v>
      </c>
      <c r="F39" s="122">
        <f t="shared" si="5"/>
        <v>500000</v>
      </c>
      <c r="G39" s="96">
        <v>500000</v>
      </c>
      <c r="H39" s="98"/>
    </row>
    <row r="40" spans="1:8" ht="15">
      <c r="A40" s="124" t="s">
        <v>43</v>
      </c>
      <c r="B40" s="14">
        <f t="shared" si="4"/>
        <v>5000000</v>
      </c>
      <c r="C40" s="15"/>
      <c r="D40" s="16"/>
      <c r="E40" s="17">
        <v>0</v>
      </c>
      <c r="F40" s="21">
        <f t="shared" si="5"/>
        <v>5000000</v>
      </c>
      <c r="G40" s="17"/>
      <c r="H40" s="22">
        <v>5000000</v>
      </c>
    </row>
    <row r="41" spans="1:8" ht="15">
      <c r="A41" s="20" t="s">
        <v>44</v>
      </c>
      <c r="B41" s="14">
        <f t="shared" si="4"/>
        <v>23000000</v>
      </c>
      <c r="C41" s="15"/>
      <c r="D41" s="16"/>
      <c r="E41" s="17">
        <v>22900000</v>
      </c>
      <c r="F41" s="21">
        <f t="shared" si="5"/>
        <v>100000</v>
      </c>
      <c r="G41" s="17">
        <v>100000</v>
      </c>
      <c r="H41" s="22"/>
    </row>
    <row r="42" spans="1:8" ht="15.75" thickBot="1">
      <c r="A42" s="125" t="s">
        <v>45</v>
      </c>
      <c r="B42" s="14">
        <f t="shared" si="4"/>
        <v>2000000</v>
      </c>
      <c r="C42" s="15"/>
      <c r="D42" s="16"/>
      <c r="E42" s="17">
        <v>2000000</v>
      </c>
      <c r="F42" s="21">
        <f t="shared" si="5"/>
        <v>0</v>
      </c>
      <c r="G42" s="17"/>
      <c r="H42" s="22"/>
    </row>
    <row r="43" spans="1:8" ht="15.75" thickBot="1">
      <c r="A43" s="126" t="s">
        <v>46</v>
      </c>
      <c r="B43" s="127">
        <f t="shared" si="4"/>
        <v>11643957000</v>
      </c>
      <c r="C43" s="128">
        <f>SUM(C42+C41+C40+C37+C36+C33+C28+C26+C9+C8+C7+C6)</f>
        <v>878104000</v>
      </c>
      <c r="D43" s="129">
        <f>SUM(D42+D41+D40+D37+D36+D33+D28+D26+D9+D8+D7+D6)</f>
        <v>296588000</v>
      </c>
      <c r="E43" s="130">
        <f>SUM(E42+E41+E40+E37+E36+E33+E28+E26+E9+E8+E7+E6)</f>
        <v>2243751000</v>
      </c>
      <c r="F43" s="131">
        <f t="shared" si="5"/>
        <v>8225514000</v>
      </c>
      <c r="G43" s="129">
        <f>SUM(G42+G41+G40+G37+G36+G33+G28+G26+G9+G8+G7+G6)</f>
        <v>40514000</v>
      </c>
      <c r="H43" s="132">
        <f>SUM(H42+H41+H40+H37+H36+H33+H28+H26+H9+H8+H7+H6)</f>
        <v>8185000000</v>
      </c>
    </row>
    <row r="44" spans="1:8" ht="18.75" customHeight="1">
      <c r="A44" s="294" t="s">
        <v>47</v>
      </c>
      <c r="B44" s="295"/>
      <c r="C44" s="295"/>
      <c r="D44" s="295"/>
      <c r="E44" s="295"/>
      <c r="F44" s="295"/>
      <c r="G44" s="295"/>
      <c r="H44" s="295"/>
    </row>
    <row r="45" spans="1:8" ht="16.5" customHeight="1" thickBot="1">
      <c r="A45" s="270"/>
      <c r="B45" s="270"/>
      <c r="C45" s="270"/>
      <c r="D45" s="270"/>
      <c r="E45" s="270"/>
      <c r="F45" s="270"/>
      <c r="G45" s="270"/>
      <c r="H45" s="270"/>
    </row>
    <row r="46" spans="1:12" ht="33" customHeight="1" thickBot="1">
      <c r="A46" s="133" t="s">
        <v>48</v>
      </c>
      <c r="B46" s="134" t="s">
        <v>49</v>
      </c>
      <c r="C46" s="135" t="s">
        <v>50</v>
      </c>
      <c r="D46" s="136" t="s">
        <v>51</v>
      </c>
      <c r="E46" s="137"/>
      <c r="F46" s="138" t="s">
        <v>52</v>
      </c>
      <c r="G46" s="139" t="s">
        <v>53</v>
      </c>
      <c r="H46" s="140" t="s">
        <v>54</v>
      </c>
      <c r="I46" s="141"/>
      <c r="J46" s="141"/>
      <c r="K46" s="141"/>
      <c r="L46" s="141"/>
    </row>
    <row r="47" spans="1:12" ht="13.5" customHeight="1">
      <c r="A47" s="142" t="s">
        <v>9</v>
      </c>
      <c r="B47" s="36">
        <f>SUM(C47:D47)</f>
        <v>0</v>
      </c>
      <c r="C47" s="37"/>
      <c r="D47" s="41"/>
      <c r="E47" s="143"/>
      <c r="F47" s="21">
        <f aca="true" t="shared" si="7" ref="F47:F62">B6+B47</f>
        <v>7000000</v>
      </c>
      <c r="G47" s="144"/>
      <c r="H47" s="145"/>
      <c r="I47" s="141"/>
      <c r="J47" s="141"/>
      <c r="K47" s="141"/>
      <c r="L47" s="141"/>
    </row>
    <row r="48" spans="1:12" ht="14.25" customHeight="1">
      <c r="A48" s="13" t="s">
        <v>10</v>
      </c>
      <c r="B48" s="36">
        <f>SUM(C48:D48)</f>
        <v>0</v>
      </c>
      <c r="C48" s="15"/>
      <c r="D48" s="11"/>
      <c r="E48" s="143"/>
      <c r="F48" s="21">
        <f t="shared" si="7"/>
        <v>44000000</v>
      </c>
      <c r="G48" s="144"/>
      <c r="H48" s="145"/>
      <c r="I48" s="141"/>
      <c r="J48" s="141"/>
      <c r="K48" s="141"/>
      <c r="L48" s="141"/>
    </row>
    <row r="49" spans="1:8" s="12" customFormat="1" ht="14.25" customHeight="1" thickBot="1">
      <c r="A49" s="146" t="s">
        <v>11</v>
      </c>
      <c r="B49" s="36">
        <f>SUM(C49:D49)</f>
        <v>25000000</v>
      </c>
      <c r="C49" s="147">
        <v>25000000</v>
      </c>
      <c r="D49" s="148"/>
      <c r="E49" s="143"/>
      <c r="F49" s="149">
        <f t="shared" si="7"/>
        <v>540998000</v>
      </c>
      <c r="G49" s="150"/>
      <c r="H49" s="151"/>
    </row>
    <row r="50" spans="1:8" s="12" customFormat="1" ht="13.5" customHeight="1" thickBot="1">
      <c r="A50" s="152" t="s">
        <v>55</v>
      </c>
      <c r="B50" s="78">
        <f>SUM(B51+B60+B64+B65+B66+B73)</f>
        <v>12907489000</v>
      </c>
      <c r="C50" s="79">
        <f>SUM(C51+C60+C64+C65+C66+C73)</f>
        <v>12907489000</v>
      </c>
      <c r="D50" s="83">
        <f>SUM(D51+D60+D64+D65+D66+D73)</f>
        <v>0</v>
      </c>
      <c r="E50" s="153"/>
      <c r="F50" s="78">
        <f t="shared" si="7"/>
        <v>15456485000</v>
      </c>
      <c r="G50" s="154"/>
      <c r="H50" s="155"/>
    </row>
    <row r="51" spans="1:8" s="12" customFormat="1" ht="15" customHeight="1" thickBot="1">
      <c r="A51" s="29" t="s">
        <v>13</v>
      </c>
      <c r="B51" s="30">
        <f>SUM(B52:B59)</f>
        <v>4300000</v>
      </c>
      <c r="C51" s="156">
        <f>SUM(C52:C59)</f>
        <v>4300000</v>
      </c>
      <c r="D51" s="157">
        <f>SUM(D52:D59)</f>
        <v>0</v>
      </c>
      <c r="E51" s="143"/>
      <c r="F51" s="112">
        <f t="shared" si="7"/>
        <v>151739000</v>
      </c>
      <c r="G51" s="154"/>
      <c r="H51" s="155"/>
    </row>
    <row r="52" spans="1:8" s="12" customFormat="1" ht="13.5" customHeight="1">
      <c r="A52" s="35" t="s">
        <v>14</v>
      </c>
      <c r="B52" s="36">
        <f aca="true" t="shared" si="8" ref="B52:B59">SUM(C52+D52+E52)</f>
        <v>500000</v>
      </c>
      <c r="C52" s="37">
        <v>500000</v>
      </c>
      <c r="D52" s="41"/>
      <c r="E52" s="143"/>
      <c r="F52" s="158">
        <f t="shared" si="7"/>
        <v>17442000</v>
      </c>
      <c r="G52" s="159"/>
      <c r="H52" s="160"/>
    </row>
    <row r="53" spans="1:8" ht="12.75" customHeight="1">
      <c r="A53" s="161" t="s">
        <v>15</v>
      </c>
      <c r="B53" s="14">
        <f t="shared" si="8"/>
        <v>500000</v>
      </c>
      <c r="C53" s="37">
        <v>500000</v>
      </c>
      <c r="D53" s="45"/>
      <c r="E53" s="143"/>
      <c r="F53" s="21">
        <f t="shared" si="7"/>
        <v>15761000</v>
      </c>
      <c r="G53" s="162"/>
      <c r="H53" s="163"/>
    </row>
    <row r="54" spans="1:14" ht="12.75" customHeight="1">
      <c r="A54" s="46" t="s">
        <v>16</v>
      </c>
      <c r="B54" s="14">
        <f t="shared" si="8"/>
        <v>500000</v>
      </c>
      <c r="C54" s="37">
        <v>500000</v>
      </c>
      <c r="D54" s="48"/>
      <c r="E54" s="143"/>
      <c r="F54" s="21">
        <f t="shared" si="7"/>
        <v>18025000</v>
      </c>
      <c r="G54" s="159"/>
      <c r="H54" s="160"/>
      <c r="I54" s="164"/>
      <c r="J54" s="164"/>
      <c r="K54" s="164"/>
      <c r="L54" s="164"/>
      <c r="M54" s="164"/>
      <c r="N54" s="164"/>
    </row>
    <row r="55" spans="1:14" ht="13.5" customHeight="1">
      <c r="A55" s="42" t="s">
        <v>17</v>
      </c>
      <c r="B55" s="14">
        <f t="shared" si="8"/>
        <v>500000</v>
      </c>
      <c r="C55" s="37">
        <v>500000</v>
      </c>
      <c r="D55" s="45"/>
      <c r="E55" s="143"/>
      <c r="F55" s="21">
        <f t="shared" si="7"/>
        <v>16411000</v>
      </c>
      <c r="G55" s="154"/>
      <c r="H55" s="155"/>
      <c r="I55" s="164"/>
      <c r="J55" s="164"/>
      <c r="K55" s="164"/>
      <c r="L55" s="164"/>
      <c r="M55" s="164"/>
      <c r="N55" s="164"/>
    </row>
    <row r="56" spans="1:14" ht="12" customHeight="1">
      <c r="A56" s="46" t="s">
        <v>18</v>
      </c>
      <c r="B56" s="14">
        <f t="shared" si="8"/>
        <v>500000</v>
      </c>
      <c r="C56" s="37">
        <v>500000</v>
      </c>
      <c r="D56" s="48"/>
      <c r="E56" s="143"/>
      <c r="F56" s="21">
        <f t="shared" si="7"/>
        <v>21064000</v>
      </c>
      <c r="G56" s="154"/>
      <c r="H56" s="155"/>
      <c r="I56" s="165"/>
      <c r="J56" s="165"/>
      <c r="K56" s="165"/>
      <c r="L56" s="165"/>
      <c r="M56" s="165"/>
      <c r="N56" s="165"/>
    </row>
    <row r="57" spans="1:14" ht="12" customHeight="1">
      <c r="A57" s="42" t="s">
        <v>19</v>
      </c>
      <c r="B57" s="14">
        <f t="shared" si="8"/>
        <v>500000</v>
      </c>
      <c r="C57" s="37">
        <v>500000</v>
      </c>
      <c r="D57" s="45"/>
      <c r="E57" s="143"/>
      <c r="F57" s="21">
        <f t="shared" si="7"/>
        <v>20227000</v>
      </c>
      <c r="G57" s="159"/>
      <c r="H57" s="160"/>
      <c r="I57" s="165"/>
      <c r="J57" s="165"/>
      <c r="K57" s="165"/>
      <c r="L57" s="165"/>
      <c r="M57" s="165"/>
      <c r="N57" s="165"/>
    </row>
    <row r="58" spans="1:14" ht="12.75" customHeight="1">
      <c r="A58" s="46" t="s">
        <v>20</v>
      </c>
      <c r="B58" s="14">
        <f t="shared" si="8"/>
        <v>500000</v>
      </c>
      <c r="C58" s="37">
        <v>500000</v>
      </c>
      <c r="D58" s="48"/>
      <c r="E58" s="143"/>
      <c r="F58" s="21">
        <f t="shared" si="7"/>
        <v>21690000</v>
      </c>
      <c r="G58" s="162"/>
      <c r="H58" s="163"/>
      <c r="I58" s="165"/>
      <c r="J58" s="165"/>
      <c r="K58" s="165"/>
      <c r="L58" s="165"/>
      <c r="M58" s="165"/>
      <c r="N58" s="165"/>
    </row>
    <row r="59" spans="1:15" ht="12.75" customHeight="1">
      <c r="A59" s="49" t="s">
        <v>21</v>
      </c>
      <c r="B59" s="50">
        <f t="shared" si="8"/>
        <v>800000</v>
      </c>
      <c r="C59" s="51">
        <v>800000</v>
      </c>
      <c r="D59" s="55"/>
      <c r="E59" s="143"/>
      <c r="F59" s="21">
        <f t="shared" si="7"/>
        <v>21119000</v>
      </c>
      <c r="G59" s="162"/>
      <c r="H59" s="163"/>
      <c r="I59" s="166"/>
      <c r="J59" s="166"/>
      <c r="K59" s="166"/>
      <c r="L59" s="166"/>
      <c r="M59" s="166"/>
      <c r="N59" s="166"/>
      <c r="O59" s="167"/>
    </row>
    <row r="60" spans="1:15" ht="12.75" customHeight="1">
      <c r="A60" s="56" t="s">
        <v>22</v>
      </c>
      <c r="B60" s="14">
        <f>SUM(B61:B63)</f>
        <v>120152000</v>
      </c>
      <c r="C60" s="168">
        <f>SUM(C61:C63)</f>
        <v>120152000</v>
      </c>
      <c r="D60" s="169">
        <f>SUM(D61:D63)</f>
        <v>0</v>
      </c>
      <c r="E60" s="143"/>
      <c r="F60" s="36">
        <f t="shared" si="7"/>
        <v>697633000</v>
      </c>
      <c r="G60" s="170"/>
      <c r="H60" s="171"/>
      <c r="I60" s="166"/>
      <c r="J60" s="166"/>
      <c r="K60" s="166"/>
      <c r="L60" s="166"/>
      <c r="M60" s="166"/>
      <c r="N60" s="166"/>
      <c r="O60" s="167"/>
    </row>
    <row r="61" spans="1:15" ht="12.75" customHeight="1">
      <c r="A61" s="5" t="s">
        <v>23</v>
      </c>
      <c r="B61" s="36">
        <f>SUM(C61:D61)</f>
        <v>21152000</v>
      </c>
      <c r="C61" s="15">
        <f>22152000-1000000</f>
        <v>21152000</v>
      </c>
      <c r="D61" s="11"/>
      <c r="E61" s="143"/>
      <c r="F61" s="21">
        <f t="shared" si="7"/>
        <v>528633000</v>
      </c>
      <c r="G61" s="170"/>
      <c r="H61" s="171"/>
      <c r="I61" s="166"/>
      <c r="J61" s="166"/>
      <c r="K61" s="166"/>
      <c r="L61" s="166"/>
      <c r="M61" s="166"/>
      <c r="N61" s="166"/>
      <c r="O61" s="167"/>
    </row>
    <row r="62" spans="1:15" ht="13.5" customHeight="1">
      <c r="A62" s="5" t="s">
        <v>24</v>
      </c>
      <c r="B62" s="36">
        <f>SUM(C62:D62)</f>
        <v>30000000</v>
      </c>
      <c r="C62" s="7">
        <v>30000000</v>
      </c>
      <c r="D62" s="11"/>
      <c r="E62" s="143"/>
      <c r="F62" s="18">
        <f t="shared" si="7"/>
        <v>100000000</v>
      </c>
      <c r="G62" s="170"/>
      <c r="H62" s="171"/>
      <c r="I62" s="166"/>
      <c r="J62" s="166"/>
      <c r="K62" s="166"/>
      <c r="L62" s="166"/>
      <c r="M62" s="166"/>
      <c r="N62" s="166"/>
      <c r="O62" s="167"/>
    </row>
    <row r="63" spans="1:15" ht="13.5" customHeight="1">
      <c r="A63" s="5" t="s">
        <v>56</v>
      </c>
      <c r="B63" s="36">
        <f>SUM(C63:D63)</f>
        <v>69000000</v>
      </c>
      <c r="C63" s="7">
        <v>69000000</v>
      </c>
      <c r="D63" s="11"/>
      <c r="E63" s="143"/>
      <c r="F63" s="149"/>
      <c r="G63" s="170"/>
      <c r="H63" s="171"/>
      <c r="I63" s="166"/>
      <c r="J63" s="166"/>
      <c r="K63" s="166"/>
      <c r="L63" s="166"/>
      <c r="M63" s="166"/>
      <c r="N63" s="166"/>
      <c r="O63" s="167"/>
    </row>
    <row r="64" spans="1:15" ht="13.5" customHeight="1">
      <c r="A64" s="64" t="s">
        <v>25</v>
      </c>
      <c r="B64" s="36">
        <f>SUM(C64:D64)</f>
        <v>6375000</v>
      </c>
      <c r="C64" s="65">
        <v>6375000</v>
      </c>
      <c r="D64" s="69"/>
      <c r="E64" s="143"/>
      <c r="F64" s="172">
        <f>B22+B64</f>
        <v>37144000</v>
      </c>
      <c r="G64" s="173">
        <f>B22+B64</f>
        <v>37144000</v>
      </c>
      <c r="H64" s="174"/>
      <c r="I64" s="175"/>
      <c r="J64" s="175"/>
      <c r="K64" s="175"/>
      <c r="L64" s="175"/>
      <c r="M64" s="175"/>
      <c r="N64" s="175"/>
      <c r="O64" s="167"/>
    </row>
    <row r="65" spans="1:15" ht="13.5" customHeight="1" thickBot="1">
      <c r="A65" s="70" t="s">
        <v>26</v>
      </c>
      <c r="B65" s="36">
        <f>SUM(C65:D65)</f>
        <v>2125000</v>
      </c>
      <c r="C65" s="72">
        <v>2125000</v>
      </c>
      <c r="D65" s="76"/>
      <c r="E65" s="143"/>
      <c r="F65" s="176">
        <f>B23+B65</f>
        <v>12381000</v>
      </c>
      <c r="G65" s="177"/>
      <c r="H65" s="178">
        <f>B23+B65</f>
        <v>12381000</v>
      </c>
      <c r="I65" s="175"/>
      <c r="J65" s="175"/>
      <c r="K65" s="175"/>
      <c r="L65" s="175"/>
      <c r="M65" s="175"/>
      <c r="N65" s="175"/>
      <c r="O65" s="167"/>
    </row>
    <row r="66" spans="1:15" ht="14.25" customHeight="1" thickBot="1">
      <c r="A66" s="179" t="s">
        <v>27</v>
      </c>
      <c r="B66" s="112">
        <f>SUM(B67:B72)</f>
        <v>12774537000</v>
      </c>
      <c r="C66" s="180">
        <f>SUM(C67:C72)</f>
        <v>12774537000</v>
      </c>
      <c r="D66" s="181">
        <f>SUM(D67:D72)</f>
        <v>0</v>
      </c>
      <c r="E66" s="143"/>
      <c r="F66" s="112">
        <f>B24+B66</f>
        <v>14176846000</v>
      </c>
      <c r="G66" s="182"/>
      <c r="H66" s="183"/>
      <c r="I66" s="184"/>
      <c r="J66" s="184"/>
      <c r="K66" s="184"/>
      <c r="L66" s="184"/>
      <c r="M66" s="184"/>
      <c r="N66" s="184"/>
      <c r="O66" s="167"/>
    </row>
    <row r="67" spans="1:53" ht="14.25" customHeight="1">
      <c r="A67" s="5" t="s">
        <v>57</v>
      </c>
      <c r="B67" s="36">
        <f>SUM(C67:D67)</f>
        <v>5498801000</v>
      </c>
      <c r="C67" s="7">
        <f>6391301000-950000000+636500000-310000000-200000000-69000000</f>
        <v>5498801000</v>
      </c>
      <c r="D67" s="11"/>
      <c r="E67" s="143"/>
      <c r="F67" s="21">
        <f aca="true" t="shared" si="9" ref="F67:F72">B67</f>
        <v>5498801000</v>
      </c>
      <c r="G67" s="182"/>
      <c r="H67" s="183"/>
      <c r="I67" s="185"/>
      <c r="J67" s="185"/>
      <c r="K67" s="185"/>
      <c r="L67" s="185"/>
      <c r="M67" s="185"/>
      <c r="N67" s="185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</row>
    <row r="68" spans="1:53" ht="12.75" customHeight="1">
      <c r="A68" s="5" t="s">
        <v>58</v>
      </c>
      <c r="B68" s="36">
        <f aca="true" t="shared" si="10" ref="B68:B73">SUM(C68:D68)</f>
        <v>1410000000</v>
      </c>
      <c r="C68" s="7">
        <f>950000000+300000000+200000000-40000000</f>
        <v>1410000000</v>
      </c>
      <c r="D68" s="11"/>
      <c r="E68" s="143"/>
      <c r="F68" s="21">
        <f t="shared" si="9"/>
        <v>1410000000</v>
      </c>
      <c r="G68" s="186"/>
      <c r="H68" s="187"/>
      <c r="I68" s="184"/>
      <c r="J68" s="184"/>
      <c r="K68" s="184"/>
      <c r="L68" s="184"/>
      <c r="M68" s="184"/>
      <c r="N68" s="184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</row>
    <row r="69" spans="1:53" ht="12.75" customHeight="1">
      <c r="A69" s="64" t="s">
        <v>59</v>
      </c>
      <c r="B69" s="36">
        <f t="shared" si="10"/>
        <v>4413814000</v>
      </c>
      <c r="C69" s="188">
        <v>4413814000</v>
      </c>
      <c r="D69" s="69"/>
      <c r="E69" s="143"/>
      <c r="F69" s="189">
        <f t="shared" si="9"/>
        <v>4413814000</v>
      </c>
      <c r="G69" s="190">
        <f>B69</f>
        <v>4413814000</v>
      </c>
      <c r="H69" s="191"/>
      <c r="I69" s="175"/>
      <c r="J69" s="175"/>
      <c r="K69" s="175"/>
      <c r="L69" s="175"/>
      <c r="M69" s="175"/>
      <c r="N69" s="175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</row>
    <row r="70" spans="1:53" ht="13.5" customHeight="1">
      <c r="A70" s="64" t="s">
        <v>60</v>
      </c>
      <c r="B70" s="36">
        <f t="shared" si="10"/>
        <v>0</v>
      </c>
      <c r="C70" s="65"/>
      <c r="D70" s="69"/>
      <c r="E70" s="143"/>
      <c r="F70" s="189">
        <f t="shared" si="9"/>
        <v>0</v>
      </c>
      <c r="G70" s="190">
        <f>B70</f>
        <v>0</v>
      </c>
      <c r="H70" s="191"/>
      <c r="I70" s="175"/>
      <c r="J70" s="175"/>
      <c r="K70" s="175"/>
      <c r="L70" s="175"/>
      <c r="M70" s="175"/>
      <c r="N70" s="175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</row>
    <row r="71" spans="1:53" ht="13.5" customHeight="1">
      <c r="A71" s="64" t="s">
        <v>61</v>
      </c>
      <c r="B71" s="36">
        <f t="shared" si="10"/>
        <v>1451922000</v>
      </c>
      <c r="C71" s="65">
        <v>1451922000</v>
      </c>
      <c r="D71" s="69"/>
      <c r="E71" s="143"/>
      <c r="F71" s="189">
        <f t="shared" si="9"/>
        <v>1451922000</v>
      </c>
      <c r="G71" s="190"/>
      <c r="H71" s="191">
        <f>B71</f>
        <v>1451922000</v>
      </c>
      <c r="I71" s="184"/>
      <c r="J71" s="184"/>
      <c r="K71" s="184"/>
      <c r="L71" s="184"/>
      <c r="M71" s="184"/>
      <c r="N71" s="184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</row>
    <row r="72" spans="1:53" ht="14.25" customHeight="1">
      <c r="A72" s="64" t="s">
        <v>62</v>
      </c>
      <c r="B72" s="36">
        <f t="shared" si="10"/>
        <v>0</v>
      </c>
      <c r="C72" s="65"/>
      <c r="D72" s="69"/>
      <c r="E72" s="143"/>
      <c r="F72" s="189">
        <f t="shared" si="9"/>
        <v>0</v>
      </c>
      <c r="G72" s="190"/>
      <c r="H72" s="191">
        <f>B72</f>
        <v>0</v>
      </c>
      <c r="I72" s="185"/>
      <c r="J72" s="185"/>
      <c r="K72" s="185"/>
      <c r="L72" s="185"/>
      <c r="M72" s="185"/>
      <c r="N72" s="185"/>
      <c r="O72" s="192"/>
      <c r="P72" s="192"/>
      <c r="Q72" s="192"/>
      <c r="R72" s="192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</row>
    <row r="73" spans="1:53" ht="13.5" customHeight="1" thickBot="1">
      <c r="A73" s="193" t="s">
        <v>28</v>
      </c>
      <c r="B73" s="36">
        <f t="shared" si="10"/>
        <v>0</v>
      </c>
      <c r="C73" s="94">
        <v>0</v>
      </c>
      <c r="D73" s="123"/>
      <c r="E73" s="143"/>
      <c r="F73" s="194">
        <f aca="true" t="shared" si="11" ref="F73:F78">B25+B73</f>
        <v>380742000</v>
      </c>
      <c r="G73" s="195"/>
      <c r="H73" s="196"/>
      <c r="I73" s="185"/>
      <c r="J73" s="185"/>
      <c r="K73" s="185"/>
      <c r="L73" s="185"/>
      <c r="M73" s="185"/>
      <c r="N73" s="185"/>
      <c r="O73" s="192"/>
      <c r="P73" s="192"/>
      <c r="Q73" s="192"/>
      <c r="R73" s="192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</row>
    <row r="74" spans="1:53" ht="12.75" customHeight="1" thickBot="1">
      <c r="A74" s="77" t="s">
        <v>29</v>
      </c>
      <c r="B74" s="78">
        <f>SUM(B75)</f>
        <v>3000000</v>
      </c>
      <c r="C74" s="79">
        <f>SUM(C75)</f>
        <v>3000000</v>
      </c>
      <c r="D74" s="83">
        <f>SUM(D75)</f>
        <v>0</v>
      </c>
      <c r="E74" s="143"/>
      <c r="F74" s="78">
        <f t="shared" si="11"/>
        <v>37687000</v>
      </c>
      <c r="G74" s="197"/>
      <c r="H74" s="198"/>
      <c r="I74" s="199"/>
      <c r="J74" s="199"/>
      <c r="K74" s="199"/>
      <c r="L74" s="199"/>
      <c r="M74" s="199"/>
      <c r="N74" s="199"/>
      <c r="O74" s="192"/>
      <c r="P74" s="192"/>
      <c r="Q74" s="192"/>
      <c r="R74" s="192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</row>
    <row r="75" spans="1:53" ht="13.5" customHeight="1" thickBot="1">
      <c r="A75" s="200" t="s">
        <v>30</v>
      </c>
      <c r="B75" s="36">
        <f>SUM(C75+D75+E75)</f>
        <v>3000000</v>
      </c>
      <c r="C75" s="120">
        <v>3000000</v>
      </c>
      <c r="D75" s="123"/>
      <c r="E75" s="143"/>
      <c r="F75" s="149">
        <f t="shared" si="11"/>
        <v>37687000</v>
      </c>
      <c r="G75" s="197"/>
      <c r="H75" s="198"/>
      <c r="I75" s="199"/>
      <c r="J75" s="199"/>
      <c r="K75" s="199"/>
      <c r="L75" s="199"/>
      <c r="M75" s="199"/>
      <c r="N75" s="199"/>
      <c r="O75" s="192"/>
      <c r="P75" s="192"/>
      <c r="Q75" s="192"/>
      <c r="R75" s="192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</row>
    <row r="76" spans="1:53" ht="14.25" customHeight="1" thickBot="1">
      <c r="A76" s="85" t="s">
        <v>31</v>
      </c>
      <c r="B76" s="78">
        <f>SUM(B77:B85)</f>
        <v>2526426000</v>
      </c>
      <c r="C76" s="79">
        <f>SUM(C77:C85)</f>
        <v>3500000</v>
      </c>
      <c r="D76" s="83">
        <f>SUM(D77:D85)</f>
        <v>2522926000</v>
      </c>
      <c r="E76" s="143"/>
      <c r="F76" s="78">
        <f t="shared" si="11"/>
        <v>10747019000</v>
      </c>
      <c r="G76" s="197"/>
      <c r="H76" s="198"/>
      <c r="I76" s="201"/>
      <c r="J76" s="201"/>
      <c r="K76" s="201"/>
      <c r="L76" s="201"/>
      <c r="M76" s="201"/>
      <c r="N76" s="201"/>
      <c r="O76" s="192"/>
      <c r="P76" s="192"/>
      <c r="Q76" s="192"/>
      <c r="R76" s="192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</row>
    <row r="77" spans="1:53" ht="14.25" customHeight="1">
      <c r="A77" s="87" t="s">
        <v>32</v>
      </c>
      <c r="B77" s="202">
        <f>SUM(C77:D77)</f>
        <v>0</v>
      </c>
      <c r="C77" s="88"/>
      <c r="D77" s="92"/>
      <c r="E77" s="143"/>
      <c r="F77" s="10">
        <f t="shared" si="11"/>
        <v>4500000000</v>
      </c>
      <c r="G77" s="203"/>
      <c r="H77" s="204"/>
      <c r="I77" s="201"/>
      <c r="J77" s="201"/>
      <c r="K77" s="201"/>
      <c r="L77" s="201"/>
      <c r="M77" s="201"/>
      <c r="N77" s="201"/>
      <c r="O77" s="192"/>
      <c r="P77" s="192"/>
      <c r="Q77" s="192"/>
      <c r="R77" s="192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</row>
    <row r="78" spans="1:53" ht="14.25" customHeight="1">
      <c r="A78" s="93" t="s">
        <v>33</v>
      </c>
      <c r="B78" s="14">
        <f aca="true" t="shared" si="12" ref="B78:B85">SUM(C78:D78)</f>
        <v>0</v>
      </c>
      <c r="C78" s="94"/>
      <c r="D78" s="205"/>
      <c r="E78" s="206"/>
      <c r="F78" s="18">
        <f t="shared" si="11"/>
        <v>3600000000</v>
      </c>
      <c r="G78" s="203"/>
      <c r="H78" s="204"/>
      <c r="I78" s="201"/>
      <c r="J78" s="201"/>
      <c r="K78" s="201"/>
      <c r="L78" s="201"/>
      <c r="M78" s="201"/>
      <c r="N78" s="201"/>
      <c r="O78" s="192"/>
      <c r="P78" s="192"/>
      <c r="Q78" s="192"/>
      <c r="R78" s="192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</row>
    <row r="79" spans="1:53" ht="13.5" customHeight="1">
      <c r="A79" s="207" t="s">
        <v>63</v>
      </c>
      <c r="B79" s="71">
        <f t="shared" si="12"/>
        <v>2031707000</v>
      </c>
      <c r="C79" s="188"/>
      <c r="D79" s="67">
        <v>2031707000</v>
      </c>
      <c r="E79" s="208"/>
      <c r="F79" s="189">
        <f>B79</f>
        <v>2031707000</v>
      </c>
      <c r="G79" s="190">
        <f>B79</f>
        <v>2031707000</v>
      </c>
      <c r="H79" s="191"/>
      <c r="I79" s="209"/>
      <c r="J79" s="210"/>
      <c r="K79" s="210"/>
      <c r="L79" s="210"/>
      <c r="M79" s="211"/>
      <c r="N79" s="209"/>
      <c r="O79" s="192"/>
      <c r="P79" s="192"/>
      <c r="Q79" s="192"/>
      <c r="R79" s="192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</row>
    <row r="80" spans="1:53" ht="13.5" customHeight="1">
      <c r="A80" s="207" t="s">
        <v>64</v>
      </c>
      <c r="B80" s="14">
        <f t="shared" si="12"/>
        <v>0</v>
      </c>
      <c r="C80" s="188"/>
      <c r="D80" s="67"/>
      <c r="E80" s="143"/>
      <c r="F80" s="189">
        <f>B80</f>
        <v>0</v>
      </c>
      <c r="G80" s="212">
        <f>B80</f>
        <v>0</v>
      </c>
      <c r="H80" s="213"/>
      <c r="I80" s="209"/>
      <c r="J80" s="210"/>
      <c r="K80" s="210"/>
      <c r="L80" s="210"/>
      <c r="M80" s="211"/>
      <c r="N80" s="209"/>
      <c r="O80" s="192"/>
      <c r="P80" s="192"/>
      <c r="Q80" s="192"/>
      <c r="R80" s="192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</row>
    <row r="81" spans="1:53" ht="12.75" customHeight="1">
      <c r="A81" s="207" t="s">
        <v>65</v>
      </c>
      <c r="B81" s="71">
        <f t="shared" si="12"/>
        <v>491219000</v>
      </c>
      <c r="C81" s="188"/>
      <c r="D81" s="67">
        <v>491219000</v>
      </c>
      <c r="E81" s="143"/>
      <c r="F81" s="189">
        <f>B81</f>
        <v>491219000</v>
      </c>
      <c r="G81" s="214"/>
      <c r="H81" s="191">
        <f>B81</f>
        <v>491219000</v>
      </c>
      <c r="I81" s="209"/>
      <c r="J81" s="210"/>
      <c r="K81" s="210"/>
      <c r="L81" s="210"/>
      <c r="M81" s="211"/>
      <c r="N81" s="209"/>
      <c r="O81" s="192"/>
      <c r="P81" s="192"/>
      <c r="Q81" s="192"/>
      <c r="R81" s="192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</row>
    <row r="82" spans="1:53" ht="13.5" customHeight="1">
      <c r="A82" s="207" t="s">
        <v>66</v>
      </c>
      <c r="B82" s="14">
        <f t="shared" si="12"/>
        <v>0</v>
      </c>
      <c r="C82" s="188"/>
      <c r="D82" s="67"/>
      <c r="E82" s="143"/>
      <c r="F82" s="189">
        <f>B82</f>
        <v>0</v>
      </c>
      <c r="G82" s="190"/>
      <c r="H82" s="191">
        <f>B82</f>
        <v>0</v>
      </c>
      <c r="I82" s="209"/>
      <c r="J82" s="210"/>
      <c r="K82" s="210"/>
      <c r="L82" s="210"/>
      <c r="M82" s="211"/>
      <c r="N82" s="209"/>
      <c r="O82" s="192"/>
      <c r="P82" s="192"/>
      <c r="Q82" s="192"/>
      <c r="R82" s="192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</row>
    <row r="83" spans="1:53" ht="13.5" customHeight="1">
      <c r="A83" s="93" t="s">
        <v>67</v>
      </c>
      <c r="B83" s="71">
        <f t="shared" si="12"/>
        <v>0</v>
      </c>
      <c r="C83" s="94"/>
      <c r="D83" s="98">
        <v>0</v>
      </c>
      <c r="E83" s="143"/>
      <c r="F83" s="21">
        <f>B83</f>
        <v>0</v>
      </c>
      <c r="G83" s="215"/>
      <c r="H83" s="216"/>
      <c r="I83" s="209"/>
      <c r="J83" s="210"/>
      <c r="K83" s="210"/>
      <c r="L83" s="210"/>
      <c r="M83" s="211"/>
      <c r="N83" s="209"/>
      <c r="O83" s="192"/>
      <c r="P83" s="192"/>
      <c r="Q83" s="192"/>
      <c r="R83" s="192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</row>
    <row r="84" spans="1:53" ht="14.25" customHeight="1">
      <c r="A84" s="93" t="s">
        <v>34</v>
      </c>
      <c r="B84" s="14">
        <f t="shared" si="12"/>
        <v>500000</v>
      </c>
      <c r="C84" s="94">
        <v>500000</v>
      </c>
      <c r="D84" s="98"/>
      <c r="E84" s="143"/>
      <c r="F84" s="21">
        <f>B31+B84</f>
        <v>19804000</v>
      </c>
      <c r="G84" s="215"/>
      <c r="H84" s="216"/>
      <c r="I84" s="217"/>
      <c r="J84" s="217"/>
      <c r="K84" s="217"/>
      <c r="L84" s="217"/>
      <c r="M84" s="217"/>
      <c r="N84" s="209"/>
      <c r="O84" s="218"/>
      <c r="P84" s="218"/>
      <c r="Q84" s="218"/>
      <c r="R84" s="218"/>
      <c r="S84" s="218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</row>
    <row r="85" spans="1:53" ht="12" customHeight="1" thickBot="1">
      <c r="A85" s="93" t="s">
        <v>68</v>
      </c>
      <c r="B85" s="71">
        <f t="shared" si="12"/>
        <v>3000000</v>
      </c>
      <c r="C85" s="94">
        <v>3000000</v>
      </c>
      <c r="D85" s="123"/>
      <c r="E85" s="143"/>
      <c r="F85" s="149">
        <f>B32+B85</f>
        <v>104289000</v>
      </c>
      <c r="G85" s="215"/>
      <c r="H85" s="216"/>
      <c r="I85" s="219"/>
      <c r="J85" s="219"/>
      <c r="K85" s="219"/>
      <c r="L85" s="219"/>
      <c r="M85" s="219"/>
      <c r="N85" s="219"/>
      <c r="O85" s="192"/>
      <c r="P85" s="192"/>
      <c r="Q85" s="192"/>
      <c r="R85" s="192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</row>
    <row r="86" spans="1:53" ht="13.5" customHeight="1" thickBot="1">
      <c r="A86" s="85" t="s">
        <v>36</v>
      </c>
      <c r="B86" s="78">
        <f>SUM(B87:B92)</f>
        <v>49552000</v>
      </c>
      <c r="C86" s="79">
        <f>SUM(C87:C92)</f>
        <v>1000000</v>
      </c>
      <c r="D86" s="83">
        <f>SUM(D87:D92)</f>
        <v>48552000</v>
      </c>
      <c r="E86" s="208"/>
      <c r="F86" s="78">
        <f>B33+B86</f>
        <v>162833000</v>
      </c>
      <c r="G86" s="215"/>
      <c r="H86" s="216"/>
      <c r="I86" s="219"/>
      <c r="J86" s="219"/>
      <c r="K86" s="219"/>
      <c r="L86" s="219"/>
      <c r="M86" s="219"/>
      <c r="N86" s="219"/>
      <c r="O86" s="192"/>
      <c r="P86" s="192"/>
      <c r="Q86" s="192"/>
      <c r="R86" s="192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</row>
    <row r="87" spans="1:53" ht="12.75" customHeight="1">
      <c r="A87" s="87" t="s">
        <v>37</v>
      </c>
      <c r="B87" s="71">
        <f aca="true" t="shared" si="13" ref="B87:B93">SUM(C87:D87)</f>
        <v>0</v>
      </c>
      <c r="C87" s="88"/>
      <c r="D87" s="92">
        <v>0</v>
      </c>
      <c r="E87" s="143"/>
      <c r="F87" s="149">
        <f>B34+B87</f>
        <v>60000000</v>
      </c>
      <c r="G87" s="195"/>
      <c r="H87" s="196"/>
      <c r="I87" s="219"/>
      <c r="J87" s="219"/>
      <c r="K87" s="219"/>
      <c r="L87" s="219"/>
      <c r="M87" s="219"/>
      <c r="N87" s="219"/>
      <c r="O87" s="192"/>
      <c r="P87" s="192"/>
      <c r="Q87" s="192"/>
      <c r="R87" s="192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</row>
    <row r="88" spans="1:53" ht="13.5" customHeight="1">
      <c r="A88" s="207" t="s">
        <v>69</v>
      </c>
      <c r="B88" s="14">
        <f t="shared" si="13"/>
        <v>36414000</v>
      </c>
      <c r="C88" s="188"/>
      <c r="D88" s="67">
        <v>36414000</v>
      </c>
      <c r="E88" s="208"/>
      <c r="F88" s="172">
        <f>B88</f>
        <v>36414000</v>
      </c>
      <c r="G88" s="190">
        <f>B88</f>
        <v>36414000</v>
      </c>
      <c r="H88" s="220"/>
      <c r="I88" s="296"/>
      <c r="J88" s="296"/>
      <c r="K88" s="296"/>
      <c r="L88" s="296"/>
      <c r="M88" s="296"/>
      <c r="N88" s="296"/>
      <c r="O88" s="192"/>
      <c r="P88" s="192"/>
      <c r="Q88" s="192"/>
      <c r="R88" s="192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</row>
    <row r="89" spans="1:53" ht="12.75" customHeight="1">
      <c r="A89" s="207" t="s">
        <v>70</v>
      </c>
      <c r="B89" s="71">
        <f t="shared" si="13"/>
        <v>0</v>
      </c>
      <c r="C89" s="222"/>
      <c r="D89" s="223"/>
      <c r="E89" s="143"/>
      <c r="F89" s="189">
        <f>B89</f>
        <v>0</v>
      </c>
      <c r="G89" s="190">
        <f>B89</f>
        <v>0</v>
      </c>
      <c r="H89" s="220"/>
      <c r="I89" s="296"/>
      <c r="J89" s="296"/>
      <c r="K89" s="296"/>
      <c r="L89" s="296"/>
      <c r="M89" s="296"/>
      <c r="N89" s="296"/>
      <c r="O89" s="192"/>
      <c r="P89" s="192"/>
      <c r="Q89" s="192"/>
      <c r="R89" s="192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</row>
    <row r="90" spans="1:18" ht="12.75" customHeight="1">
      <c r="A90" s="207" t="s">
        <v>71</v>
      </c>
      <c r="B90" s="14">
        <f t="shared" si="13"/>
        <v>12138000</v>
      </c>
      <c r="C90" s="222"/>
      <c r="D90" s="223">
        <f>12138000</f>
        <v>12138000</v>
      </c>
      <c r="E90" s="143"/>
      <c r="F90" s="189">
        <f>B90</f>
        <v>12138000</v>
      </c>
      <c r="G90" s="224"/>
      <c r="H90" s="191">
        <f>B90</f>
        <v>12138000</v>
      </c>
      <c r="I90" s="296"/>
      <c r="J90" s="296"/>
      <c r="K90" s="296"/>
      <c r="L90" s="296"/>
      <c r="M90" s="296"/>
      <c r="N90" s="296"/>
      <c r="O90" s="192"/>
      <c r="P90" s="225"/>
      <c r="Q90" s="225"/>
      <c r="R90" s="225"/>
    </row>
    <row r="91" spans="1:18" ht="12.75" customHeight="1">
      <c r="A91" s="207" t="s">
        <v>72</v>
      </c>
      <c r="B91" s="14">
        <f t="shared" si="13"/>
        <v>0</v>
      </c>
      <c r="C91" s="222"/>
      <c r="D91" s="223"/>
      <c r="E91" s="143"/>
      <c r="F91" s="172">
        <f>B91</f>
        <v>0</v>
      </c>
      <c r="G91" s="224"/>
      <c r="H91" s="191">
        <f>B91</f>
        <v>0</v>
      </c>
      <c r="I91" s="221"/>
      <c r="J91" s="221"/>
      <c r="K91" s="221"/>
      <c r="L91" s="221"/>
      <c r="M91" s="221"/>
      <c r="N91" s="221"/>
      <c r="O91" s="192"/>
      <c r="P91" s="225"/>
      <c r="Q91" s="225"/>
      <c r="R91" s="225"/>
    </row>
    <row r="92" spans="1:18" ht="12" customHeight="1" thickBot="1">
      <c r="A92" s="106" t="s">
        <v>38</v>
      </c>
      <c r="B92" s="71">
        <f t="shared" si="13"/>
        <v>1000000</v>
      </c>
      <c r="C92" s="107">
        <v>1000000</v>
      </c>
      <c r="D92" s="110"/>
      <c r="E92" s="143"/>
      <c r="F92" s="149">
        <f aca="true" t="shared" si="14" ref="F92:F100">B35+B92</f>
        <v>54281000</v>
      </c>
      <c r="G92" s="197"/>
      <c r="H92" s="198"/>
      <c r="I92" s="209"/>
      <c r="J92" s="209"/>
      <c r="K92" s="209"/>
      <c r="L92" s="209"/>
      <c r="M92" s="209"/>
      <c r="N92" s="209"/>
      <c r="O92" s="192"/>
      <c r="P92" s="225"/>
      <c r="Q92" s="225"/>
      <c r="R92" s="225"/>
    </row>
    <row r="93" spans="1:18" ht="15.75" customHeight="1" thickBot="1">
      <c r="A93" s="85" t="s">
        <v>39</v>
      </c>
      <c r="B93" s="78">
        <f t="shared" si="13"/>
        <v>0</v>
      </c>
      <c r="C93" s="226"/>
      <c r="D93" s="227"/>
      <c r="E93" s="153"/>
      <c r="F93" s="78">
        <f t="shared" si="14"/>
        <v>20000000</v>
      </c>
      <c r="G93" s="297"/>
      <c r="H93" s="298"/>
      <c r="I93" s="209"/>
      <c r="J93" s="209"/>
      <c r="K93" s="209"/>
      <c r="L93" s="209"/>
      <c r="M93" s="209"/>
      <c r="N93" s="209"/>
      <c r="O93" s="192"/>
      <c r="P93" s="225"/>
      <c r="Q93" s="225"/>
      <c r="R93" s="225"/>
    </row>
    <row r="94" spans="1:18" ht="15" customHeight="1" thickBot="1">
      <c r="A94" s="111" t="s">
        <v>40</v>
      </c>
      <c r="B94" s="112">
        <f>SUM(B95:B96)</f>
        <v>6000000</v>
      </c>
      <c r="C94" s="113">
        <f>SUM(C95:C96)</f>
        <v>6000000</v>
      </c>
      <c r="D94" s="118">
        <f>SUM(D95:D96)</f>
        <v>0</v>
      </c>
      <c r="E94" s="143"/>
      <c r="F94" s="116">
        <f t="shared" si="14"/>
        <v>115402000</v>
      </c>
      <c r="G94" s="297"/>
      <c r="H94" s="298"/>
      <c r="I94" s="209"/>
      <c r="J94" s="209"/>
      <c r="K94" s="209"/>
      <c r="L94" s="209"/>
      <c r="M94" s="209"/>
      <c r="N94" s="209"/>
      <c r="O94" s="192"/>
      <c r="P94" s="225"/>
      <c r="Q94" s="225"/>
      <c r="R94" s="225"/>
    </row>
    <row r="95" spans="1:18" ht="11.25" customHeight="1">
      <c r="A95" s="119" t="s">
        <v>41</v>
      </c>
      <c r="B95" s="36">
        <f>SUM(C95:D95)</f>
        <v>5000000</v>
      </c>
      <c r="C95" s="120">
        <v>5000000</v>
      </c>
      <c r="D95" s="123"/>
      <c r="E95" s="143"/>
      <c r="F95" s="21">
        <f t="shared" si="14"/>
        <v>104474000</v>
      </c>
      <c r="G95" s="215"/>
      <c r="H95" s="216"/>
      <c r="I95" s="209"/>
      <c r="J95" s="209"/>
      <c r="K95" s="209"/>
      <c r="L95" s="209"/>
      <c r="M95" s="209"/>
      <c r="N95" s="209"/>
      <c r="O95" s="192"/>
      <c r="P95" s="225"/>
      <c r="Q95" s="225"/>
      <c r="R95" s="225"/>
    </row>
    <row r="96" spans="1:18" ht="12" customHeight="1">
      <c r="A96" s="93" t="s">
        <v>42</v>
      </c>
      <c r="B96" s="36">
        <f>SUM(C96:D96)</f>
        <v>1000000</v>
      </c>
      <c r="C96" s="94">
        <v>1000000</v>
      </c>
      <c r="D96" s="123"/>
      <c r="E96" s="143"/>
      <c r="F96" s="21">
        <f t="shared" si="14"/>
        <v>10928000</v>
      </c>
      <c r="G96" s="215"/>
      <c r="H96" s="216"/>
      <c r="I96" s="209"/>
      <c r="J96" s="209"/>
      <c r="K96" s="209"/>
      <c r="L96" s="209"/>
      <c r="M96" s="209"/>
      <c r="N96" s="209"/>
      <c r="O96" s="192"/>
      <c r="P96" s="225"/>
      <c r="Q96" s="225"/>
      <c r="R96" s="225"/>
    </row>
    <row r="97" spans="1:18" ht="12.75" customHeight="1">
      <c r="A97" s="229" t="s">
        <v>43</v>
      </c>
      <c r="B97" s="36">
        <f>SUM(C97:D97)</f>
        <v>0</v>
      </c>
      <c r="C97" s="230"/>
      <c r="D97" s="41"/>
      <c r="E97" s="143"/>
      <c r="F97" s="21">
        <f t="shared" si="14"/>
        <v>5000000</v>
      </c>
      <c r="G97" s="195"/>
      <c r="H97" s="196"/>
      <c r="I97" s="217"/>
      <c r="J97" s="217"/>
      <c r="K97" s="217"/>
      <c r="L97" s="217"/>
      <c r="M97" s="217"/>
      <c r="N97" s="209"/>
      <c r="O97" s="192"/>
      <c r="P97" s="225"/>
      <c r="Q97" s="225"/>
      <c r="R97" s="225"/>
    </row>
    <row r="98" spans="1:18" ht="12.75" customHeight="1">
      <c r="A98" s="231" t="s">
        <v>73</v>
      </c>
      <c r="B98" s="36">
        <f>SUM(C98:D98)</f>
        <v>1000000</v>
      </c>
      <c r="C98" s="232">
        <v>1000000</v>
      </c>
      <c r="D98" s="41"/>
      <c r="E98" s="143"/>
      <c r="F98" s="21">
        <f t="shared" si="14"/>
        <v>24000000</v>
      </c>
      <c r="G98" s="197"/>
      <c r="H98" s="198"/>
      <c r="I98" s="219"/>
      <c r="J98" s="219"/>
      <c r="K98" s="219"/>
      <c r="L98" s="219"/>
      <c r="M98" s="219"/>
      <c r="N98" s="219"/>
      <c r="O98" s="192"/>
      <c r="P98" s="225"/>
      <c r="Q98" s="225"/>
      <c r="R98" s="225"/>
    </row>
    <row r="99" spans="1:18" ht="12.75" customHeight="1" thickBot="1">
      <c r="A99" s="233" t="s">
        <v>45</v>
      </c>
      <c r="B99" s="36">
        <f>SUM(C99:D99)</f>
        <v>0</v>
      </c>
      <c r="C99" s="230"/>
      <c r="D99" s="45"/>
      <c r="E99" s="143"/>
      <c r="F99" s="149">
        <f t="shared" si="14"/>
        <v>2000000</v>
      </c>
      <c r="G99" s="197"/>
      <c r="H99" s="198"/>
      <c r="I99" s="219"/>
      <c r="J99" s="219"/>
      <c r="K99" s="219"/>
      <c r="L99" s="219"/>
      <c r="M99" s="219"/>
      <c r="N99" s="219"/>
      <c r="O99" s="192"/>
      <c r="P99" s="225"/>
      <c r="Q99" s="225"/>
      <c r="R99" s="225"/>
    </row>
    <row r="100" spans="1:18" ht="13.5" customHeight="1" thickBot="1">
      <c r="A100" s="126" t="s">
        <v>46</v>
      </c>
      <c r="B100" s="234">
        <f>SUM(B47+B48+B49+B50+B74+B76+B86+B93+B94+B97+B98+B99)</f>
        <v>15518467000</v>
      </c>
      <c r="C100" s="235">
        <f>SUM(C47+C48+C49+C50+C74+C76+C86+C93+C94+C97+C98+C99)</f>
        <v>12946989000</v>
      </c>
      <c r="D100" s="236">
        <f>SUM(D47+D48+D49+D50+D74+D76+D86+D93+D94+D97+D98+D99)</f>
        <v>2571478000</v>
      </c>
      <c r="E100" s="143"/>
      <c r="F100" s="234">
        <f t="shared" si="14"/>
        <v>27162424000</v>
      </c>
      <c r="G100" s="237">
        <f>SUM(G64+G69+G70+G79+G80+G88+G89)</f>
        <v>6519079000</v>
      </c>
      <c r="H100" s="238">
        <f>SUM(H65+H71+H72+H81+H82+H90+H91)</f>
        <v>1967660000</v>
      </c>
      <c r="I100" s="219"/>
      <c r="J100" s="219"/>
      <c r="K100" s="219"/>
      <c r="L100" s="219"/>
      <c r="M100" s="219"/>
      <c r="N100" s="219"/>
      <c r="O100" s="192"/>
      <c r="P100" s="225"/>
      <c r="Q100" s="225"/>
      <c r="R100" s="225"/>
    </row>
    <row r="101" spans="2:18" ht="12" customHeight="1">
      <c r="B101" s="1"/>
      <c r="C101" s="1"/>
      <c r="D101" s="1"/>
      <c r="E101" s="1"/>
      <c r="F101" s="1"/>
      <c r="G101" s="1"/>
      <c r="H101" s="1"/>
      <c r="I101" s="219"/>
      <c r="J101" s="219"/>
      <c r="K101" s="219"/>
      <c r="L101" s="219"/>
      <c r="M101" s="219"/>
      <c r="N101" s="219"/>
      <c r="O101" s="192"/>
      <c r="P101" s="225"/>
      <c r="Q101" s="225"/>
      <c r="R101" s="225"/>
    </row>
    <row r="102" spans="9:18" ht="12.75" customHeight="1">
      <c r="I102" s="219"/>
      <c r="J102" s="219"/>
      <c r="K102" s="219"/>
      <c r="L102" s="219"/>
      <c r="M102" s="219"/>
      <c r="N102" s="219"/>
      <c r="O102" s="192"/>
      <c r="P102" s="225"/>
      <c r="Q102" s="225"/>
      <c r="R102" s="225"/>
    </row>
    <row r="103" spans="1:18" ht="16.5" customHeight="1">
      <c r="A103" s="219"/>
      <c r="B103" s="219"/>
      <c r="C103" s="219"/>
      <c r="D103" s="219"/>
      <c r="E103" s="219"/>
      <c r="F103" s="219"/>
      <c r="G103" s="219"/>
      <c r="H103" s="219"/>
      <c r="I103" s="296"/>
      <c r="J103" s="296"/>
      <c r="K103" s="296"/>
      <c r="L103" s="296"/>
      <c r="M103" s="296"/>
      <c r="N103" s="296"/>
      <c r="O103" s="192"/>
      <c r="P103" s="225"/>
      <c r="Q103" s="225"/>
      <c r="R103" s="225"/>
    </row>
    <row r="104" spans="1:18" ht="15" customHeight="1">
      <c r="A104" s="239"/>
      <c r="B104" s="239"/>
      <c r="C104" s="239"/>
      <c r="D104" s="239"/>
      <c r="E104" s="239"/>
      <c r="F104" s="239"/>
      <c r="G104" s="239"/>
      <c r="H104" s="239"/>
      <c r="I104" s="296"/>
      <c r="J104" s="296"/>
      <c r="K104" s="296"/>
      <c r="L104" s="296"/>
      <c r="M104" s="296"/>
      <c r="N104" s="296"/>
      <c r="O104" s="192"/>
      <c r="P104" s="225"/>
      <c r="Q104" s="225"/>
      <c r="R104" s="225"/>
    </row>
    <row r="105" spans="1:18" ht="12" customHeight="1">
      <c r="A105" s="239"/>
      <c r="B105" s="239"/>
      <c r="C105" s="239"/>
      <c r="D105" s="239"/>
      <c r="E105" s="239"/>
      <c r="F105" s="239"/>
      <c r="G105" s="239"/>
      <c r="H105" s="239"/>
      <c r="I105" s="209"/>
      <c r="J105" s="209"/>
      <c r="K105" s="209"/>
      <c r="L105" s="209"/>
      <c r="M105" s="209"/>
      <c r="N105" s="209"/>
      <c r="O105" s="192"/>
      <c r="P105" s="225"/>
      <c r="Q105" s="225"/>
      <c r="R105" s="225"/>
    </row>
    <row r="106" spans="1:18" ht="12" customHeight="1">
      <c r="A106" s="239"/>
      <c r="B106" s="239"/>
      <c r="C106" s="239"/>
      <c r="D106" s="239"/>
      <c r="E106" s="239"/>
      <c r="F106" s="239"/>
      <c r="G106" s="239"/>
      <c r="H106" s="239"/>
      <c r="I106" s="209"/>
      <c r="J106" s="209"/>
      <c r="K106" s="209"/>
      <c r="L106" s="209"/>
      <c r="M106" s="209"/>
      <c r="N106" s="209"/>
      <c r="O106" s="192"/>
      <c r="P106" s="225"/>
      <c r="Q106" s="225"/>
      <c r="R106" s="225"/>
    </row>
    <row r="107" spans="1:18" ht="12.75" customHeight="1">
      <c r="A107" s="239"/>
      <c r="B107" s="165"/>
      <c r="C107" s="165"/>
      <c r="D107" s="165"/>
      <c r="E107" s="165"/>
      <c r="F107" s="165"/>
      <c r="G107" s="165"/>
      <c r="H107" s="165"/>
      <c r="I107" s="209"/>
      <c r="J107" s="209"/>
      <c r="K107" s="209"/>
      <c r="L107" s="209"/>
      <c r="M107" s="209"/>
      <c r="N107" s="209"/>
      <c r="O107" s="192"/>
      <c r="P107" s="225"/>
      <c r="Q107" s="225"/>
      <c r="R107" s="225"/>
    </row>
    <row r="108" spans="1:18" ht="13.5" customHeight="1">
      <c r="A108" s="165"/>
      <c r="B108" s="165"/>
      <c r="C108" s="165"/>
      <c r="D108" s="165"/>
      <c r="E108" s="165"/>
      <c r="F108" s="165"/>
      <c r="G108" s="165"/>
      <c r="H108" s="165"/>
      <c r="I108" s="217"/>
      <c r="J108" s="217"/>
      <c r="K108" s="217"/>
      <c r="L108" s="217"/>
      <c r="M108" s="217"/>
      <c r="N108" s="209"/>
      <c r="O108" s="192"/>
      <c r="P108" s="225"/>
      <c r="Q108" s="225"/>
      <c r="R108" s="225"/>
    </row>
    <row r="109" spans="1:18" ht="12.75" customHeight="1">
      <c r="A109" s="165"/>
      <c r="B109" s="165"/>
      <c r="C109" s="165"/>
      <c r="D109" s="165"/>
      <c r="E109" s="165"/>
      <c r="F109" s="165"/>
      <c r="G109" s="165"/>
      <c r="H109" s="165"/>
      <c r="I109" s="219"/>
      <c r="J109" s="219"/>
      <c r="K109" s="219"/>
      <c r="L109" s="219"/>
      <c r="M109" s="219"/>
      <c r="N109" s="219"/>
      <c r="O109" s="192"/>
      <c r="P109" s="225"/>
      <c r="Q109" s="225"/>
      <c r="R109" s="225"/>
    </row>
    <row r="110" spans="1:18" ht="13.5" customHeight="1">
      <c r="A110" s="165"/>
      <c r="B110" s="165"/>
      <c r="C110" s="165"/>
      <c r="D110" s="165"/>
      <c r="E110" s="165"/>
      <c r="F110" s="165"/>
      <c r="G110" s="165"/>
      <c r="H110" s="165"/>
      <c r="I110" s="219"/>
      <c r="J110" s="219"/>
      <c r="K110" s="219"/>
      <c r="L110" s="219"/>
      <c r="M110" s="219"/>
      <c r="N110" s="219"/>
      <c r="O110" s="192"/>
      <c r="P110" s="225"/>
      <c r="Q110" s="225"/>
      <c r="R110" s="225"/>
    </row>
    <row r="111" spans="1:18" ht="13.5" customHeight="1">
      <c r="A111" s="239"/>
      <c r="B111" s="239"/>
      <c r="C111" s="239"/>
      <c r="D111" s="239"/>
      <c r="E111" s="239"/>
      <c r="F111" s="239"/>
      <c r="G111" s="239"/>
      <c r="H111" s="239"/>
      <c r="I111" s="219"/>
      <c r="J111" s="219"/>
      <c r="K111" s="219"/>
      <c r="L111" s="219"/>
      <c r="M111" s="219"/>
      <c r="N111" s="219"/>
      <c r="O111" s="192"/>
      <c r="P111" s="225"/>
      <c r="Q111" s="225"/>
      <c r="R111" s="225"/>
    </row>
    <row r="112" spans="1:18" ht="15" customHeight="1">
      <c r="A112" s="239"/>
      <c r="B112" s="239"/>
      <c r="C112" s="239"/>
      <c r="D112" s="239"/>
      <c r="E112" s="239"/>
      <c r="F112" s="239"/>
      <c r="G112" s="239"/>
      <c r="H112" s="239"/>
      <c r="I112" s="1"/>
      <c r="J112" s="228"/>
      <c r="K112" s="228"/>
      <c r="L112" s="228"/>
      <c r="M112" s="228"/>
      <c r="N112" s="228"/>
      <c r="O112" s="192"/>
      <c r="P112" s="225"/>
      <c r="Q112" s="225"/>
      <c r="R112" s="225"/>
    </row>
    <row r="113" spans="1:15" ht="12" customHeight="1">
      <c r="A113" s="239"/>
      <c r="B113" s="239"/>
      <c r="C113" s="239"/>
      <c r="D113" s="239"/>
      <c r="E113" s="239"/>
      <c r="F113" s="239"/>
      <c r="G113" s="239"/>
      <c r="H113" s="239"/>
      <c r="O113" s="240"/>
    </row>
    <row r="114" spans="1:18" ht="13.5" customHeight="1">
      <c r="A114" s="239"/>
      <c r="B114" s="239"/>
      <c r="C114" s="239"/>
      <c r="D114" s="239"/>
      <c r="E114" s="239"/>
      <c r="F114" s="239"/>
      <c r="G114" s="239"/>
      <c r="H114" s="239"/>
      <c r="I114" s="219"/>
      <c r="J114" s="219"/>
      <c r="K114" s="219"/>
      <c r="L114" s="219"/>
      <c r="M114" s="219"/>
      <c r="N114" s="219"/>
      <c r="O114" s="192"/>
      <c r="P114" s="225"/>
      <c r="Q114" s="225"/>
      <c r="R114" s="225"/>
    </row>
    <row r="115" spans="1:18" ht="13.5" customHeight="1">
      <c r="A115" s="165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25"/>
      <c r="P115" s="225"/>
      <c r="Q115" s="225"/>
      <c r="R115" s="225"/>
    </row>
    <row r="116" spans="1:18" ht="12" customHeight="1">
      <c r="A116" s="165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25"/>
      <c r="P116" s="225"/>
      <c r="Q116" s="225"/>
      <c r="R116" s="225"/>
    </row>
    <row r="117" spans="1:18" ht="18">
      <c r="A117" s="165"/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25"/>
      <c r="P117" s="225"/>
      <c r="Q117" s="225"/>
      <c r="R117" s="225"/>
    </row>
    <row r="118" spans="1:18" ht="18">
      <c r="A118" s="165"/>
      <c r="B118" s="239"/>
      <c r="C118" s="239"/>
      <c r="D118" s="239"/>
      <c r="E118" s="239"/>
      <c r="F118" s="239"/>
      <c r="G118" s="239"/>
      <c r="H118" s="239"/>
      <c r="I118" s="165"/>
      <c r="J118" s="165"/>
      <c r="K118" s="165"/>
      <c r="L118" s="165"/>
      <c r="M118" s="165"/>
      <c r="N118" s="165"/>
      <c r="O118" s="225"/>
      <c r="P118" s="225"/>
      <c r="Q118" s="225"/>
      <c r="R118" s="225"/>
    </row>
    <row r="119" spans="1:18" ht="18">
      <c r="A119" s="165"/>
      <c r="B119" s="239"/>
      <c r="C119" s="239"/>
      <c r="D119" s="239"/>
      <c r="E119" s="239"/>
      <c r="F119" s="239"/>
      <c r="G119" s="239"/>
      <c r="H119" s="239"/>
      <c r="I119" s="165"/>
      <c r="J119" s="165"/>
      <c r="K119" s="165"/>
      <c r="L119" s="165"/>
      <c r="M119" s="165"/>
      <c r="N119" s="165"/>
      <c r="O119" s="225"/>
      <c r="P119" s="225"/>
      <c r="Q119" s="225"/>
      <c r="R119" s="225"/>
    </row>
    <row r="120" spans="1:18" ht="18">
      <c r="A120" s="165"/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225"/>
      <c r="P120" s="225"/>
      <c r="Q120" s="225"/>
      <c r="R120" s="225"/>
    </row>
    <row r="121" spans="1:18" ht="18">
      <c r="A121" s="165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225"/>
      <c r="P121" s="225"/>
      <c r="Q121" s="225"/>
      <c r="R121" s="225"/>
    </row>
    <row r="122" spans="1:18" ht="18">
      <c r="A122" s="241"/>
      <c r="B122" s="239"/>
      <c r="C122" s="239"/>
      <c r="D122" s="239"/>
      <c r="E122" s="239"/>
      <c r="F122" s="239"/>
      <c r="G122" s="165"/>
      <c r="H122" s="165"/>
      <c r="I122" s="239"/>
      <c r="J122" s="239"/>
      <c r="K122" s="239"/>
      <c r="L122" s="239"/>
      <c r="M122" s="239"/>
      <c r="N122" s="239"/>
      <c r="O122" s="225"/>
      <c r="P122" s="225"/>
      <c r="Q122" s="225"/>
      <c r="R122" s="225"/>
    </row>
    <row r="123" spans="1:18" ht="18">
      <c r="A123" s="239"/>
      <c r="B123" s="239"/>
      <c r="C123" s="239"/>
      <c r="D123" s="239"/>
      <c r="E123" s="239"/>
      <c r="F123" s="239"/>
      <c r="G123" s="165"/>
      <c r="H123" s="165"/>
      <c r="I123" s="239"/>
      <c r="J123" s="239"/>
      <c r="K123" s="239"/>
      <c r="L123" s="239"/>
      <c r="M123" s="239"/>
      <c r="N123" s="239"/>
      <c r="O123" s="225"/>
      <c r="P123" s="225"/>
      <c r="Q123" s="225"/>
      <c r="R123" s="225"/>
    </row>
    <row r="124" spans="1:18" ht="18">
      <c r="A124" s="239"/>
      <c r="B124" s="239"/>
      <c r="C124" s="239"/>
      <c r="D124" s="239"/>
      <c r="E124" s="239"/>
      <c r="F124" s="239"/>
      <c r="G124" s="165"/>
      <c r="H124" s="165"/>
      <c r="I124" s="239"/>
      <c r="J124" s="239"/>
      <c r="K124" s="239"/>
      <c r="L124" s="239"/>
      <c r="M124" s="239"/>
      <c r="N124" s="239"/>
      <c r="O124" s="225"/>
      <c r="P124" s="225"/>
      <c r="Q124" s="225"/>
      <c r="R124" s="225"/>
    </row>
    <row r="125" spans="1:18" ht="18">
      <c r="A125" s="239"/>
      <c r="B125" s="239"/>
      <c r="C125" s="239"/>
      <c r="D125" s="239"/>
      <c r="E125" s="239"/>
      <c r="F125" s="239"/>
      <c r="G125" s="165"/>
      <c r="H125" s="165"/>
      <c r="I125" s="239"/>
      <c r="J125" s="239"/>
      <c r="K125" s="239"/>
      <c r="L125" s="239"/>
      <c r="M125" s="239"/>
      <c r="N125" s="239"/>
      <c r="O125" s="225"/>
      <c r="P125" s="225"/>
      <c r="Q125" s="225"/>
      <c r="R125" s="225"/>
    </row>
    <row r="126" spans="1:18" ht="18">
      <c r="A126" s="239"/>
      <c r="B126" s="239"/>
      <c r="C126" s="239"/>
      <c r="D126" s="239"/>
      <c r="E126" s="239"/>
      <c r="F126" s="239"/>
      <c r="G126" s="165"/>
      <c r="H126" s="165"/>
      <c r="I126" s="239"/>
      <c r="J126" s="239"/>
      <c r="K126" s="239"/>
      <c r="L126" s="239"/>
      <c r="M126" s="239"/>
      <c r="N126" s="239"/>
      <c r="O126" s="225"/>
      <c r="P126" s="225"/>
      <c r="Q126" s="225"/>
      <c r="R126" s="225"/>
    </row>
    <row r="127" spans="1:18" ht="18">
      <c r="A127" s="239"/>
      <c r="B127" s="239"/>
      <c r="C127" s="239"/>
      <c r="D127" s="239"/>
      <c r="E127" s="239"/>
      <c r="F127" s="239"/>
      <c r="G127" s="165"/>
      <c r="H127" s="165"/>
      <c r="I127" s="239"/>
      <c r="J127" s="239"/>
      <c r="K127" s="239"/>
      <c r="L127" s="239"/>
      <c r="M127" s="239"/>
      <c r="N127" s="239"/>
      <c r="O127" s="225"/>
      <c r="P127" s="225"/>
      <c r="Q127" s="225"/>
      <c r="R127" s="225"/>
    </row>
    <row r="128" spans="1:18" ht="18">
      <c r="A128" s="239"/>
      <c r="B128" s="239"/>
      <c r="C128" s="239"/>
      <c r="D128" s="239"/>
      <c r="E128" s="239"/>
      <c r="F128" s="239"/>
      <c r="G128" s="165"/>
      <c r="H128" s="165"/>
      <c r="I128" s="239"/>
      <c r="J128" s="239"/>
      <c r="K128" s="239"/>
      <c r="L128" s="239"/>
      <c r="M128" s="239"/>
      <c r="N128" s="239"/>
      <c r="O128" s="225"/>
      <c r="P128" s="225"/>
      <c r="Q128" s="225"/>
      <c r="R128" s="225"/>
    </row>
    <row r="129" spans="1:18" ht="18">
      <c r="A129" s="165"/>
      <c r="B129" s="239"/>
      <c r="C129" s="239"/>
      <c r="D129" s="239"/>
      <c r="E129" s="239"/>
      <c r="F129" s="239"/>
      <c r="G129" s="165"/>
      <c r="H129" s="165"/>
      <c r="I129" s="239"/>
      <c r="J129" s="239"/>
      <c r="K129" s="239"/>
      <c r="L129" s="239"/>
      <c r="M129" s="239"/>
      <c r="N129" s="239"/>
      <c r="O129" s="225"/>
      <c r="P129" s="225"/>
      <c r="Q129" s="225"/>
      <c r="R129" s="225"/>
    </row>
    <row r="130" spans="1:18" ht="18">
      <c r="A130" s="242"/>
      <c r="B130" s="239"/>
      <c r="C130" s="239"/>
      <c r="D130" s="239"/>
      <c r="E130" s="239"/>
      <c r="F130" s="239"/>
      <c r="G130" s="165"/>
      <c r="H130" s="165"/>
      <c r="I130" s="239"/>
      <c r="J130" s="239"/>
      <c r="K130" s="239"/>
      <c r="L130" s="239"/>
      <c r="M130" s="239"/>
      <c r="N130" s="239"/>
      <c r="O130" s="225"/>
      <c r="P130" s="225"/>
      <c r="Q130" s="225"/>
      <c r="R130" s="225"/>
    </row>
    <row r="131" spans="1:14" ht="18">
      <c r="A131" s="239"/>
      <c r="B131" s="239"/>
      <c r="C131" s="239"/>
      <c r="D131" s="239"/>
      <c r="E131" s="239"/>
      <c r="F131" s="239"/>
      <c r="G131" s="165"/>
      <c r="H131" s="165"/>
      <c r="I131" s="165"/>
      <c r="J131" s="165"/>
      <c r="K131" s="165"/>
      <c r="L131" s="165"/>
      <c r="M131" s="165"/>
      <c r="N131" s="165"/>
    </row>
    <row r="132" spans="1:14" ht="18">
      <c r="A132" s="243"/>
      <c r="B132" s="239"/>
      <c r="C132" s="239"/>
      <c r="D132" s="239"/>
      <c r="E132" s="239"/>
      <c r="F132" s="239"/>
      <c r="G132" s="165"/>
      <c r="H132" s="165"/>
      <c r="I132" s="165"/>
      <c r="J132" s="165"/>
      <c r="K132" s="165"/>
      <c r="L132" s="165"/>
      <c r="M132" s="165"/>
      <c r="N132" s="165"/>
    </row>
    <row r="133" spans="2:14" ht="18">
      <c r="B133" s="244"/>
      <c r="C133" s="244"/>
      <c r="D133" s="244"/>
      <c r="E133" s="225"/>
      <c r="F133" s="225"/>
      <c r="I133" s="165"/>
      <c r="J133" s="165"/>
      <c r="K133" s="165"/>
      <c r="L133" s="165"/>
      <c r="M133" s="165"/>
      <c r="N133" s="165"/>
    </row>
    <row r="134" spans="9:14" ht="12.75">
      <c r="I134" s="165"/>
      <c r="J134" s="165"/>
      <c r="K134" s="165"/>
      <c r="L134" s="165"/>
      <c r="M134" s="165"/>
      <c r="N134" s="165"/>
    </row>
    <row r="135" spans="9:14" ht="12.75">
      <c r="I135" s="165"/>
      <c r="J135" s="165"/>
      <c r="K135" s="165"/>
      <c r="L135" s="165"/>
      <c r="M135" s="165"/>
      <c r="N135" s="165"/>
    </row>
    <row r="136" spans="9:14" ht="12.75">
      <c r="I136" s="165"/>
      <c r="J136" s="165"/>
      <c r="K136" s="165"/>
      <c r="L136" s="165"/>
      <c r="M136" s="165"/>
      <c r="N136" s="165"/>
    </row>
    <row r="137" spans="9:14" ht="12.75">
      <c r="I137" s="165"/>
      <c r="J137" s="165"/>
      <c r="K137" s="165"/>
      <c r="L137" s="165"/>
      <c r="M137" s="165"/>
      <c r="N137" s="165"/>
    </row>
    <row r="138" spans="9:14" ht="12.75">
      <c r="I138" s="165"/>
      <c r="J138" s="165"/>
      <c r="K138" s="165"/>
      <c r="L138" s="165"/>
      <c r="M138" s="165"/>
      <c r="N138" s="165"/>
    </row>
    <row r="139" spans="9:14" ht="12.75">
      <c r="I139" s="165"/>
      <c r="J139" s="165"/>
      <c r="K139" s="165"/>
      <c r="L139" s="165"/>
      <c r="M139" s="165"/>
      <c r="N139" s="165"/>
    </row>
    <row r="140" spans="9:14" ht="12.75">
      <c r="I140" s="165"/>
      <c r="J140" s="165"/>
      <c r="K140" s="165"/>
      <c r="L140" s="165"/>
      <c r="M140" s="165"/>
      <c r="N140" s="165"/>
    </row>
    <row r="141" spans="9:14" ht="12.75">
      <c r="I141" s="165"/>
      <c r="J141" s="165"/>
      <c r="K141" s="165"/>
      <c r="L141" s="165"/>
      <c r="M141" s="165"/>
      <c r="N141" s="165"/>
    </row>
    <row r="142" spans="9:14" ht="12.75">
      <c r="I142" s="165"/>
      <c r="J142" s="165"/>
      <c r="K142" s="165"/>
      <c r="L142" s="165"/>
      <c r="M142" s="165"/>
      <c r="N142" s="165"/>
    </row>
    <row r="143" spans="9:14" ht="12.75">
      <c r="I143" s="165"/>
      <c r="J143" s="165"/>
      <c r="K143" s="165"/>
      <c r="L143" s="165"/>
      <c r="M143" s="165"/>
      <c r="N143" s="165"/>
    </row>
  </sheetData>
  <mergeCells count="24">
    <mergeCell ref="M103:M104"/>
    <mergeCell ref="N103:N104"/>
    <mergeCell ref="I103:I104"/>
    <mergeCell ref="J103:J104"/>
    <mergeCell ref="K103:K104"/>
    <mergeCell ref="L103:L104"/>
    <mergeCell ref="L88:L90"/>
    <mergeCell ref="M88:M90"/>
    <mergeCell ref="N88:N90"/>
    <mergeCell ref="G93:G94"/>
    <mergeCell ref="H93:H94"/>
    <mergeCell ref="A44:H45"/>
    <mergeCell ref="I88:I90"/>
    <mergeCell ref="J88:J90"/>
    <mergeCell ref="K88:K90"/>
    <mergeCell ref="A1:H1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38" right="0.17" top="0.67" bottom="0.5" header="0.4921259845" footer="0.4921259845"/>
  <pageSetup horizontalDpi="600" verticalDpi="600" orientation="landscape" paperSize="9" scale="70" r:id="rId1"/>
  <headerFooter alignWithMargins="0">
    <oddHeader>&amp;R&amp;14PRÍLOHA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149"/>
  <sheetViews>
    <sheetView workbookViewId="0" topLeftCell="A1">
      <selection activeCell="A6" sqref="A6"/>
    </sheetView>
  </sheetViews>
  <sheetFormatPr defaultColWidth="9.140625" defaultRowHeight="12.75"/>
  <cols>
    <col min="1" max="1" width="65.28125" style="0" customWidth="1"/>
    <col min="2" max="2" width="18.7109375" style="0" customWidth="1"/>
    <col min="3" max="3" width="18.28125" style="0" customWidth="1"/>
    <col min="4" max="5" width="18.140625" style="0" customWidth="1"/>
    <col min="6" max="6" width="20.00390625" style="0" customWidth="1"/>
    <col min="7" max="7" width="18.7109375" style="0" customWidth="1"/>
    <col min="8" max="8" width="19.8515625" style="0" customWidth="1"/>
    <col min="9" max="9" width="10.421875" style="0" customWidth="1"/>
    <col min="10" max="10" width="10.28125" style="0" customWidth="1"/>
    <col min="11" max="11" width="9.8515625" style="0" customWidth="1"/>
    <col min="12" max="12" width="10.00390625" style="0" customWidth="1"/>
    <col min="13" max="13" width="11.28125" style="0" customWidth="1"/>
    <col min="14" max="14" width="10.00390625" style="0" customWidth="1"/>
  </cols>
  <sheetData>
    <row r="1" spans="1:14" ht="37.5" customHeight="1">
      <c r="A1" s="299" t="s">
        <v>87</v>
      </c>
      <c r="B1" s="300"/>
      <c r="C1" s="300"/>
      <c r="D1" s="300"/>
      <c r="E1" s="300"/>
      <c r="F1" s="300"/>
      <c r="G1" s="300"/>
      <c r="H1" s="300"/>
      <c r="I1" s="2"/>
      <c r="J1" s="2"/>
      <c r="K1" s="2"/>
      <c r="L1" s="2"/>
      <c r="M1" s="2"/>
      <c r="N1" s="2"/>
    </row>
    <row r="2" spans="1:14" ht="16.5" customHeight="1" thickBot="1">
      <c r="A2" s="3"/>
      <c r="B2" s="3"/>
      <c r="C2" s="3"/>
      <c r="D2" s="3"/>
      <c r="E2" s="3"/>
      <c r="F2" s="3"/>
      <c r="G2" s="3"/>
      <c r="H2" s="4" t="s">
        <v>0</v>
      </c>
      <c r="I2" s="2"/>
      <c r="J2" s="2"/>
      <c r="K2" s="2"/>
      <c r="L2" s="2"/>
      <c r="M2" s="2"/>
      <c r="N2" s="2"/>
    </row>
    <row r="3" spans="1:8" ht="18.75" customHeight="1">
      <c r="A3" s="271" t="s">
        <v>74</v>
      </c>
      <c r="B3" s="274" t="s">
        <v>2</v>
      </c>
      <c r="C3" s="277" t="s">
        <v>3</v>
      </c>
      <c r="D3" s="280" t="s">
        <v>4</v>
      </c>
      <c r="E3" s="283" t="s">
        <v>5</v>
      </c>
      <c r="F3" s="271" t="s">
        <v>6</v>
      </c>
      <c r="G3" s="288" t="s">
        <v>7</v>
      </c>
      <c r="H3" s="291" t="s">
        <v>75</v>
      </c>
    </row>
    <row r="4" spans="1:8" ht="21.75" customHeight="1">
      <c r="A4" s="272"/>
      <c r="B4" s="275"/>
      <c r="C4" s="278"/>
      <c r="D4" s="281"/>
      <c r="E4" s="284"/>
      <c r="F4" s="286"/>
      <c r="G4" s="289"/>
      <c r="H4" s="292"/>
    </row>
    <row r="5" spans="1:8" ht="18.75" customHeight="1" thickBot="1">
      <c r="A5" s="273"/>
      <c r="B5" s="276"/>
      <c r="C5" s="279"/>
      <c r="D5" s="282"/>
      <c r="E5" s="285"/>
      <c r="F5" s="287"/>
      <c r="G5" s="290"/>
      <c r="H5" s="293"/>
    </row>
    <row r="6" spans="1:8" s="12" customFormat="1" ht="15">
      <c r="A6" s="5" t="s">
        <v>9</v>
      </c>
      <c r="B6" s="6">
        <f>SUM(C6+D6+E6+F6)</f>
        <v>3462070</v>
      </c>
      <c r="C6" s="7"/>
      <c r="D6" s="8"/>
      <c r="E6" s="9"/>
      <c r="F6" s="10">
        <f>SUM(G6+H6)</f>
        <v>3462070</v>
      </c>
      <c r="G6" s="9">
        <f>4500000+2500000-167200-65730-300000-265000-2740000</f>
        <v>3462070</v>
      </c>
      <c r="H6" s="11"/>
    </row>
    <row r="7" spans="1:8" ht="15">
      <c r="A7" s="13" t="s">
        <v>10</v>
      </c>
      <c r="B7" s="14">
        <f>SUM(C7+D7+E7+F7)</f>
        <v>43557000</v>
      </c>
      <c r="C7" s="15"/>
      <c r="D7" s="16"/>
      <c r="E7" s="17">
        <f>44000000-443000</f>
        <v>43557000</v>
      </c>
      <c r="F7" s="18">
        <f>SUM(G7+H7)</f>
        <v>0</v>
      </c>
      <c r="G7" s="16"/>
      <c r="H7" s="245"/>
    </row>
    <row r="8" spans="1:8" ht="15">
      <c r="A8" s="20" t="s">
        <v>11</v>
      </c>
      <c r="B8" s="14">
        <f>SUM(C8+D8+E8+F8)</f>
        <v>537580080</v>
      </c>
      <c r="C8" s="15">
        <f>322970000+1200000+7693000+700000</f>
        <v>332563000</v>
      </c>
      <c r="D8" s="16">
        <f>93350000+1819000+400000-54894+2488000+8200000-300000</f>
        <v>105902106</v>
      </c>
      <c r="E8" s="17">
        <f>87859000+539000-22920+54894-300000+1385000+300000</f>
        <v>89814974</v>
      </c>
      <c r="F8" s="21">
        <f>SUM(G8+H8)</f>
        <v>9300000</v>
      </c>
      <c r="G8" s="17">
        <f>10000000-700000</f>
        <v>9300000</v>
      </c>
      <c r="H8" s="22"/>
    </row>
    <row r="9" spans="1:8" s="12" customFormat="1" ht="15.75" thickBot="1">
      <c r="A9" s="23" t="s">
        <v>12</v>
      </c>
      <c r="B9" s="24">
        <f aca="true" t="shared" si="0" ref="B9:H9">SUM(B10+B19+B22+B23+B24+B25+B26+B27)</f>
        <v>2806375458.79</v>
      </c>
      <c r="C9" s="25">
        <f t="shared" si="0"/>
        <v>292167915.1</v>
      </c>
      <c r="D9" s="26">
        <f t="shared" si="0"/>
        <v>97355513.69999999</v>
      </c>
      <c r="E9" s="27">
        <f t="shared" si="0"/>
        <v>1523330845.99</v>
      </c>
      <c r="F9" s="24">
        <f t="shared" si="0"/>
        <v>893521184</v>
      </c>
      <c r="G9" s="25">
        <f t="shared" si="0"/>
        <v>87652777</v>
      </c>
      <c r="H9" s="28">
        <f t="shared" si="0"/>
        <v>805868407</v>
      </c>
    </row>
    <row r="10" spans="1:8" s="12" customFormat="1" ht="15.75" thickBot="1">
      <c r="A10" s="29" t="s">
        <v>13</v>
      </c>
      <c r="B10" s="30">
        <f aca="true" t="shared" si="1" ref="B10:B27">SUM(C10+D10+E10+F10)</f>
        <v>157305337</v>
      </c>
      <c r="C10" s="31">
        <f>SUM(C11:C18)</f>
        <v>82723000</v>
      </c>
      <c r="D10" s="32">
        <f>SUM(D11:D18)</f>
        <v>30006000</v>
      </c>
      <c r="E10" s="33">
        <f>SUM(E11:E18)</f>
        <v>35832507</v>
      </c>
      <c r="F10" s="30">
        <f aca="true" t="shared" si="2" ref="F10:F27">SUM(G10+H10)</f>
        <v>8743830</v>
      </c>
      <c r="G10" s="33">
        <f>SUM(G11:G18)</f>
        <v>8743830</v>
      </c>
      <c r="H10" s="34">
        <f>SUM(H11:H18)</f>
        <v>0</v>
      </c>
    </row>
    <row r="11" spans="1:8" ht="15">
      <c r="A11" s="35" t="s">
        <v>14</v>
      </c>
      <c r="B11" s="36">
        <f t="shared" si="1"/>
        <v>18057773</v>
      </c>
      <c r="C11" s="37">
        <f>9332000+225000</f>
        <v>9557000</v>
      </c>
      <c r="D11" s="38">
        <f>3262000+79000+125000-45000</f>
        <v>3421000</v>
      </c>
      <c r="E11" s="39">
        <f>3137000-25000+265000+30000+45000+65000+199973</f>
        <v>3716973</v>
      </c>
      <c r="F11" s="40">
        <f t="shared" si="2"/>
        <v>1362800</v>
      </c>
      <c r="G11" s="39">
        <f>1236000+167200+24600-65000</f>
        <v>1362800</v>
      </c>
      <c r="H11" s="41"/>
    </row>
    <row r="12" spans="1:8" ht="15">
      <c r="A12" s="42" t="s">
        <v>15</v>
      </c>
      <c r="B12" s="36">
        <f t="shared" si="1"/>
        <v>16348700</v>
      </c>
      <c r="C12" s="37">
        <f>8285000+204000</f>
        <v>8489000</v>
      </c>
      <c r="D12" s="38">
        <f>2896000+72000+115000</f>
        <v>3083000</v>
      </c>
      <c r="E12" s="43">
        <f>3600000+2000+668000+20000</f>
        <v>4290000</v>
      </c>
      <c r="F12" s="44">
        <f t="shared" si="2"/>
        <v>486700</v>
      </c>
      <c r="G12" s="39">
        <f>478000+8700</f>
        <v>486700</v>
      </c>
      <c r="H12" s="45"/>
    </row>
    <row r="13" spans="1:8" ht="15">
      <c r="A13" s="46" t="s">
        <v>16</v>
      </c>
      <c r="B13" s="36">
        <f t="shared" si="1"/>
        <v>18151280</v>
      </c>
      <c r="C13" s="37">
        <f>9080000+178500+231000</f>
        <v>9489500</v>
      </c>
      <c r="D13" s="38">
        <f>3355000+62500+81000</f>
        <v>3498500</v>
      </c>
      <c r="E13" s="47">
        <f>4516000+20000</f>
        <v>4536000</v>
      </c>
      <c r="F13" s="44">
        <f t="shared" si="2"/>
        <v>627280</v>
      </c>
      <c r="G13" s="39">
        <f>574000+10700+18000+24580</f>
        <v>627280</v>
      </c>
      <c r="H13" s="48"/>
    </row>
    <row r="14" spans="1:8" ht="15">
      <c r="A14" s="42" t="s">
        <v>17</v>
      </c>
      <c r="B14" s="36">
        <f t="shared" si="1"/>
        <v>17240100</v>
      </c>
      <c r="C14" s="37">
        <f>8769000+223000</f>
        <v>8992000</v>
      </c>
      <c r="D14" s="38">
        <f>3065000+78000+160000-16000</f>
        <v>3287000</v>
      </c>
      <c r="E14" s="43">
        <f>3333000-67000+107400+20000+16000</f>
        <v>3409400</v>
      </c>
      <c r="F14" s="44">
        <f t="shared" si="2"/>
        <v>1551700</v>
      </c>
      <c r="G14" s="39">
        <f>811000+15700+85000+640000</f>
        <v>1551700</v>
      </c>
      <c r="H14" s="45"/>
    </row>
    <row r="15" spans="1:8" ht="15">
      <c r="A15" s="46" t="s">
        <v>18</v>
      </c>
      <c r="B15" s="36">
        <f t="shared" si="1"/>
        <v>22129400</v>
      </c>
      <c r="C15" s="37">
        <f>11379000+277000</f>
        <v>11656000</v>
      </c>
      <c r="D15" s="38">
        <f>3977000+97000+200000-160000</f>
        <v>4114000</v>
      </c>
      <c r="E15" s="47">
        <f>3900000+231000+930000+40000+160000</f>
        <v>5261000</v>
      </c>
      <c r="F15" s="44">
        <f t="shared" si="2"/>
        <v>1098400</v>
      </c>
      <c r="G15" s="39">
        <f>1077000+21400</f>
        <v>1098400</v>
      </c>
      <c r="H15" s="48"/>
    </row>
    <row r="16" spans="1:8" ht="15">
      <c r="A16" s="42" t="s">
        <v>19</v>
      </c>
      <c r="B16" s="36">
        <f t="shared" si="1"/>
        <v>21452584</v>
      </c>
      <c r="C16" s="37">
        <f>11163000+279000</f>
        <v>11442000</v>
      </c>
      <c r="D16" s="38">
        <f>3901000+98000+223000</f>
        <v>4222000</v>
      </c>
      <c r="E16" s="43">
        <f>3777000+904954+40000</f>
        <v>4721954</v>
      </c>
      <c r="F16" s="44">
        <f t="shared" si="2"/>
        <v>1066630</v>
      </c>
      <c r="G16" s="39">
        <f>886000+17400+65730+97500</f>
        <v>1066630</v>
      </c>
      <c r="H16" s="45"/>
    </row>
    <row r="17" spans="1:8" ht="15">
      <c r="A17" s="46" t="s">
        <v>20</v>
      </c>
      <c r="B17" s="36">
        <f t="shared" si="1"/>
        <v>21933600</v>
      </c>
      <c r="C17" s="37">
        <f>10736000+178500+273000+225000</f>
        <v>11412500</v>
      </c>
      <c r="D17" s="38">
        <f>3752000+62500+95000+159000</f>
        <v>4068500</v>
      </c>
      <c r="E17" s="47">
        <f>5457000+106000-320+40000-384000</f>
        <v>5218680</v>
      </c>
      <c r="F17" s="246">
        <f t="shared" si="2"/>
        <v>1233920</v>
      </c>
      <c r="G17" s="47">
        <f>1139000+320+22600+72000</f>
        <v>1233920</v>
      </c>
      <c r="H17" s="48"/>
    </row>
    <row r="18" spans="1:8" ht="15">
      <c r="A18" s="49" t="s">
        <v>21</v>
      </c>
      <c r="B18" s="50">
        <f t="shared" si="1"/>
        <v>21991900</v>
      </c>
      <c r="C18" s="51">
        <f>11393000+292000</f>
        <v>11685000</v>
      </c>
      <c r="D18" s="52">
        <f>3982000+102000+228000</f>
        <v>4312000</v>
      </c>
      <c r="E18" s="53">
        <f>3645000+995000+30000+8500</f>
        <v>4678500</v>
      </c>
      <c r="F18" s="54">
        <f t="shared" si="2"/>
        <v>1316400</v>
      </c>
      <c r="G18" s="53">
        <f>1299000+25900-8500</f>
        <v>1316400</v>
      </c>
      <c r="H18" s="55"/>
    </row>
    <row r="19" spans="1:8" ht="15">
      <c r="A19" s="56" t="s">
        <v>22</v>
      </c>
      <c r="B19" s="57">
        <f>SUM(C19+D19+E19+F19)</f>
        <v>640417864.79</v>
      </c>
      <c r="C19" s="58">
        <f>SUM(C20:C21)</f>
        <v>105951915.1</v>
      </c>
      <c r="D19" s="59">
        <f>SUM(D20:D21)</f>
        <v>31393513.699999996</v>
      </c>
      <c r="E19" s="60">
        <f>SUM(E20:E21)</f>
        <v>425163488.99</v>
      </c>
      <c r="F19" s="57">
        <f t="shared" si="2"/>
        <v>77908947</v>
      </c>
      <c r="G19" s="61">
        <f>SUM(G20:G21)</f>
        <v>77908947</v>
      </c>
      <c r="H19" s="62">
        <f>SUM(H20:H21)</f>
        <v>0</v>
      </c>
    </row>
    <row r="20" spans="1:8" ht="15">
      <c r="A20" s="5" t="s">
        <v>23</v>
      </c>
      <c r="B20" s="57">
        <f>SUM(C20+D20+E20+F20)</f>
        <v>516780867.78999996</v>
      </c>
      <c r="C20" s="15">
        <f>89510000+4392000+256000+328000+2386000+530185.94+1590557.66-55000+2327987+2651378.62+883792.88</f>
        <v>104800902.1</v>
      </c>
      <c r="D20" s="16">
        <f>31283000+1535000+115000+835000+182437.66+547312.94-19000+899016+898947.79+299649.31-5500000</f>
        <v>31076363.699999996</v>
      </c>
      <c r="E20" s="17">
        <f>380424000+1800000+8040000+265175.99+9000000-977500-1500800+10000000-19000000-300000-199973-10000000+56049+221697+1000000</f>
        <v>378828648.99</v>
      </c>
      <c r="F20" s="63">
        <f t="shared" si="2"/>
        <v>2074953</v>
      </c>
      <c r="G20" s="17">
        <f>6264000-3351895-90000-637572-85000-24580</f>
        <v>2074953</v>
      </c>
      <c r="H20" s="11"/>
    </row>
    <row r="21" spans="1:8" ht="15">
      <c r="A21" s="5" t="s">
        <v>24</v>
      </c>
      <c r="B21" s="57">
        <f>SUM(C21+D21+E21+F21)</f>
        <v>123636997</v>
      </c>
      <c r="C21" s="7">
        <f>2156000+1268000+55000-2327987</f>
        <v>1151013</v>
      </c>
      <c r="D21" s="9">
        <f>754000+443166+19000-899016</f>
        <v>317150</v>
      </c>
      <c r="E21" s="17">
        <f>67090000-1711166-25731152-20000-7000000+17158+230000000-31100000-36000000-40000000-51000000-17710000-45000000+4500000</f>
        <v>46334840</v>
      </c>
      <c r="F21" s="63">
        <f t="shared" si="2"/>
        <v>75833994</v>
      </c>
      <c r="G21" s="9">
        <f>25751152-17158+31100000+19000000</f>
        <v>75833994</v>
      </c>
      <c r="H21" s="11"/>
    </row>
    <row r="22" spans="1:8" s="12" customFormat="1" ht="15">
      <c r="A22" s="64" t="s">
        <v>25</v>
      </c>
      <c r="B22" s="36">
        <f t="shared" si="1"/>
        <v>0</v>
      </c>
      <c r="C22" s="65">
        <f>6750000-1590557.66-2651378.62-2508063.72</f>
        <v>0</v>
      </c>
      <c r="D22" s="66"/>
      <c r="E22" s="67">
        <f>30769000-6750000-547312.94-898947.79-265175.99+2508063.72-221697-24593930</f>
        <v>0</v>
      </c>
      <c r="F22" s="68">
        <f t="shared" si="2"/>
        <v>0</v>
      </c>
      <c r="G22" s="66"/>
      <c r="H22" s="69"/>
    </row>
    <row r="23" spans="1:8" s="12" customFormat="1" ht="15">
      <c r="A23" s="247" t="s">
        <v>26</v>
      </c>
      <c r="B23" s="71">
        <f t="shared" si="1"/>
        <v>0</v>
      </c>
      <c r="C23" s="72">
        <f>2250000-530185.94-883792.88-836021.18</f>
        <v>0</v>
      </c>
      <c r="D23" s="73"/>
      <c r="E23" s="74">
        <f>10256000-2250000-182437.66-299649.31+836021.18-56049-8303885.21</f>
        <v>0</v>
      </c>
      <c r="F23" s="75">
        <f t="shared" si="2"/>
        <v>0</v>
      </c>
      <c r="G23" s="74"/>
      <c r="H23" s="76"/>
    </row>
    <row r="24" spans="1:8" ht="15">
      <c r="A24" s="13" t="s">
        <v>76</v>
      </c>
      <c r="B24" s="57">
        <f t="shared" si="1"/>
        <v>801280000</v>
      </c>
      <c r="C24" s="15"/>
      <c r="D24" s="16"/>
      <c r="E24" s="17">
        <v>0</v>
      </c>
      <c r="F24" s="63">
        <f t="shared" si="2"/>
        <v>801280000</v>
      </c>
      <c r="G24" s="17"/>
      <c r="H24" s="22">
        <f>130583000+46354000+28516000+603867000-8040000</f>
        <v>801280000</v>
      </c>
    </row>
    <row r="25" spans="1:8" ht="15">
      <c r="A25" s="13" t="s">
        <v>77</v>
      </c>
      <c r="B25" s="57">
        <f t="shared" si="1"/>
        <v>1017230850</v>
      </c>
      <c r="C25" s="7"/>
      <c r="D25" s="8"/>
      <c r="E25" s="9">
        <f>798788790+150000000-21200000+60000000+2735000+10440060+16467000</f>
        <v>1017230850</v>
      </c>
      <c r="F25" s="18">
        <f t="shared" si="2"/>
        <v>0</v>
      </c>
      <c r="G25" s="9"/>
      <c r="H25" s="11"/>
    </row>
    <row r="26" spans="1:8" ht="15">
      <c r="A26" s="5" t="s">
        <v>28</v>
      </c>
      <c r="B26" s="248">
        <f t="shared" si="1"/>
        <v>185553000</v>
      </c>
      <c r="C26" s="7">
        <f>101425000+2068000</f>
        <v>103493000</v>
      </c>
      <c r="D26" s="8">
        <f>34733000-10000000+723000+10500000</f>
        <v>35956000</v>
      </c>
      <c r="E26" s="9">
        <f>24404000+10000000+10700000</f>
        <v>45104000</v>
      </c>
      <c r="F26" s="21">
        <f t="shared" si="2"/>
        <v>1000000</v>
      </c>
      <c r="G26" s="9">
        <f>7000000-6000000</f>
        <v>1000000</v>
      </c>
      <c r="H26" s="11"/>
    </row>
    <row r="27" spans="1:8" ht="15.75" thickBot="1">
      <c r="A27" s="5" t="s">
        <v>78</v>
      </c>
      <c r="B27" s="36">
        <f t="shared" si="1"/>
        <v>4588407</v>
      </c>
      <c r="C27" s="249"/>
      <c r="D27" s="100"/>
      <c r="E27" s="250"/>
      <c r="F27" s="21">
        <f t="shared" si="2"/>
        <v>4588407</v>
      </c>
      <c r="G27" s="251"/>
      <c r="H27" s="252">
        <f>3351895+637572+1039000-440060</f>
        <v>4588407</v>
      </c>
    </row>
    <row r="28" spans="1:8" ht="15.75" thickBot="1">
      <c r="A28" s="77" t="s">
        <v>29</v>
      </c>
      <c r="B28" s="78">
        <f>SUM(B29)</f>
        <v>39354800</v>
      </c>
      <c r="C28" s="79">
        <f aca="true" t="shared" si="3" ref="C28:H28">SUM(C29)</f>
        <v>17571000</v>
      </c>
      <c r="D28" s="80">
        <f t="shared" si="3"/>
        <v>6020000</v>
      </c>
      <c r="E28" s="81">
        <f t="shared" si="3"/>
        <v>15714800</v>
      </c>
      <c r="F28" s="78">
        <f t="shared" si="3"/>
        <v>49000</v>
      </c>
      <c r="G28" s="82">
        <f t="shared" si="3"/>
        <v>49000</v>
      </c>
      <c r="H28" s="83">
        <f t="shared" si="3"/>
        <v>0</v>
      </c>
    </row>
    <row r="29" spans="1:8" ht="15.75" thickBot="1">
      <c r="A29" s="84" t="s">
        <v>30</v>
      </c>
      <c r="B29" s="71">
        <f aca="true" t="shared" si="4" ref="B29:B46">SUM(C29+D29+E29+F29)</f>
        <v>39354800</v>
      </c>
      <c r="C29" s="7">
        <f>17145000+426000</f>
        <v>17571000</v>
      </c>
      <c r="D29" s="8">
        <f>5992000+148000-120000</f>
        <v>6020000</v>
      </c>
      <c r="E29" s="9">
        <f>11350000+592000+1701000+1500800+300000+151000+120000</f>
        <v>15714800</v>
      </c>
      <c r="F29" s="21">
        <f>SUM(G29+H29)</f>
        <v>49000</v>
      </c>
      <c r="G29" s="9">
        <f>200000-151000</f>
        <v>49000</v>
      </c>
      <c r="H29" s="11"/>
    </row>
    <row r="30" spans="1:8" ht="15.75" thickBot="1">
      <c r="A30" s="85" t="s">
        <v>31</v>
      </c>
      <c r="B30" s="78">
        <f t="shared" si="4"/>
        <v>8595236000</v>
      </c>
      <c r="C30" s="79">
        <f>SUM(C31+C32+C33+C34+C35)</f>
        <v>54438000</v>
      </c>
      <c r="D30" s="79">
        <f>SUM(D31+D32+D33+D34+D35)</f>
        <v>19351000</v>
      </c>
      <c r="E30" s="79">
        <f>SUM(E31+E32+E33+E34+E35)</f>
        <v>41657000</v>
      </c>
      <c r="F30" s="78">
        <f>SUM(G30:H30)</f>
        <v>8479790000</v>
      </c>
      <c r="G30" s="79">
        <f>SUM(G31+G32+G33+G34+G35)</f>
        <v>8550000</v>
      </c>
      <c r="H30" s="86">
        <f>SUM(H31+H32+H33+H34+H35)</f>
        <v>8471240000</v>
      </c>
    </row>
    <row r="31" spans="1:8" ht="15">
      <c r="A31" s="87" t="s">
        <v>32</v>
      </c>
      <c r="B31" s="71">
        <f t="shared" si="4"/>
        <v>4850000000</v>
      </c>
      <c r="C31" s="88"/>
      <c r="D31" s="89"/>
      <c r="E31" s="90"/>
      <c r="F31" s="91">
        <f>SUM(G31+H31)</f>
        <v>4850000000</v>
      </c>
      <c r="G31" s="90"/>
      <c r="H31" s="92">
        <f>4500000000+350000000</f>
        <v>4850000000</v>
      </c>
    </row>
    <row r="32" spans="1:8" ht="15">
      <c r="A32" s="93" t="s">
        <v>33</v>
      </c>
      <c r="B32" s="14">
        <f t="shared" si="4"/>
        <v>3621240000</v>
      </c>
      <c r="C32" s="94"/>
      <c r="D32" s="95"/>
      <c r="E32" s="96"/>
      <c r="F32" s="97">
        <f>SUM(G32+H32)</f>
        <v>3621240000</v>
      </c>
      <c r="G32" s="96"/>
      <c r="H32" s="98">
        <f>2400000000+1200000000+21240000</f>
        <v>3621240000</v>
      </c>
    </row>
    <row r="33" spans="1:8" ht="15">
      <c r="A33" s="99" t="s">
        <v>34</v>
      </c>
      <c r="B33" s="14">
        <f t="shared" si="4"/>
        <v>13857933.2</v>
      </c>
      <c r="C33" s="15">
        <f>11776000+303000-3852349</f>
        <v>8226651</v>
      </c>
      <c r="D33" s="8">
        <f>4115000+106000-1419357</f>
        <v>2801643</v>
      </c>
      <c r="E33" s="17">
        <f>3163000+300000+100000-792414.8</f>
        <v>2770585.2</v>
      </c>
      <c r="F33" s="18">
        <f>SUM(G33+H33)</f>
        <v>59054</v>
      </c>
      <c r="G33" s="17">
        <f>250000-100000-90946</f>
        <v>59054</v>
      </c>
      <c r="H33" s="22"/>
    </row>
    <row r="34" spans="1:8" ht="15">
      <c r="A34" s="99" t="s">
        <v>79</v>
      </c>
      <c r="B34" s="14">
        <f t="shared" si="4"/>
        <v>7285066.8</v>
      </c>
      <c r="C34" s="15">
        <f>3852349+500000</f>
        <v>4352349</v>
      </c>
      <c r="D34" s="16">
        <f>1419357+180000</f>
        <v>1599357</v>
      </c>
      <c r="E34" s="17">
        <f>792414.8+400000</f>
        <v>1192414.8</v>
      </c>
      <c r="F34" s="63">
        <f>SUM(G34+H34)</f>
        <v>140946</v>
      </c>
      <c r="G34" s="17">
        <f>90946+50000</f>
        <v>140946</v>
      </c>
      <c r="H34" s="22"/>
    </row>
    <row r="35" spans="1:8" ht="15.75" thickBot="1">
      <c r="A35" s="99" t="s">
        <v>35</v>
      </c>
      <c r="B35" s="71">
        <f t="shared" si="4"/>
        <v>102853000</v>
      </c>
      <c r="C35" s="15">
        <f>44200000+1159000-3500000</f>
        <v>41859000</v>
      </c>
      <c r="D35" s="100">
        <f>15750000+405000-1100000-135000+30000</f>
        <v>14950000</v>
      </c>
      <c r="E35" s="17">
        <f>40939000-3350000+135000-30000</f>
        <v>37694000</v>
      </c>
      <c r="F35" s="101">
        <f>SUM(G35+H35)</f>
        <v>8350000</v>
      </c>
      <c r="G35" s="17">
        <f>400000+7950000</f>
        <v>8350000</v>
      </c>
      <c r="H35" s="22"/>
    </row>
    <row r="36" spans="1:8" ht="15.75" thickBot="1">
      <c r="A36" s="85" t="s">
        <v>36</v>
      </c>
      <c r="B36" s="78">
        <f t="shared" si="4"/>
        <v>154110000</v>
      </c>
      <c r="C36" s="79">
        <f>SUM(C37+C38)</f>
        <v>20661000</v>
      </c>
      <c r="D36" s="82">
        <f>SUM(D37+D38)</f>
        <v>7667000</v>
      </c>
      <c r="E36" s="83">
        <f>SUM(E37+E38)</f>
        <v>25565000</v>
      </c>
      <c r="F36" s="78">
        <f>SUM(G36:H36)</f>
        <v>100217000</v>
      </c>
      <c r="G36" s="102">
        <f>SUM(G37+G38)</f>
        <v>25000</v>
      </c>
      <c r="H36" s="103">
        <f>SUM(H37+H38)</f>
        <v>100192000</v>
      </c>
    </row>
    <row r="37" spans="1:8" ht="15">
      <c r="A37" s="87" t="s">
        <v>37</v>
      </c>
      <c r="B37" s="71">
        <f t="shared" si="4"/>
        <v>100192000</v>
      </c>
      <c r="C37" s="88"/>
      <c r="D37" s="104"/>
      <c r="E37" s="90"/>
      <c r="F37" s="105">
        <f aca="true" t="shared" si="5" ref="F37:F46">SUM(G37+H37)</f>
        <v>100192000</v>
      </c>
      <c r="G37" s="90"/>
      <c r="H37" s="92">
        <f>60000000+40192000</f>
        <v>100192000</v>
      </c>
    </row>
    <row r="38" spans="1:8" ht="15.75" thickBot="1">
      <c r="A38" s="106" t="s">
        <v>38</v>
      </c>
      <c r="B38" s="50">
        <f t="shared" si="4"/>
        <v>53918000</v>
      </c>
      <c r="C38" s="107">
        <f>20188000+473000</f>
        <v>20661000</v>
      </c>
      <c r="D38" s="38">
        <f>8053000+164000-550000</f>
        <v>7667000</v>
      </c>
      <c r="E38" s="108">
        <f>24740000+550000+275000</f>
        <v>25565000</v>
      </c>
      <c r="F38" s="109">
        <f t="shared" si="5"/>
        <v>25000</v>
      </c>
      <c r="G38" s="108">
        <f>300000-275000</f>
        <v>25000</v>
      </c>
      <c r="H38" s="110"/>
    </row>
    <row r="39" spans="1:8" ht="15.75" thickBot="1">
      <c r="A39" s="85" t="s">
        <v>39</v>
      </c>
      <c r="B39" s="78">
        <f t="shared" si="4"/>
        <v>670000</v>
      </c>
      <c r="C39" s="79"/>
      <c r="D39" s="80"/>
      <c r="E39" s="82">
        <v>450000</v>
      </c>
      <c r="F39" s="78">
        <f t="shared" si="5"/>
        <v>220000</v>
      </c>
      <c r="G39" s="82"/>
      <c r="H39" s="253">
        <f>20000000-450000-18200000-1130000</f>
        <v>220000</v>
      </c>
    </row>
    <row r="40" spans="1:8" ht="15.75" thickBot="1">
      <c r="A40" s="111" t="s">
        <v>40</v>
      </c>
      <c r="B40" s="112">
        <f t="shared" si="4"/>
        <v>111157000</v>
      </c>
      <c r="C40" s="113">
        <f aca="true" t="shared" si="6" ref="C40:H40">SUM(C41+C42)</f>
        <v>56073000</v>
      </c>
      <c r="D40" s="114">
        <f t="shared" si="6"/>
        <v>19045000</v>
      </c>
      <c r="E40" s="115">
        <f t="shared" si="6"/>
        <v>34759000</v>
      </c>
      <c r="F40" s="116">
        <f t="shared" si="5"/>
        <v>1280000</v>
      </c>
      <c r="G40" s="117">
        <f t="shared" si="6"/>
        <v>1280000</v>
      </c>
      <c r="H40" s="118">
        <f t="shared" si="6"/>
        <v>0</v>
      </c>
    </row>
    <row r="41" spans="1:8" ht="15">
      <c r="A41" s="119" t="s">
        <v>41</v>
      </c>
      <c r="B41" s="36">
        <f t="shared" si="4"/>
        <v>101070000</v>
      </c>
      <c r="C41" s="120">
        <f>48795000+1183000+1000000</f>
        <v>50978000</v>
      </c>
      <c r="D41" s="38">
        <f>16354000+413000+380000+100000</f>
        <v>17247000</v>
      </c>
      <c r="E41" s="121">
        <f>33325000-1380000-100000</f>
        <v>31845000</v>
      </c>
      <c r="F41" s="122">
        <f t="shared" si="5"/>
        <v>1000000</v>
      </c>
      <c r="G41" s="121">
        <v>1000000</v>
      </c>
      <c r="H41" s="123"/>
    </row>
    <row r="42" spans="1:8" ht="15">
      <c r="A42" s="93" t="s">
        <v>42</v>
      </c>
      <c r="B42" s="14">
        <f t="shared" si="4"/>
        <v>10087000</v>
      </c>
      <c r="C42" s="94">
        <f>4827000+118000+150000</f>
        <v>5095000</v>
      </c>
      <c r="D42" s="38">
        <f>1687000+41000+70000</f>
        <v>1798000</v>
      </c>
      <c r="E42" s="96">
        <f>2909000+5000</f>
        <v>2914000</v>
      </c>
      <c r="F42" s="122">
        <f t="shared" si="5"/>
        <v>280000</v>
      </c>
      <c r="G42" s="96">
        <f>500000-220000</f>
        <v>280000</v>
      </c>
      <c r="H42" s="98"/>
    </row>
    <row r="43" spans="1:8" ht="15">
      <c r="A43" s="124" t="s">
        <v>43</v>
      </c>
      <c r="B43" s="14">
        <f t="shared" si="4"/>
        <v>12000000</v>
      </c>
      <c r="C43" s="15"/>
      <c r="D43" s="16"/>
      <c r="E43" s="17">
        <v>0</v>
      </c>
      <c r="F43" s="21">
        <f t="shared" si="5"/>
        <v>12000000</v>
      </c>
      <c r="G43" s="17"/>
      <c r="H43" s="22">
        <f>5000000+7000000</f>
        <v>12000000</v>
      </c>
    </row>
    <row r="44" spans="1:8" ht="15">
      <c r="A44" s="20" t="s">
        <v>44</v>
      </c>
      <c r="B44" s="14">
        <f t="shared" si="4"/>
        <v>23545000</v>
      </c>
      <c r="C44" s="15">
        <f>12130000+404000</f>
        <v>12534000</v>
      </c>
      <c r="D44" s="16">
        <f>4300000+141000</f>
        <v>4441000</v>
      </c>
      <c r="E44" s="17">
        <f>6470000-200000</f>
        <v>6270000</v>
      </c>
      <c r="F44" s="21">
        <f t="shared" si="5"/>
        <v>300000</v>
      </c>
      <c r="G44" s="17">
        <f>100000+200000</f>
        <v>300000</v>
      </c>
      <c r="H44" s="22"/>
    </row>
    <row r="45" spans="1:8" ht="15.75" thickBot="1">
      <c r="A45" s="125" t="s">
        <v>45</v>
      </c>
      <c r="B45" s="14">
        <f t="shared" si="4"/>
        <v>2000000</v>
      </c>
      <c r="C45" s="15"/>
      <c r="D45" s="16"/>
      <c r="E45" s="17">
        <v>2000000</v>
      </c>
      <c r="F45" s="21">
        <f t="shared" si="5"/>
        <v>0</v>
      </c>
      <c r="G45" s="17"/>
      <c r="H45" s="22"/>
    </row>
    <row r="46" spans="1:8" ht="15.75" thickBot="1">
      <c r="A46" s="126" t="s">
        <v>46</v>
      </c>
      <c r="B46" s="127">
        <f t="shared" si="4"/>
        <v>12329047408.79</v>
      </c>
      <c r="C46" s="128">
        <f>SUM(C45+C44+C43+C40+C39+C36+C30+C28+C9+C8+C7+C6)</f>
        <v>786007915.1</v>
      </c>
      <c r="D46" s="129">
        <f>SUM(D45+D44+D43+D40+D39+D36+D30+D28+D9+D8+D7+D6)</f>
        <v>259781619.7</v>
      </c>
      <c r="E46" s="130">
        <f>SUM(E45+E44+E43+E40+E39+E36+E30+E28+E9+E8+E7+E6)</f>
        <v>1783118619.99</v>
      </c>
      <c r="F46" s="131">
        <f t="shared" si="5"/>
        <v>9500139254</v>
      </c>
      <c r="G46" s="129">
        <f>SUM(G45+G44+G43+G40+G39+G36+G30+G28+G9+G8+G7+G6)</f>
        <v>110618847</v>
      </c>
      <c r="H46" s="132">
        <f>SUM(H45+H44+H43+H40+H39+H36+H30+H28+H9+H8+H7+H6)</f>
        <v>9389520407</v>
      </c>
    </row>
    <row r="47" spans="1:8" ht="18.75" customHeight="1">
      <c r="A47" s="294" t="s">
        <v>80</v>
      </c>
      <c r="B47" s="295"/>
      <c r="C47" s="295"/>
      <c r="D47" s="295"/>
      <c r="E47" s="295"/>
      <c r="F47" s="295"/>
      <c r="G47" s="295"/>
      <c r="H47" s="295"/>
    </row>
    <row r="48" spans="1:8" ht="2.25" customHeight="1" thickBot="1">
      <c r="A48" s="270"/>
      <c r="B48" s="270"/>
      <c r="C48" s="270"/>
      <c r="D48" s="270"/>
      <c r="E48" s="270"/>
      <c r="F48" s="270"/>
      <c r="G48" s="270"/>
      <c r="H48" s="270"/>
    </row>
    <row r="49" spans="1:12" ht="33" customHeight="1" thickBot="1">
      <c r="A49" s="133" t="s">
        <v>81</v>
      </c>
      <c r="B49" s="134" t="s">
        <v>49</v>
      </c>
      <c r="C49" s="135" t="s">
        <v>50</v>
      </c>
      <c r="D49" s="136" t="s">
        <v>51</v>
      </c>
      <c r="E49" s="137"/>
      <c r="F49" s="138" t="s">
        <v>52</v>
      </c>
      <c r="G49" s="139" t="s">
        <v>53</v>
      </c>
      <c r="H49" s="140" t="s">
        <v>54</v>
      </c>
      <c r="I49" s="141"/>
      <c r="J49" s="141"/>
      <c r="K49" s="141"/>
      <c r="L49" s="141"/>
    </row>
    <row r="50" spans="1:12" ht="13.5" customHeight="1">
      <c r="A50" s="142" t="s">
        <v>9</v>
      </c>
      <c r="B50" s="36">
        <f>SUM(C50:D50)</f>
        <v>0</v>
      </c>
      <c r="C50" s="37"/>
      <c r="D50" s="41"/>
      <c r="E50" s="143"/>
      <c r="F50" s="21">
        <f aca="true" t="shared" si="7" ref="F50:F65">B6+B50</f>
        <v>3462070</v>
      </c>
      <c r="G50" s="144"/>
      <c r="H50" s="145"/>
      <c r="I50" s="141"/>
      <c r="J50" s="141"/>
      <c r="K50" s="141"/>
      <c r="L50" s="141"/>
    </row>
    <row r="51" spans="1:12" ht="14.25" customHeight="1">
      <c r="A51" s="13" t="s">
        <v>10</v>
      </c>
      <c r="B51" s="36">
        <f>SUM(C51:D51)</f>
        <v>0</v>
      </c>
      <c r="C51" s="15"/>
      <c r="D51" s="11"/>
      <c r="E51" s="143"/>
      <c r="F51" s="21">
        <f t="shared" si="7"/>
        <v>43557000</v>
      </c>
      <c r="G51" s="144"/>
      <c r="H51" s="145"/>
      <c r="I51" s="141"/>
      <c r="J51" s="141"/>
      <c r="K51" s="141"/>
      <c r="L51" s="141"/>
    </row>
    <row r="52" spans="1:8" s="12" customFormat="1" ht="14.25" customHeight="1" thickBot="1">
      <c r="A52" s="146" t="s">
        <v>11</v>
      </c>
      <c r="B52" s="36">
        <f>SUM(C52:D52)</f>
        <v>23615000</v>
      </c>
      <c r="C52" s="147">
        <f>25000000-1385000</f>
        <v>23615000</v>
      </c>
      <c r="D52" s="148"/>
      <c r="E52" s="143"/>
      <c r="F52" s="149">
        <f t="shared" si="7"/>
        <v>561195080</v>
      </c>
      <c r="G52" s="150"/>
      <c r="H52" s="151"/>
    </row>
    <row r="53" spans="1:8" s="12" customFormat="1" ht="13.5" customHeight="1" thickBot="1">
      <c r="A53" s="152" t="s">
        <v>55</v>
      </c>
      <c r="B53" s="78">
        <f>SUM(B54+B63+B67+B68+B69+B77+B78)</f>
        <v>6555740628.13</v>
      </c>
      <c r="C53" s="79">
        <f>SUM(C54+C63+C67+C68+C69+C77)</f>
        <v>2629083115.65</v>
      </c>
      <c r="D53" s="83">
        <f>SUM(D54+D63+D67+D68+D69+D77)</f>
        <v>3926657512.4800005</v>
      </c>
      <c r="E53" s="153"/>
      <c r="F53" s="78">
        <f t="shared" si="7"/>
        <v>9362116086.92</v>
      </c>
      <c r="G53" s="154"/>
      <c r="H53" s="155"/>
    </row>
    <row r="54" spans="1:8" s="12" customFormat="1" ht="15" customHeight="1" thickBot="1">
      <c r="A54" s="29" t="s">
        <v>13</v>
      </c>
      <c r="B54" s="30">
        <f>SUM(B55:B62)</f>
        <v>13981388</v>
      </c>
      <c r="C54" s="156">
        <f>SUM(C55:C62)</f>
        <v>13981388</v>
      </c>
      <c r="D54" s="157">
        <f>SUM(D55:D62)</f>
        <v>0</v>
      </c>
      <c r="E54" s="143"/>
      <c r="F54" s="112">
        <f t="shared" si="7"/>
        <v>171286725</v>
      </c>
      <c r="G54" s="154"/>
      <c r="H54" s="155"/>
    </row>
    <row r="55" spans="1:8" s="12" customFormat="1" ht="13.5" customHeight="1">
      <c r="A55" s="35" t="s">
        <v>14</v>
      </c>
      <c r="B55" s="36">
        <f aca="true" t="shared" si="8" ref="B55:B62">SUM(C55+D55+E55)</f>
        <v>1701980</v>
      </c>
      <c r="C55" s="37">
        <f>500000+1201980</f>
        <v>1701980</v>
      </c>
      <c r="D55" s="41"/>
      <c r="E55" s="143"/>
      <c r="F55" s="158">
        <f t="shared" si="7"/>
        <v>19759753</v>
      </c>
      <c r="G55" s="159"/>
      <c r="H55" s="160"/>
    </row>
    <row r="56" spans="1:8" ht="12.75" customHeight="1">
      <c r="A56" s="161" t="s">
        <v>15</v>
      </c>
      <c r="B56" s="14">
        <f t="shared" si="8"/>
        <v>1301320</v>
      </c>
      <c r="C56" s="37">
        <f>500000+801320</f>
        <v>1301320</v>
      </c>
      <c r="D56" s="45"/>
      <c r="E56" s="143"/>
      <c r="F56" s="21">
        <f t="shared" si="7"/>
        <v>17650020</v>
      </c>
      <c r="G56" s="162"/>
      <c r="H56" s="163"/>
    </row>
    <row r="57" spans="1:14" ht="12.75" customHeight="1">
      <c r="A57" s="46" t="s">
        <v>16</v>
      </c>
      <c r="B57" s="14">
        <f t="shared" si="8"/>
        <v>1301320</v>
      </c>
      <c r="C57" s="37">
        <f>500000+801320</f>
        <v>1301320</v>
      </c>
      <c r="D57" s="48"/>
      <c r="E57" s="143"/>
      <c r="F57" s="21">
        <f t="shared" si="7"/>
        <v>19452600</v>
      </c>
      <c r="G57" s="159"/>
      <c r="H57" s="160"/>
      <c r="I57" s="164"/>
      <c r="J57" s="164"/>
      <c r="K57" s="164"/>
      <c r="L57" s="164"/>
      <c r="M57" s="164"/>
      <c r="N57" s="164"/>
    </row>
    <row r="58" spans="1:14" ht="13.5" customHeight="1">
      <c r="A58" s="42" t="s">
        <v>17</v>
      </c>
      <c r="B58" s="14">
        <f t="shared" si="8"/>
        <v>1301320</v>
      </c>
      <c r="C58" s="37">
        <f>500000+801320</f>
        <v>1301320</v>
      </c>
      <c r="D58" s="45"/>
      <c r="E58" s="143"/>
      <c r="F58" s="21">
        <f t="shared" si="7"/>
        <v>18541420</v>
      </c>
      <c r="G58" s="154"/>
      <c r="H58" s="155"/>
      <c r="I58" s="164"/>
      <c r="J58" s="164"/>
      <c r="K58" s="164"/>
      <c r="L58" s="164"/>
      <c r="M58" s="164"/>
      <c r="N58" s="164"/>
    </row>
    <row r="59" spans="1:14" ht="12" customHeight="1">
      <c r="A59" s="46" t="s">
        <v>18</v>
      </c>
      <c r="B59" s="14">
        <f t="shared" si="8"/>
        <v>2102640</v>
      </c>
      <c r="C59" s="37">
        <f>500000+1602640</f>
        <v>2102640</v>
      </c>
      <c r="D59" s="48"/>
      <c r="E59" s="143"/>
      <c r="F59" s="21">
        <f t="shared" si="7"/>
        <v>24232040</v>
      </c>
      <c r="G59" s="154"/>
      <c r="H59" s="155"/>
      <c r="I59" s="165"/>
      <c r="J59" s="165"/>
      <c r="K59" s="165"/>
      <c r="L59" s="165"/>
      <c r="M59" s="165"/>
      <c r="N59" s="165"/>
    </row>
    <row r="60" spans="1:14" ht="12" customHeight="1">
      <c r="A60" s="42" t="s">
        <v>19</v>
      </c>
      <c r="B60" s="14">
        <f t="shared" si="8"/>
        <v>2102640</v>
      </c>
      <c r="C60" s="37">
        <f>500000+1602640</f>
        <v>2102640</v>
      </c>
      <c r="D60" s="45"/>
      <c r="E60" s="143"/>
      <c r="F60" s="21">
        <f t="shared" si="7"/>
        <v>23555224</v>
      </c>
      <c r="G60" s="159"/>
      <c r="H60" s="160"/>
      <c r="I60" s="165"/>
      <c r="J60" s="165"/>
      <c r="K60" s="165"/>
      <c r="L60" s="165"/>
      <c r="M60" s="165"/>
      <c r="N60" s="165"/>
    </row>
    <row r="61" spans="1:14" ht="12.75" customHeight="1">
      <c r="A61" s="46" t="s">
        <v>20</v>
      </c>
      <c r="B61" s="14">
        <f t="shared" si="8"/>
        <v>2168188</v>
      </c>
      <c r="C61" s="37">
        <f>500000+1668188</f>
        <v>2168188</v>
      </c>
      <c r="D61" s="48"/>
      <c r="E61" s="143"/>
      <c r="F61" s="21">
        <f t="shared" si="7"/>
        <v>24101788</v>
      </c>
      <c r="G61" s="162"/>
      <c r="H61" s="163"/>
      <c r="I61" s="165"/>
      <c r="J61" s="165"/>
      <c r="K61" s="165"/>
      <c r="L61" s="165"/>
      <c r="M61" s="165"/>
      <c r="N61" s="165"/>
    </row>
    <row r="62" spans="1:15" ht="12.75" customHeight="1">
      <c r="A62" s="49" t="s">
        <v>21</v>
      </c>
      <c r="B62" s="50">
        <f t="shared" si="8"/>
        <v>2001980</v>
      </c>
      <c r="C62" s="51">
        <f>800000+1201980</f>
        <v>2001980</v>
      </c>
      <c r="D62" s="55"/>
      <c r="E62" s="143"/>
      <c r="F62" s="21">
        <f t="shared" si="7"/>
        <v>23993880</v>
      </c>
      <c r="G62" s="162"/>
      <c r="H62" s="163"/>
      <c r="I62" s="166"/>
      <c r="J62" s="166"/>
      <c r="K62" s="166"/>
      <c r="L62" s="166"/>
      <c r="M62" s="166"/>
      <c r="N62" s="166"/>
      <c r="O62" s="167"/>
    </row>
    <row r="63" spans="1:15" ht="12.75" customHeight="1">
      <c r="A63" s="56" t="s">
        <v>22</v>
      </c>
      <c r="B63" s="14">
        <f>SUM(B64:B66)</f>
        <v>408578595</v>
      </c>
      <c r="C63" s="168">
        <f>SUM(C64:C66)</f>
        <v>401898522</v>
      </c>
      <c r="D63" s="169">
        <f>SUM(D64:D66)</f>
        <v>6680073</v>
      </c>
      <c r="E63" s="143"/>
      <c r="F63" s="36">
        <f t="shared" si="7"/>
        <v>1048996459.79</v>
      </c>
      <c r="G63" s="170"/>
      <c r="H63" s="171"/>
      <c r="I63" s="166"/>
      <c r="J63" s="166"/>
      <c r="K63" s="166"/>
      <c r="L63" s="166"/>
      <c r="M63" s="166"/>
      <c r="N63" s="166"/>
      <c r="O63" s="167"/>
    </row>
    <row r="64" spans="1:15" ht="12" customHeight="1">
      <c r="A64" s="5" t="s">
        <v>23</v>
      </c>
      <c r="B64" s="36">
        <f>SUM(C64:D64)</f>
        <v>350578595</v>
      </c>
      <c r="C64" s="15">
        <f>22152000-1000000+100000-410000-9681388+995583.75+331861.25-2270032+90142.5+270427.5+340000000</f>
        <v>350578595</v>
      </c>
      <c r="D64" s="11"/>
      <c r="E64" s="143"/>
      <c r="F64" s="21">
        <f t="shared" si="7"/>
        <v>867359462.79</v>
      </c>
      <c r="G64" s="170"/>
      <c r="H64" s="171"/>
      <c r="I64" s="166"/>
      <c r="J64" s="166"/>
      <c r="K64" s="166"/>
      <c r="L64" s="166"/>
      <c r="M64" s="166"/>
      <c r="N64" s="166"/>
      <c r="O64" s="167"/>
    </row>
    <row r="65" spans="1:15" ht="12" customHeight="1">
      <c r="A65" s="5" t="s">
        <v>24</v>
      </c>
      <c r="B65" s="36">
        <f>SUM(C65:D65)</f>
        <v>58000000</v>
      </c>
      <c r="C65" s="7">
        <f>30000000-6680073-18000000+51000000-5000000</f>
        <v>51319927</v>
      </c>
      <c r="D65" s="11">
        <v>6680073</v>
      </c>
      <c r="E65" s="143"/>
      <c r="F65" s="18">
        <f t="shared" si="7"/>
        <v>181636997</v>
      </c>
      <c r="G65" s="170"/>
      <c r="H65" s="171"/>
      <c r="I65" s="166"/>
      <c r="J65" s="166"/>
      <c r="K65" s="166"/>
      <c r="L65" s="166"/>
      <c r="M65" s="166"/>
      <c r="N65" s="166"/>
      <c r="O65" s="167"/>
    </row>
    <row r="66" spans="1:15" ht="12" customHeight="1">
      <c r="A66" s="5" t="s">
        <v>56</v>
      </c>
      <c r="B66" s="36">
        <f>SUM(C66:D66)</f>
        <v>0</v>
      </c>
      <c r="C66" s="7">
        <v>0</v>
      </c>
      <c r="D66" s="11"/>
      <c r="E66" s="143"/>
      <c r="F66" s="254">
        <f>B66</f>
        <v>0</v>
      </c>
      <c r="G66" s="170"/>
      <c r="H66" s="171"/>
      <c r="I66" s="166"/>
      <c r="J66" s="166"/>
      <c r="K66" s="166"/>
      <c r="L66" s="166"/>
      <c r="M66" s="166"/>
      <c r="N66" s="166"/>
      <c r="O66" s="167"/>
    </row>
    <row r="67" spans="1:15" ht="12.75" customHeight="1">
      <c r="A67" s="64" t="s">
        <v>25</v>
      </c>
      <c r="B67" s="36">
        <f>SUM(C67:D67)</f>
        <v>0</v>
      </c>
      <c r="C67" s="65">
        <f>6375000-995583.75-270427.5-5108988.75</f>
        <v>0</v>
      </c>
      <c r="D67" s="69"/>
      <c r="E67" s="143"/>
      <c r="F67" s="172">
        <f>B22+B67</f>
        <v>0</v>
      </c>
      <c r="G67" s="173">
        <f>B22+B67</f>
        <v>0</v>
      </c>
      <c r="H67" s="174"/>
      <c r="I67" s="175"/>
      <c r="J67" s="175"/>
      <c r="K67" s="175"/>
      <c r="L67" s="175"/>
      <c r="M67" s="175"/>
      <c r="N67" s="175"/>
      <c r="O67" s="167"/>
    </row>
    <row r="68" spans="1:15" ht="12" customHeight="1" thickBot="1">
      <c r="A68" s="70" t="s">
        <v>26</v>
      </c>
      <c r="B68" s="36">
        <f>SUM(C68:D68)</f>
        <v>0</v>
      </c>
      <c r="C68" s="72">
        <f>2125000-331861.25-90142.5-1702996.25</f>
        <v>0</v>
      </c>
      <c r="D68" s="76"/>
      <c r="E68" s="143"/>
      <c r="F68" s="176">
        <f>B23+B68</f>
        <v>0</v>
      </c>
      <c r="G68" s="177"/>
      <c r="H68" s="178">
        <f>B23+B68</f>
        <v>0</v>
      </c>
      <c r="I68" s="175"/>
      <c r="J68" s="175"/>
      <c r="K68" s="175"/>
      <c r="L68" s="175"/>
      <c r="M68" s="175"/>
      <c r="N68" s="175"/>
      <c r="O68" s="167"/>
    </row>
    <row r="69" spans="1:15" ht="14.25" customHeight="1" thickBot="1">
      <c r="A69" s="179" t="s">
        <v>82</v>
      </c>
      <c r="B69" s="112">
        <f>SUM(B70:B76)</f>
        <v>6125180645.13</v>
      </c>
      <c r="C69" s="255">
        <f>SUM(C70:C76)</f>
        <v>2205203205.65</v>
      </c>
      <c r="D69" s="256">
        <f>SUM(D70:D76)</f>
        <v>3919977439.4800005</v>
      </c>
      <c r="E69" s="143"/>
      <c r="F69" s="112">
        <f>B24+B25+B69</f>
        <v>7943691495.13</v>
      </c>
      <c r="G69" s="182"/>
      <c r="H69" s="183"/>
      <c r="I69" s="184"/>
      <c r="J69" s="184"/>
      <c r="K69" s="184"/>
      <c r="L69" s="184"/>
      <c r="M69" s="184"/>
      <c r="N69" s="184"/>
      <c r="O69" s="167"/>
    </row>
    <row r="70" spans="1:53" ht="14.25" customHeight="1">
      <c r="A70" s="5" t="s">
        <v>83</v>
      </c>
      <c r="B70" s="248">
        <f>SUM(C70:D70)</f>
        <v>3109636834.3500004</v>
      </c>
      <c r="C70" s="257">
        <v>0</v>
      </c>
      <c r="D70" s="258">
        <f>4449828834.35-40192000-1300000000</f>
        <v>3109636834.3500004</v>
      </c>
      <c r="E70" s="143"/>
      <c r="F70" s="259">
        <f>B24+B70</f>
        <v>3910916834.3500004</v>
      </c>
      <c r="G70" s="182"/>
      <c r="H70" s="183"/>
      <c r="I70" s="185"/>
      <c r="J70" s="185"/>
      <c r="K70" s="185"/>
      <c r="L70" s="185"/>
      <c r="M70" s="185"/>
      <c r="N70" s="185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</row>
    <row r="71" spans="1:53" ht="12.75" customHeight="1">
      <c r="A71" s="5" t="s">
        <v>84</v>
      </c>
      <c r="B71" s="248">
        <f aca="true" t="shared" si="9" ref="B71:B78">SUM(C71:D71)</f>
        <v>2136203205.65</v>
      </c>
      <c r="C71" s="7">
        <f>2458972165.65-8000000-150000000+21864325-69000000-56166285-16467000-45000000</f>
        <v>2136203205.65</v>
      </c>
      <c r="D71" s="260"/>
      <c r="E71" s="143"/>
      <c r="F71" s="259">
        <f>B25+B71</f>
        <v>3153434055.65</v>
      </c>
      <c r="G71" s="186"/>
      <c r="H71" s="187"/>
      <c r="I71" s="184"/>
      <c r="J71" s="184"/>
      <c r="K71" s="184"/>
      <c r="L71" s="184"/>
      <c r="M71" s="184"/>
      <c r="N71" s="184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</row>
    <row r="72" spans="1:53" ht="12.75" customHeight="1">
      <c r="A72" s="5" t="s">
        <v>56</v>
      </c>
      <c r="B72" s="248">
        <f>SUM(C72:D72)</f>
        <v>69000000</v>
      </c>
      <c r="C72" s="7">
        <v>69000000</v>
      </c>
      <c r="D72" s="261"/>
      <c r="E72" s="143"/>
      <c r="F72" s="259">
        <f>B72</f>
        <v>69000000</v>
      </c>
      <c r="G72" s="186"/>
      <c r="H72" s="187"/>
      <c r="I72" s="184"/>
      <c r="J72" s="184"/>
      <c r="K72" s="184"/>
      <c r="L72" s="184"/>
      <c r="M72" s="184"/>
      <c r="N72" s="184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</row>
    <row r="73" spans="1:53" ht="12.75" customHeight="1">
      <c r="A73" s="64" t="s">
        <v>59</v>
      </c>
      <c r="B73" s="36">
        <f t="shared" si="9"/>
        <v>733622759.8000002</v>
      </c>
      <c r="C73" s="262"/>
      <c r="D73" s="263">
        <f>4413814000-3680191240.2</f>
        <v>733622759.8000002</v>
      </c>
      <c r="E73" s="143"/>
      <c r="F73" s="189">
        <f>B73</f>
        <v>733622759.8000002</v>
      </c>
      <c r="G73" s="190">
        <f>B73</f>
        <v>733622759.8000002</v>
      </c>
      <c r="H73" s="191"/>
      <c r="I73" s="175"/>
      <c r="J73" s="175"/>
      <c r="K73" s="175"/>
      <c r="L73" s="175"/>
      <c r="M73" s="175"/>
      <c r="N73" s="175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</row>
    <row r="74" spans="1:53" ht="13.5" customHeight="1">
      <c r="A74" s="64" t="s">
        <v>60</v>
      </c>
      <c r="B74" s="36">
        <f t="shared" si="9"/>
        <v>0</v>
      </c>
      <c r="C74" s="65"/>
      <c r="D74" s="69"/>
      <c r="E74" s="143"/>
      <c r="F74" s="189">
        <f>B74</f>
        <v>0</v>
      </c>
      <c r="G74" s="190">
        <f>B74</f>
        <v>0</v>
      </c>
      <c r="H74" s="191"/>
      <c r="I74" s="175"/>
      <c r="J74" s="175"/>
      <c r="K74" s="175"/>
      <c r="L74" s="175"/>
      <c r="M74" s="175"/>
      <c r="N74" s="175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</row>
    <row r="75" spans="1:53" ht="13.5" customHeight="1">
      <c r="A75" s="64" t="s">
        <v>61</v>
      </c>
      <c r="B75" s="36">
        <f t="shared" si="9"/>
        <v>76717845.32999992</v>
      </c>
      <c r="C75" s="262"/>
      <c r="D75" s="264">
        <f>1451922000-1375204154.67</f>
        <v>76717845.32999992</v>
      </c>
      <c r="E75" s="143"/>
      <c r="F75" s="189">
        <f>B75</f>
        <v>76717845.32999992</v>
      </c>
      <c r="G75" s="190"/>
      <c r="H75" s="191">
        <f>B75</f>
        <v>76717845.32999992</v>
      </c>
      <c r="I75" s="184"/>
      <c r="J75" s="184"/>
      <c r="K75" s="184"/>
      <c r="L75" s="184"/>
      <c r="M75" s="184"/>
      <c r="N75" s="184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</row>
    <row r="76" spans="1:53" ht="14.25" customHeight="1">
      <c r="A76" s="64" t="s">
        <v>62</v>
      </c>
      <c r="B76" s="36">
        <f t="shared" si="9"/>
        <v>0</v>
      </c>
      <c r="C76" s="65"/>
      <c r="D76" s="69"/>
      <c r="E76" s="143"/>
      <c r="F76" s="189">
        <f>B76</f>
        <v>0</v>
      </c>
      <c r="G76" s="190"/>
      <c r="H76" s="191">
        <f>B76</f>
        <v>0</v>
      </c>
      <c r="I76" s="185"/>
      <c r="J76" s="185"/>
      <c r="K76" s="185"/>
      <c r="L76" s="185"/>
      <c r="M76" s="185"/>
      <c r="N76" s="185"/>
      <c r="O76" s="192"/>
      <c r="P76" s="192"/>
      <c r="Q76" s="192"/>
      <c r="R76" s="192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</row>
    <row r="77" spans="1:53" ht="12.75" customHeight="1">
      <c r="A77" s="193" t="s">
        <v>28</v>
      </c>
      <c r="B77" s="36">
        <f t="shared" si="9"/>
        <v>8000000</v>
      </c>
      <c r="C77" s="94">
        <v>8000000</v>
      </c>
      <c r="D77" s="123"/>
      <c r="E77" s="143"/>
      <c r="F77" s="18">
        <f aca="true" t="shared" si="10" ref="F77:F83">B26+B77</f>
        <v>193553000</v>
      </c>
      <c r="G77" s="195"/>
      <c r="H77" s="196"/>
      <c r="I77" s="185"/>
      <c r="J77" s="185"/>
      <c r="K77" s="185"/>
      <c r="L77" s="185"/>
      <c r="M77" s="185"/>
      <c r="N77" s="185"/>
      <c r="O77" s="192"/>
      <c r="P77" s="192"/>
      <c r="Q77" s="192"/>
      <c r="R77" s="192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</row>
    <row r="78" spans="1:53" ht="11.25" customHeight="1" thickBot="1">
      <c r="A78" s="5" t="s">
        <v>78</v>
      </c>
      <c r="B78" s="36">
        <f t="shared" si="9"/>
        <v>0</v>
      </c>
      <c r="C78" s="265"/>
      <c r="D78" s="266"/>
      <c r="E78" s="143"/>
      <c r="F78" s="194">
        <f t="shared" si="10"/>
        <v>4588407</v>
      </c>
      <c r="G78" s="195"/>
      <c r="H78" s="196"/>
      <c r="I78" s="185"/>
      <c r="J78" s="185"/>
      <c r="K78" s="185"/>
      <c r="L78" s="185"/>
      <c r="M78" s="185"/>
      <c r="N78" s="185"/>
      <c r="O78" s="192"/>
      <c r="P78" s="192"/>
      <c r="Q78" s="192"/>
      <c r="R78" s="192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</row>
    <row r="79" spans="1:53" ht="12.75" customHeight="1" thickBot="1">
      <c r="A79" s="77" t="s">
        <v>29</v>
      </c>
      <c r="B79" s="78">
        <f>SUM(B80)</f>
        <v>6431678</v>
      </c>
      <c r="C79" s="79">
        <f>SUM(C80)</f>
        <v>6431678</v>
      </c>
      <c r="D79" s="83">
        <f>SUM(D80)</f>
        <v>0</v>
      </c>
      <c r="E79" s="143"/>
      <c r="F79" s="78">
        <f t="shared" si="10"/>
        <v>45786478</v>
      </c>
      <c r="G79" s="197"/>
      <c r="H79" s="198"/>
      <c r="I79" s="199"/>
      <c r="J79" s="199"/>
      <c r="K79" s="199"/>
      <c r="L79" s="199"/>
      <c r="M79" s="199"/>
      <c r="N79" s="199"/>
      <c r="O79" s="192"/>
      <c r="P79" s="192"/>
      <c r="Q79" s="192"/>
      <c r="R79" s="192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</row>
    <row r="80" spans="1:53" ht="13.5" customHeight="1" thickBot="1">
      <c r="A80" s="200" t="s">
        <v>30</v>
      </c>
      <c r="B80" s="36">
        <f>SUM(C80+D80+E80)</f>
        <v>6431678</v>
      </c>
      <c r="C80" s="120">
        <f>3000000+751646+410000+2270032</f>
        <v>6431678</v>
      </c>
      <c r="D80" s="123"/>
      <c r="E80" s="143"/>
      <c r="F80" s="149">
        <f t="shared" si="10"/>
        <v>45786478</v>
      </c>
      <c r="G80" s="197"/>
      <c r="H80" s="198"/>
      <c r="I80" s="199"/>
      <c r="J80" s="199"/>
      <c r="K80" s="199"/>
      <c r="L80" s="199"/>
      <c r="M80" s="199"/>
      <c r="N80" s="199"/>
      <c r="O80" s="192"/>
      <c r="P80" s="192"/>
      <c r="Q80" s="192"/>
      <c r="R80" s="192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</row>
    <row r="81" spans="1:53" ht="14.25" customHeight="1" thickBot="1">
      <c r="A81" s="85" t="s">
        <v>31</v>
      </c>
      <c r="B81" s="78">
        <f>SUM(B82:B91)</f>
        <v>147189528.92000008</v>
      </c>
      <c r="C81" s="79">
        <f>SUM(C82:C91)</f>
        <v>3400000</v>
      </c>
      <c r="D81" s="83">
        <f>SUM(D82:D91)</f>
        <v>143789528.92000008</v>
      </c>
      <c r="E81" s="143"/>
      <c r="F81" s="78">
        <f t="shared" si="10"/>
        <v>8742425528.92</v>
      </c>
      <c r="G81" s="197"/>
      <c r="H81" s="198"/>
      <c r="I81" s="201"/>
      <c r="J81" s="201"/>
      <c r="K81" s="201"/>
      <c r="L81" s="201"/>
      <c r="M81" s="201"/>
      <c r="N81" s="201"/>
      <c r="O81" s="192"/>
      <c r="P81" s="192"/>
      <c r="Q81" s="192"/>
      <c r="R81" s="192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</row>
    <row r="82" spans="1:53" ht="12.75" customHeight="1">
      <c r="A82" s="87" t="s">
        <v>32</v>
      </c>
      <c r="B82" s="202">
        <f>SUM(C82:D82)</f>
        <v>0</v>
      </c>
      <c r="C82" s="88"/>
      <c r="D82" s="92"/>
      <c r="E82" s="143"/>
      <c r="F82" s="10">
        <f t="shared" si="10"/>
        <v>4850000000</v>
      </c>
      <c r="G82" s="203"/>
      <c r="H82" s="204"/>
      <c r="I82" s="201"/>
      <c r="J82" s="201"/>
      <c r="K82" s="201"/>
      <c r="L82" s="201"/>
      <c r="M82" s="201"/>
      <c r="N82" s="201"/>
      <c r="O82" s="192"/>
      <c r="P82" s="192"/>
      <c r="Q82" s="192"/>
      <c r="R82" s="192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</row>
    <row r="83" spans="1:53" ht="12.75" customHeight="1">
      <c r="A83" s="93" t="s">
        <v>33</v>
      </c>
      <c r="B83" s="14">
        <f aca="true" t="shared" si="11" ref="B83:B91">SUM(C83:D83)</f>
        <v>0</v>
      </c>
      <c r="C83" s="94"/>
      <c r="D83" s="205"/>
      <c r="E83" s="206"/>
      <c r="F83" s="18">
        <f t="shared" si="10"/>
        <v>3621240000</v>
      </c>
      <c r="G83" s="203"/>
      <c r="H83" s="204"/>
      <c r="I83" s="201"/>
      <c r="J83" s="201"/>
      <c r="K83" s="201"/>
      <c r="L83" s="201"/>
      <c r="M83" s="201"/>
      <c r="N83" s="201"/>
      <c r="O83" s="192"/>
      <c r="P83" s="192"/>
      <c r="Q83" s="192"/>
      <c r="R83" s="192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</row>
    <row r="84" spans="1:53" ht="12.75" customHeight="1">
      <c r="A84" s="207" t="s">
        <v>63</v>
      </c>
      <c r="B84" s="71">
        <f t="shared" si="11"/>
        <v>143789528.92000008</v>
      </c>
      <c r="C84" s="188"/>
      <c r="D84" s="67">
        <f>2031707000-1887917471.08</f>
        <v>143789528.92000008</v>
      </c>
      <c r="E84" s="208"/>
      <c r="F84" s="189">
        <f>B84</f>
        <v>143789528.92000008</v>
      </c>
      <c r="G84" s="190">
        <f>B84</f>
        <v>143789528.92000008</v>
      </c>
      <c r="H84" s="191"/>
      <c r="I84" s="209"/>
      <c r="J84" s="210"/>
      <c r="K84" s="210"/>
      <c r="L84" s="210"/>
      <c r="M84" s="211"/>
      <c r="N84" s="209"/>
      <c r="O84" s="192"/>
      <c r="P84" s="192"/>
      <c r="Q84" s="192"/>
      <c r="R84" s="192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</row>
    <row r="85" spans="1:53" ht="12" customHeight="1">
      <c r="A85" s="207" t="s">
        <v>64</v>
      </c>
      <c r="B85" s="14">
        <f t="shared" si="11"/>
        <v>0</v>
      </c>
      <c r="C85" s="188"/>
      <c r="D85" s="67"/>
      <c r="E85" s="143"/>
      <c r="F85" s="189">
        <f>B85</f>
        <v>0</v>
      </c>
      <c r="G85" s="212">
        <f>B85</f>
        <v>0</v>
      </c>
      <c r="H85" s="213"/>
      <c r="I85" s="209"/>
      <c r="J85" s="210"/>
      <c r="K85" s="210"/>
      <c r="L85" s="210"/>
      <c r="M85" s="211"/>
      <c r="N85" s="209"/>
      <c r="O85" s="192"/>
      <c r="P85" s="192"/>
      <c r="Q85" s="192"/>
      <c r="R85" s="192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</row>
    <row r="86" spans="1:53" ht="11.25" customHeight="1">
      <c r="A86" s="207" t="s">
        <v>65</v>
      </c>
      <c r="B86" s="71">
        <f t="shared" si="11"/>
        <v>0</v>
      </c>
      <c r="C86" s="188"/>
      <c r="D86" s="67">
        <f>491219000-491219000</f>
        <v>0</v>
      </c>
      <c r="E86" s="143"/>
      <c r="F86" s="189">
        <f>B86</f>
        <v>0</v>
      </c>
      <c r="G86" s="214"/>
      <c r="H86" s="191">
        <f>B86</f>
        <v>0</v>
      </c>
      <c r="I86" s="209"/>
      <c r="J86" s="210"/>
      <c r="K86" s="210"/>
      <c r="L86" s="210"/>
      <c r="M86" s="211"/>
      <c r="N86" s="209"/>
      <c r="O86" s="192"/>
      <c r="P86" s="192"/>
      <c r="Q86" s="192"/>
      <c r="R86" s="192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</row>
    <row r="87" spans="1:53" ht="12.75" customHeight="1">
      <c r="A87" s="207" t="s">
        <v>66</v>
      </c>
      <c r="B87" s="14">
        <f t="shared" si="11"/>
        <v>0</v>
      </c>
      <c r="C87" s="188"/>
      <c r="D87" s="67"/>
      <c r="E87" s="143"/>
      <c r="F87" s="189">
        <f>B87</f>
        <v>0</v>
      </c>
      <c r="G87" s="190"/>
      <c r="H87" s="191">
        <f>B87</f>
        <v>0</v>
      </c>
      <c r="I87" s="209"/>
      <c r="J87" s="210"/>
      <c r="K87" s="210"/>
      <c r="L87" s="210"/>
      <c r="M87" s="211"/>
      <c r="N87" s="209"/>
      <c r="O87" s="192"/>
      <c r="P87" s="192"/>
      <c r="Q87" s="192"/>
      <c r="R87" s="192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</row>
    <row r="88" spans="1:53" ht="12" customHeight="1">
      <c r="A88" s="93" t="s">
        <v>67</v>
      </c>
      <c r="B88" s="71">
        <f t="shared" si="11"/>
        <v>0</v>
      </c>
      <c r="C88" s="94"/>
      <c r="D88" s="98">
        <v>0</v>
      </c>
      <c r="E88" s="143"/>
      <c r="F88" s="21">
        <f>B88</f>
        <v>0</v>
      </c>
      <c r="G88" s="215"/>
      <c r="H88" s="216"/>
      <c r="I88" s="209"/>
      <c r="J88" s="210"/>
      <c r="K88" s="210"/>
      <c r="L88" s="210"/>
      <c r="M88" s="211"/>
      <c r="N88" s="209"/>
      <c r="O88" s="192"/>
      <c r="P88" s="192"/>
      <c r="Q88" s="192"/>
      <c r="R88" s="192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</row>
    <row r="89" spans="1:53" ht="12.75" customHeight="1">
      <c r="A89" s="93" t="s">
        <v>34</v>
      </c>
      <c r="B89" s="14">
        <f t="shared" si="11"/>
        <v>106195.59999999998</v>
      </c>
      <c r="C89" s="94">
        <f>500000-100000-293804.4</f>
        <v>106195.59999999998</v>
      </c>
      <c r="D89" s="98"/>
      <c r="E89" s="143"/>
      <c r="F89" s="21">
        <f>B33+B89</f>
        <v>13964128.799999999</v>
      </c>
      <c r="G89" s="215"/>
      <c r="H89" s="216"/>
      <c r="I89" s="217"/>
      <c r="J89" s="217"/>
      <c r="K89" s="217"/>
      <c r="L89" s="217"/>
      <c r="M89" s="217"/>
      <c r="N89" s="209"/>
      <c r="O89" s="218"/>
      <c r="P89" s="218"/>
      <c r="Q89" s="218"/>
      <c r="R89" s="218"/>
      <c r="S89" s="218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</row>
    <row r="90" spans="1:53" ht="12.75" customHeight="1">
      <c r="A90" s="93" t="s">
        <v>79</v>
      </c>
      <c r="B90" s="14">
        <f t="shared" si="11"/>
        <v>293804.4</v>
      </c>
      <c r="C90" s="94">
        <v>293804.4</v>
      </c>
      <c r="D90" s="123"/>
      <c r="E90" s="143"/>
      <c r="F90" s="21">
        <f>B34+B90</f>
        <v>7578871.2</v>
      </c>
      <c r="G90" s="215"/>
      <c r="H90" s="216"/>
      <c r="I90" s="217"/>
      <c r="J90" s="217"/>
      <c r="K90" s="217"/>
      <c r="L90" s="217"/>
      <c r="M90" s="217"/>
      <c r="N90" s="209"/>
      <c r="O90" s="218"/>
      <c r="P90" s="218"/>
      <c r="Q90" s="218"/>
      <c r="R90" s="218"/>
      <c r="S90" s="218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</row>
    <row r="91" spans="1:53" ht="12" customHeight="1" thickBot="1">
      <c r="A91" s="93" t="s">
        <v>68</v>
      </c>
      <c r="B91" s="71">
        <f t="shared" si="11"/>
        <v>3000000</v>
      </c>
      <c r="C91" s="94">
        <v>3000000</v>
      </c>
      <c r="D91" s="123"/>
      <c r="E91" s="143"/>
      <c r="F91" s="149">
        <f>B35+B91</f>
        <v>105853000</v>
      </c>
      <c r="G91" s="215"/>
      <c r="H91" s="216"/>
      <c r="I91" s="219"/>
      <c r="J91" s="219"/>
      <c r="K91" s="219"/>
      <c r="L91" s="219"/>
      <c r="M91" s="219"/>
      <c r="N91" s="219"/>
      <c r="O91" s="192"/>
      <c r="P91" s="192"/>
      <c r="Q91" s="192"/>
      <c r="R91" s="192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</row>
    <row r="92" spans="1:53" ht="13.5" customHeight="1" thickBot="1">
      <c r="A92" s="85" t="s">
        <v>36</v>
      </c>
      <c r="B92" s="78">
        <f>SUM(B93:B98)</f>
        <v>34629550.370000005</v>
      </c>
      <c r="C92" s="79">
        <f>SUM(C93:C98)</f>
        <v>18710000</v>
      </c>
      <c r="D92" s="83">
        <f>SUM(D93:D98)</f>
        <v>15919550.370000001</v>
      </c>
      <c r="E92" s="208"/>
      <c r="F92" s="78">
        <f>B36+B92</f>
        <v>188739550.37</v>
      </c>
      <c r="G92" s="215"/>
      <c r="H92" s="216"/>
      <c r="I92" s="219"/>
      <c r="J92" s="219"/>
      <c r="K92" s="219"/>
      <c r="L92" s="219"/>
      <c r="M92" s="219"/>
      <c r="N92" s="219"/>
      <c r="O92" s="192"/>
      <c r="P92" s="192"/>
      <c r="Q92" s="192"/>
      <c r="R92" s="192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</row>
    <row r="93" spans="1:53" ht="12" customHeight="1">
      <c r="A93" s="87" t="s">
        <v>37</v>
      </c>
      <c r="B93" s="71">
        <f aca="true" t="shared" si="12" ref="B93:B99">SUM(C93:D93)</f>
        <v>7861000</v>
      </c>
      <c r="C93" s="88"/>
      <c r="D93" s="92">
        <v>7861000</v>
      </c>
      <c r="E93" s="143"/>
      <c r="F93" s="149">
        <f>B37+B93</f>
        <v>108053000</v>
      </c>
      <c r="G93" s="195"/>
      <c r="H93" s="196"/>
      <c r="I93" s="219"/>
      <c r="J93" s="219"/>
      <c r="K93" s="219"/>
      <c r="L93" s="219"/>
      <c r="M93" s="219"/>
      <c r="N93" s="219"/>
      <c r="O93" s="192"/>
      <c r="P93" s="192"/>
      <c r="Q93" s="192"/>
      <c r="R93" s="192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</row>
    <row r="94" spans="1:53" ht="12" customHeight="1">
      <c r="A94" s="207" t="s">
        <v>69</v>
      </c>
      <c r="B94" s="14">
        <f t="shared" si="12"/>
        <v>8058550.370000001</v>
      </c>
      <c r="C94" s="188"/>
      <c r="D94" s="67">
        <f>36414000-28355449.63</f>
        <v>8058550.370000001</v>
      </c>
      <c r="E94" s="208"/>
      <c r="F94" s="172">
        <f>B94</f>
        <v>8058550.370000001</v>
      </c>
      <c r="G94" s="190">
        <f>B94</f>
        <v>8058550.370000001</v>
      </c>
      <c r="H94" s="220"/>
      <c r="I94" s="296"/>
      <c r="J94" s="296"/>
      <c r="K94" s="296"/>
      <c r="L94" s="296"/>
      <c r="M94" s="296"/>
      <c r="N94" s="296"/>
      <c r="O94" s="192"/>
      <c r="P94" s="192"/>
      <c r="Q94" s="192"/>
      <c r="R94" s="192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</row>
    <row r="95" spans="1:53" ht="12" customHeight="1">
      <c r="A95" s="207" t="s">
        <v>70</v>
      </c>
      <c r="B95" s="71">
        <f t="shared" si="12"/>
        <v>0</v>
      </c>
      <c r="C95" s="222"/>
      <c r="D95" s="223"/>
      <c r="E95" s="143"/>
      <c r="F95" s="189">
        <f>B95</f>
        <v>0</v>
      </c>
      <c r="G95" s="190">
        <f>B95</f>
        <v>0</v>
      </c>
      <c r="H95" s="220"/>
      <c r="I95" s="296"/>
      <c r="J95" s="296"/>
      <c r="K95" s="296"/>
      <c r="L95" s="296"/>
      <c r="M95" s="296"/>
      <c r="N95" s="296"/>
      <c r="O95" s="192"/>
      <c r="P95" s="192"/>
      <c r="Q95" s="192"/>
      <c r="R95" s="192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</row>
    <row r="96" spans="1:18" ht="10.5" customHeight="1">
      <c r="A96" s="207" t="s">
        <v>71</v>
      </c>
      <c r="B96" s="14">
        <f t="shared" si="12"/>
        <v>0</v>
      </c>
      <c r="C96" s="222"/>
      <c r="D96" s="223">
        <f>12138000-12138000</f>
        <v>0</v>
      </c>
      <c r="E96" s="143"/>
      <c r="F96" s="189">
        <f>B96</f>
        <v>0</v>
      </c>
      <c r="G96" s="224"/>
      <c r="H96" s="191">
        <f>B96</f>
        <v>0</v>
      </c>
      <c r="I96" s="296"/>
      <c r="J96" s="296"/>
      <c r="K96" s="296"/>
      <c r="L96" s="296"/>
      <c r="M96" s="296"/>
      <c r="N96" s="296"/>
      <c r="O96" s="192"/>
      <c r="P96" s="225"/>
      <c r="Q96" s="225"/>
      <c r="R96" s="225"/>
    </row>
    <row r="97" spans="1:18" ht="12" customHeight="1">
      <c r="A97" s="207" t="s">
        <v>72</v>
      </c>
      <c r="B97" s="14">
        <f t="shared" si="12"/>
        <v>0</v>
      </c>
      <c r="C97" s="222"/>
      <c r="D97" s="223"/>
      <c r="E97" s="143"/>
      <c r="F97" s="172">
        <f>B97</f>
        <v>0</v>
      </c>
      <c r="G97" s="224"/>
      <c r="H97" s="191">
        <f>B97</f>
        <v>0</v>
      </c>
      <c r="I97" s="221"/>
      <c r="J97" s="221"/>
      <c r="K97" s="221"/>
      <c r="L97" s="221"/>
      <c r="M97" s="221"/>
      <c r="N97" s="221"/>
      <c r="O97" s="192"/>
      <c r="P97" s="225"/>
      <c r="Q97" s="225"/>
      <c r="R97" s="225"/>
    </row>
    <row r="98" spans="1:18" ht="12" customHeight="1" thickBot="1">
      <c r="A98" s="106" t="s">
        <v>38</v>
      </c>
      <c r="B98" s="71">
        <f t="shared" si="12"/>
        <v>18710000</v>
      </c>
      <c r="C98" s="107">
        <f>1000000+17710000</f>
        <v>18710000</v>
      </c>
      <c r="D98" s="110"/>
      <c r="E98" s="143"/>
      <c r="F98" s="149">
        <f aca="true" t="shared" si="13" ref="F98:F106">B38+B98</f>
        <v>72628000</v>
      </c>
      <c r="G98" s="197"/>
      <c r="H98" s="198"/>
      <c r="I98" s="209"/>
      <c r="J98" s="209"/>
      <c r="K98" s="209"/>
      <c r="L98" s="209"/>
      <c r="M98" s="209"/>
      <c r="N98" s="209"/>
      <c r="O98" s="192"/>
      <c r="P98" s="225"/>
      <c r="Q98" s="225"/>
      <c r="R98" s="225"/>
    </row>
    <row r="99" spans="1:18" ht="15.75" customHeight="1" thickBot="1">
      <c r="A99" s="85" t="s">
        <v>39</v>
      </c>
      <c r="B99" s="78">
        <f t="shared" si="12"/>
        <v>0</v>
      </c>
      <c r="C99" s="226"/>
      <c r="D99" s="227"/>
      <c r="E99" s="153"/>
      <c r="F99" s="78">
        <f t="shared" si="13"/>
        <v>670000</v>
      </c>
      <c r="G99" s="297"/>
      <c r="H99" s="298"/>
      <c r="I99" s="209"/>
      <c r="J99" s="209"/>
      <c r="K99" s="209"/>
      <c r="L99" s="209"/>
      <c r="M99" s="209"/>
      <c r="N99" s="209"/>
      <c r="O99" s="192"/>
      <c r="P99" s="225"/>
      <c r="Q99" s="225"/>
      <c r="R99" s="225"/>
    </row>
    <row r="100" spans="1:18" ht="15" customHeight="1" thickBot="1">
      <c r="A100" s="111" t="s">
        <v>40</v>
      </c>
      <c r="B100" s="112">
        <f>SUM(B101:B102)</f>
        <v>5275000</v>
      </c>
      <c r="C100" s="113">
        <f>SUM(C101:C102)</f>
        <v>5275000</v>
      </c>
      <c r="D100" s="118">
        <f>SUM(D101:D102)</f>
        <v>0</v>
      </c>
      <c r="E100" s="143"/>
      <c r="F100" s="116">
        <f t="shared" si="13"/>
        <v>116432000</v>
      </c>
      <c r="G100" s="297"/>
      <c r="H100" s="298"/>
      <c r="I100" s="209"/>
      <c r="J100" s="209"/>
      <c r="K100" s="209"/>
      <c r="L100" s="209"/>
      <c r="M100" s="209"/>
      <c r="N100" s="209"/>
      <c r="O100" s="192"/>
      <c r="P100" s="225"/>
      <c r="Q100" s="225"/>
      <c r="R100" s="225"/>
    </row>
    <row r="101" spans="1:18" ht="11.25" customHeight="1">
      <c r="A101" s="119" t="s">
        <v>41</v>
      </c>
      <c r="B101" s="36">
        <f>SUM(C101:D101)</f>
        <v>5000000</v>
      </c>
      <c r="C101" s="120">
        <v>5000000</v>
      </c>
      <c r="D101" s="123"/>
      <c r="E101" s="143"/>
      <c r="F101" s="21">
        <f t="shared" si="13"/>
        <v>106070000</v>
      </c>
      <c r="G101" s="215"/>
      <c r="H101" s="216"/>
      <c r="I101" s="209"/>
      <c r="J101" s="209"/>
      <c r="K101" s="209"/>
      <c r="L101" s="209"/>
      <c r="M101" s="209"/>
      <c r="N101" s="209"/>
      <c r="O101" s="192"/>
      <c r="P101" s="225"/>
      <c r="Q101" s="225"/>
      <c r="R101" s="225"/>
    </row>
    <row r="102" spans="1:18" ht="12" customHeight="1">
      <c r="A102" s="93" t="s">
        <v>42</v>
      </c>
      <c r="B102" s="36">
        <f>SUM(C102:D102)</f>
        <v>275000</v>
      </c>
      <c r="C102" s="94">
        <f>1000000-725000</f>
        <v>275000</v>
      </c>
      <c r="D102" s="123"/>
      <c r="E102" s="143"/>
      <c r="F102" s="21">
        <f t="shared" si="13"/>
        <v>10362000</v>
      </c>
      <c r="G102" s="215"/>
      <c r="H102" s="216"/>
      <c r="I102" s="209"/>
      <c r="J102" s="209"/>
      <c r="K102" s="209"/>
      <c r="L102" s="209"/>
      <c r="M102" s="209"/>
      <c r="N102" s="209"/>
      <c r="O102" s="192"/>
      <c r="P102" s="225"/>
      <c r="Q102" s="225"/>
      <c r="R102" s="225"/>
    </row>
    <row r="103" spans="1:18" ht="12.75" customHeight="1">
      <c r="A103" s="229" t="s">
        <v>43</v>
      </c>
      <c r="B103" s="36">
        <f>SUM(C103:D103)</f>
        <v>0</v>
      </c>
      <c r="C103" s="230"/>
      <c r="D103" s="41"/>
      <c r="E103" s="143"/>
      <c r="F103" s="21">
        <f t="shared" si="13"/>
        <v>12000000</v>
      </c>
      <c r="G103" s="195"/>
      <c r="H103" s="196"/>
      <c r="I103" s="217"/>
      <c r="J103" s="217"/>
      <c r="K103" s="217"/>
      <c r="L103" s="217"/>
      <c r="M103" s="217"/>
      <c r="N103" s="209"/>
      <c r="O103" s="192"/>
      <c r="P103" s="225"/>
      <c r="Q103" s="225"/>
      <c r="R103" s="225"/>
    </row>
    <row r="104" spans="1:18" ht="12.75" customHeight="1">
      <c r="A104" s="231" t="s">
        <v>73</v>
      </c>
      <c r="B104" s="36">
        <f>SUM(C104:D104)</f>
        <v>1000000</v>
      </c>
      <c r="C104" s="232">
        <v>1000000</v>
      </c>
      <c r="D104" s="41"/>
      <c r="E104" s="143"/>
      <c r="F104" s="21">
        <f t="shared" si="13"/>
        <v>24545000</v>
      </c>
      <c r="G104" s="197"/>
      <c r="H104" s="198"/>
      <c r="I104" s="219"/>
      <c r="J104" s="219"/>
      <c r="K104" s="219"/>
      <c r="L104" s="219"/>
      <c r="M104" s="219"/>
      <c r="N104" s="219"/>
      <c r="O104" s="192"/>
      <c r="P104" s="225"/>
      <c r="Q104" s="225"/>
      <c r="R104" s="225"/>
    </row>
    <row r="105" spans="1:18" ht="12.75" customHeight="1" thickBot="1">
      <c r="A105" s="233" t="s">
        <v>45</v>
      </c>
      <c r="B105" s="36">
        <f>SUM(C105:D105)</f>
        <v>0</v>
      </c>
      <c r="C105" s="230"/>
      <c r="D105" s="45"/>
      <c r="E105" s="143"/>
      <c r="F105" s="149">
        <f t="shared" si="13"/>
        <v>2000000</v>
      </c>
      <c r="G105" s="197"/>
      <c r="H105" s="198"/>
      <c r="I105" s="219"/>
      <c r="J105" s="219"/>
      <c r="K105" s="219"/>
      <c r="L105" s="219"/>
      <c r="M105" s="219"/>
      <c r="N105" s="219"/>
      <c r="O105" s="192"/>
      <c r="P105" s="225"/>
      <c r="Q105" s="225"/>
      <c r="R105" s="225"/>
    </row>
    <row r="106" spans="1:18" ht="13.5" customHeight="1" thickBot="1">
      <c r="A106" s="126" t="s">
        <v>46</v>
      </c>
      <c r="B106" s="234">
        <f>SUM(B50+B51+B52+B53+B79+B81+B92+B99+B100+B103+B104+B105)</f>
        <v>6773881385.42</v>
      </c>
      <c r="C106" s="235">
        <f>SUM(C50+C51+C52+C53+C79+C81+C92+C99+C100+C103+C104+C105)</f>
        <v>2687514793.65</v>
      </c>
      <c r="D106" s="236">
        <f>SUM(D50+D51+D52+D53+D79+D81+D92+D99+D100+D103+D104+D105)</f>
        <v>4086366591.7700005</v>
      </c>
      <c r="E106" s="143"/>
      <c r="F106" s="234">
        <f t="shared" si="13"/>
        <v>19102928794.21</v>
      </c>
      <c r="G106" s="237">
        <f>SUM(G67+G73+G74+G84+G85+G94+G95)</f>
        <v>885470839.0900003</v>
      </c>
      <c r="H106" s="238">
        <f>SUM(H68+H75+H76+H86+H87+H96+H97)</f>
        <v>76717845.32999992</v>
      </c>
      <c r="I106" s="219"/>
      <c r="J106" s="219"/>
      <c r="K106" s="219"/>
      <c r="L106" s="219"/>
      <c r="M106" s="219"/>
      <c r="N106" s="219"/>
      <c r="O106" s="192"/>
      <c r="P106" s="225"/>
      <c r="Q106" s="225"/>
      <c r="R106" s="225"/>
    </row>
    <row r="107" spans="2:18" ht="12" customHeight="1">
      <c r="B107" s="1"/>
      <c r="C107" s="1"/>
      <c r="D107" s="1"/>
      <c r="E107" s="1"/>
      <c r="F107" s="1"/>
      <c r="G107" s="1"/>
      <c r="H107" s="1"/>
      <c r="I107" s="219"/>
      <c r="J107" s="219"/>
      <c r="K107" s="219"/>
      <c r="L107" s="219"/>
      <c r="M107" s="219"/>
      <c r="N107" s="219"/>
      <c r="O107" s="192"/>
      <c r="P107" s="225"/>
      <c r="Q107" s="225"/>
      <c r="R107" s="225"/>
    </row>
    <row r="108" spans="1:18" ht="12.75" customHeight="1">
      <c r="A108" s="267" t="s">
        <v>85</v>
      </c>
      <c r="B108" s="268"/>
      <c r="C108" s="268"/>
      <c r="D108" s="268"/>
      <c r="E108" s="268"/>
      <c r="F108" s="268"/>
      <c r="G108" s="268"/>
      <c r="H108" s="268"/>
      <c r="I108" s="219"/>
      <c r="J108" s="219"/>
      <c r="K108" s="219"/>
      <c r="L108" s="219"/>
      <c r="M108" s="219"/>
      <c r="N108" s="219"/>
      <c r="O108" s="192"/>
      <c r="P108" s="225"/>
      <c r="Q108" s="225"/>
      <c r="R108" s="225"/>
    </row>
    <row r="109" spans="1:18" ht="16.5" customHeight="1">
      <c r="A109" s="219"/>
      <c r="B109" s="219"/>
      <c r="C109" s="219"/>
      <c r="D109" s="219"/>
      <c r="E109" s="219"/>
      <c r="F109" s="219"/>
      <c r="G109" s="219"/>
      <c r="H109" s="219"/>
      <c r="I109" s="296"/>
      <c r="J109" s="296"/>
      <c r="K109" s="296"/>
      <c r="L109" s="296"/>
      <c r="M109" s="296"/>
      <c r="N109" s="296"/>
      <c r="O109" s="192"/>
      <c r="P109" s="225"/>
      <c r="Q109" s="225"/>
      <c r="R109" s="225"/>
    </row>
    <row r="110" spans="1:18" ht="15" customHeight="1">
      <c r="A110" s="239"/>
      <c r="B110" s="239"/>
      <c r="C110" s="239"/>
      <c r="D110" s="239"/>
      <c r="E110" s="239"/>
      <c r="F110" s="239"/>
      <c r="G110" s="239"/>
      <c r="H110" s="239"/>
      <c r="I110" s="296"/>
      <c r="J110" s="296"/>
      <c r="K110" s="296"/>
      <c r="L110" s="296"/>
      <c r="M110" s="296"/>
      <c r="N110" s="296"/>
      <c r="O110" s="192"/>
      <c r="P110" s="225"/>
      <c r="Q110" s="225"/>
      <c r="R110" s="225"/>
    </row>
    <row r="111" spans="1:18" ht="12" customHeight="1">
      <c r="A111" s="239"/>
      <c r="B111" s="239"/>
      <c r="C111" s="239"/>
      <c r="D111" s="239"/>
      <c r="E111" s="239"/>
      <c r="F111" s="239"/>
      <c r="G111" s="239"/>
      <c r="H111" s="239"/>
      <c r="I111" s="209"/>
      <c r="J111" s="209"/>
      <c r="K111" s="209"/>
      <c r="L111" s="209"/>
      <c r="M111" s="209"/>
      <c r="N111" s="209"/>
      <c r="O111" s="192"/>
      <c r="P111" s="225"/>
      <c r="Q111" s="225"/>
      <c r="R111" s="225"/>
    </row>
    <row r="112" spans="1:18" ht="12" customHeight="1">
      <c r="A112" s="239"/>
      <c r="B112" s="239"/>
      <c r="C112" s="239"/>
      <c r="D112" s="239"/>
      <c r="E112" s="239"/>
      <c r="F112" s="239"/>
      <c r="G112" s="239"/>
      <c r="H112" s="239"/>
      <c r="I112" s="209"/>
      <c r="J112" s="209"/>
      <c r="K112" s="209"/>
      <c r="L112" s="209"/>
      <c r="M112" s="209"/>
      <c r="N112" s="209"/>
      <c r="O112" s="192"/>
      <c r="P112" s="225"/>
      <c r="Q112" s="225"/>
      <c r="R112" s="225"/>
    </row>
    <row r="113" spans="1:18" ht="12.75" customHeight="1">
      <c r="A113" s="239"/>
      <c r="B113" s="165"/>
      <c r="C113" s="165"/>
      <c r="D113" s="165"/>
      <c r="E113" s="165"/>
      <c r="F113" s="165"/>
      <c r="G113" s="165"/>
      <c r="H113" s="165"/>
      <c r="I113" s="209"/>
      <c r="J113" s="209"/>
      <c r="K113" s="209"/>
      <c r="L113" s="209"/>
      <c r="M113" s="209"/>
      <c r="N113" s="209"/>
      <c r="O113" s="192"/>
      <c r="P113" s="225"/>
      <c r="Q113" s="225"/>
      <c r="R113" s="225"/>
    </row>
    <row r="114" spans="1:18" ht="13.5" customHeight="1">
      <c r="A114" s="165"/>
      <c r="B114" s="165"/>
      <c r="C114" s="165"/>
      <c r="D114" s="165"/>
      <c r="E114" s="165"/>
      <c r="F114" s="165"/>
      <c r="G114" s="165"/>
      <c r="H114" s="165"/>
      <c r="I114" s="217"/>
      <c r="J114" s="217"/>
      <c r="K114" s="217"/>
      <c r="L114" s="217"/>
      <c r="M114" s="217"/>
      <c r="N114" s="209"/>
      <c r="O114" s="192"/>
      <c r="P114" s="225"/>
      <c r="Q114" s="225"/>
      <c r="R114" s="225"/>
    </row>
    <row r="115" spans="1:18" ht="12.75" customHeight="1">
      <c r="A115" s="165"/>
      <c r="B115" s="165"/>
      <c r="C115" s="165"/>
      <c r="D115" s="165"/>
      <c r="E115" s="165"/>
      <c r="F115" s="165"/>
      <c r="G115" s="165"/>
      <c r="H115" s="165"/>
      <c r="I115" s="219"/>
      <c r="J115" s="219"/>
      <c r="K115" s="219"/>
      <c r="L115" s="219"/>
      <c r="M115" s="219"/>
      <c r="N115" s="219"/>
      <c r="O115" s="192"/>
      <c r="P115" s="225"/>
      <c r="Q115" s="225"/>
      <c r="R115" s="225"/>
    </row>
    <row r="116" spans="1:18" ht="13.5" customHeight="1">
      <c r="A116" s="165"/>
      <c r="B116" s="165"/>
      <c r="C116" s="165"/>
      <c r="D116" s="165"/>
      <c r="E116" s="165"/>
      <c r="F116" s="165"/>
      <c r="G116" s="165"/>
      <c r="H116" s="165"/>
      <c r="I116" s="219"/>
      <c r="J116" s="219"/>
      <c r="K116" s="219"/>
      <c r="L116" s="219"/>
      <c r="M116" s="219"/>
      <c r="N116" s="219"/>
      <c r="O116" s="192"/>
      <c r="P116" s="225"/>
      <c r="Q116" s="225"/>
      <c r="R116" s="225"/>
    </row>
    <row r="117" spans="1:18" ht="13.5" customHeight="1">
      <c r="A117" s="239"/>
      <c r="B117" s="239"/>
      <c r="C117" s="239"/>
      <c r="D117" s="239"/>
      <c r="E117" s="239"/>
      <c r="F117" s="239"/>
      <c r="G117" s="239"/>
      <c r="H117" s="239"/>
      <c r="I117" s="219"/>
      <c r="J117" s="219"/>
      <c r="K117" s="219"/>
      <c r="L117" s="219"/>
      <c r="M117" s="219"/>
      <c r="N117" s="219"/>
      <c r="O117" s="192"/>
      <c r="P117" s="225"/>
      <c r="Q117" s="225"/>
      <c r="R117" s="225"/>
    </row>
    <row r="118" spans="1:18" ht="15" customHeight="1">
      <c r="A118" s="239"/>
      <c r="B118" s="239"/>
      <c r="C118" s="239"/>
      <c r="D118" s="239"/>
      <c r="E118" s="239"/>
      <c r="F118" s="239"/>
      <c r="G118" s="239"/>
      <c r="H118" s="239"/>
      <c r="I118" s="1"/>
      <c r="J118" s="228"/>
      <c r="K118" s="228"/>
      <c r="L118" s="228"/>
      <c r="M118" s="228"/>
      <c r="N118" s="228"/>
      <c r="O118" s="192"/>
      <c r="P118" s="225"/>
      <c r="Q118" s="225"/>
      <c r="R118" s="225"/>
    </row>
    <row r="119" spans="1:15" ht="12" customHeight="1">
      <c r="A119" s="239"/>
      <c r="B119" s="239"/>
      <c r="C119" s="239"/>
      <c r="D119" s="239"/>
      <c r="E119" s="239"/>
      <c r="F119" s="239"/>
      <c r="G119" s="239"/>
      <c r="H119" s="239"/>
      <c r="O119" s="240"/>
    </row>
    <row r="120" spans="1:18" ht="13.5" customHeight="1">
      <c r="A120" s="239"/>
      <c r="B120" s="239"/>
      <c r="C120" s="239"/>
      <c r="D120" s="239"/>
      <c r="E120" s="239"/>
      <c r="F120" s="239"/>
      <c r="G120" s="239"/>
      <c r="H120" s="239"/>
      <c r="I120" s="219"/>
      <c r="J120" s="219"/>
      <c r="K120" s="219"/>
      <c r="L120" s="219"/>
      <c r="M120" s="219"/>
      <c r="N120" s="219"/>
      <c r="O120" s="192"/>
      <c r="P120" s="225"/>
      <c r="Q120" s="225"/>
      <c r="R120" s="225"/>
    </row>
    <row r="121" spans="1:18" ht="13.5" customHeight="1">
      <c r="A121" s="165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25"/>
      <c r="P121" s="225"/>
      <c r="Q121" s="225"/>
      <c r="R121" s="225"/>
    </row>
    <row r="122" spans="1:18" ht="12" customHeight="1">
      <c r="A122" s="165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25"/>
      <c r="P122" s="225"/>
      <c r="Q122" s="225"/>
      <c r="R122" s="225"/>
    </row>
    <row r="123" spans="1:18" ht="18">
      <c r="A123" s="165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25"/>
      <c r="P123" s="225"/>
      <c r="Q123" s="225"/>
      <c r="R123" s="225"/>
    </row>
    <row r="124" spans="1:18" ht="18">
      <c r="A124" s="165"/>
      <c r="B124" s="239"/>
      <c r="C124" s="239"/>
      <c r="D124" s="239"/>
      <c r="E124" s="239"/>
      <c r="F124" s="239"/>
      <c r="G124" s="239"/>
      <c r="H124" s="239"/>
      <c r="I124" s="165"/>
      <c r="J124" s="165"/>
      <c r="K124" s="165"/>
      <c r="L124" s="165"/>
      <c r="M124" s="165"/>
      <c r="N124" s="165"/>
      <c r="O124" s="225"/>
      <c r="P124" s="225"/>
      <c r="Q124" s="225"/>
      <c r="R124" s="225"/>
    </row>
    <row r="125" spans="1:18" ht="18">
      <c r="A125" s="165"/>
      <c r="B125" s="239"/>
      <c r="C125" s="239"/>
      <c r="D125" s="239"/>
      <c r="E125" s="239"/>
      <c r="F125" s="239"/>
      <c r="G125" s="239"/>
      <c r="H125" s="239"/>
      <c r="I125" s="165"/>
      <c r="J125" s="165"/>
      <c r="K125" s="165"/>
      <c r="L125" s="165"/>
      <c r="M125" s="165"/>
      <c r="N125" s="165"/>
      <c r="O125" s="225"/>
      <c r="P125" s="225"/>
      <c r="Q125" s="225"/>
      <c r="R125" s="225"/>
    </row>
    <row r="126" spans="1:18" ht="18">
      <c r="A126" s="165"/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225"/>
      <c r="P126" s="225"/>
      <c r="Q126" s="225"/>
      <c r="R126" s="225"/>
    </row>
    <row r="127" spans="1:18" ht="18">
      <c r="A127" s="165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225"/>
      <c r="P127" s="225"/>
      <c r="Q127" s="225"/>
      <c r="R127" s="225"/>
    </row>
    <row r="128" spans="1:18" ht="18">
      <c r="A128" s="241"/>
      <c r="B128" s="239"/>
      <c r="C128" s="239"/>
      <c r="D128" s="239"/>
      <c r="E128" s="239"/>
      <c r="F128" s="239"/>
      <c r="G128" s="165"/>
      <c r="H128" s="165"/>
      <c r="I128" s="239"/>
      <c r="J128" s="239"/>
      <c r="K128" s="239"/>
      <c r="L128" s="239"/>
      <c r="M128" s="239"/>
      <c r="N128" s="239"/>
      <c r="O128" s="225"/>
      <c r="P128" s="225"/>
      <c r="Q128" s="225"/>
      <c r="R128" s="225"/>
    </row>
    <row r="129" spans="1:18" ht="18">
      <c r="A129" s="239"/>
      <c r="B129" s="239"/>
      <c r="C129" s="239"/>
      <c r="D129" s="239"/>
      <c r="E129" s="239"/>
      <c r="F129" s="239"/>
      <c r="G129" s="165"/>
      <c r="H129" s="165"/>
      <c r="I129" s="239"/>
      <c r="J129" s="239"/>
      <c r="K129" s="239"/>
      <c r="L129" s="239"/>
      <c r="M129" s="239"/>
      <c r="N129" s="239"/>
      <c r="O129" s="225"/>
      <c r="P129" s="225"/>
      <c r="Q129" s="225"/>
      <c r="R129" s="225"/>
    </row>
    <row r="130" spans="1:18" ht="18">
      <c r="A130" s="239"/>
      <c r="B130" s="239"/>
      <c r="C130" s="239"/>
      <c r="D130" s="239"/>
      <c r="E130" s="239"/>
      <c r="F130" s="239"/>
      <c r="G130" s="165"/>
      <c r="H130" s="165"/>
      <c r="I130" s="239"/>
      <c r="J130" s="239"/>
      <c r="K130" s="239"/>
      <c r="L130" s="239"/>
      <c r="M130" s="239"/>
      <c r="N130" s="239"/>
      <c r="O130" s="225"/>
      <c r="P130" s="225"/>
      <c r="Q130" s="225"/>
      <c r="R130" s="225"/>
    </row>
    <row r="131" spans="1:18" ht="18">
      <c r="A131" s="239"/>
      <c r="B131" s="239"/>
      <c r="C131" s="239"/>
      <c r="D131" s="239"/>
      <c r="E131" s="239"/>
      <c r="F131" s="239"/>
      <c r="G131" s="165"/>
      <c r="H131" s="165"/>
      <c r="I131" s="239"/>
      <c r="J131" s="239"/>
      <c r="K131" s="239"/>
      <c r="L131" s="239"/>
      <c r="M131" s="239"/>
      <c r="N131" s="239"/>
      <c r="O131" s="225"/>
      <c r="P131" s="225"/>
      <c r="Q131" s="225"/>
      <c r="R131" s="225"/>
    </row>
    <row r="132" spans="1:18" ht="18">
      <c r="A132" s="239"/>
      <c r="B132" s="239"/>
      <c r="C132" s="239"/>
      <c r="D132" s="239"/>
      <c r="E132" s="239"/>
      <c r="F132" s="239"/>
      <c r="G132" s="165"/>
      <c r="H132" s="165"/>
      <c r="I132" s="239"/>
      <c r="J132" s="239"/>
      <c r="K132" s="239"/>
      <c r="L132" s="239"/>
      <c r="M132" s="239"/>
      <c r="N132" s="239"/>
      <c r="O132" s="225"/>
      <c r="P132" s="225"/>
      <c r="Q132" s="225"/>
      <c r="R132" s="225"/>
    </row>
    <row r="133" spans="1:18" ht="18">
      <c r="A133" s="239"/>
      <c r="B133" s="239"/>
      <c r="C133" s="239"/>
      <c r="D133" s="239"/>
      <c r="E133" s="239"/>
      <c r="F133" s="239"/>
      <c r="G133" s="165"/>
      <c r="H133" s="165"/>
      <c r="I133" s="239"/>
      <c r="J133" s="239"/>
      <c r="K133" s="239"/>
      <c r="L133" s="239"/>
      <c r="M133" s="239"/>
      <c r="N133" s="239"/>
      <c r="O133" s="225"/>
      <c r="P133" s="225"/>
      <c r="Q133" s="225"/>
      <c r="R133" s="225"/>
    </row>
    <row r="134" spans="1:18" ht="18">
      <c r="A134" s="239"/>
      <c r="B134" s="239"/>
      <c r="C134" s="239"/>
      <c r="D134" s="239"/>
      <c r="E134" s="239"/>
      <c r="F134" s="239"/>
      <c r="G134" s="165"/>
      <c r="H134" s="165"/>
      <c r="I134" s="239"/>
      <c r="J134" s="239"/>
      <c r="K134" s="239"/>
      <c r="L134" s="239"/>
      <c r="M134" s="239"/>
      <c r="N134" s="239"/>
      <c r="O134" s="225"/>
      <c r="P134" s="225"/>
      <c r="Q134" s="225"/>
      <c r="R134" s="225"/>
    </row>
    <row r="135" spans="1:18" ht="18">
      <c r="A135" s="165"/>
      <c r="B135" s="239"/>
      <c r="C135" s="239"/>
      <c r="D135" s="239"/>
      <c r="E135" s="239"/>
      <c r="F135" s="239"/>
      <c r="G135" s="165"/>
      <c r="H135" s="165"/>
      <c r="I135" s="239"/>
      <c r="J135" s="239"/>
      <c r="K135" s="239"/>
      <c r="L135" s="239"/>
      <c r="M135" s="239"/>
      <c r="N135" s="239"/>
      <c r="O135" s="225"/>
      <c r="P135" s="225"/>
      <c r="Q135" s="225"/>
      <c r="R135" s="225"/>
    </row>
    <row r="136" spans="1:18" ht="18">
      <c r="A136" s="242"/>
      <c r="B136" s="239"/>
      <c r="C136" s="239"/>
      <c r="D136" s="239"/>
      <c r="E136" s="239"/>
      <c r="F136" s="239"/>
      <c r="G136" s="165"/>
      <c r="H136" s="165"/>
      <c r="I136" s="239"/>
      <c r="J136" s="239"/>
      <c r="K136" s="239"/>
      <c r="L136" s="239"/>
      <c r="M136" s="239"/>
      <c r="N136" s="239"/>
      <c r="O136" s="225"/>
      <c r="P136" s="225"/>
      <c r="Q136" s="225"/>
      <c r="R136" s="225"/>
    </row>
    <row r="137" spans="1:14" ht="18">
      <c r="A137" s="239"/>
      <c r="B137" s="239"/>
      <c r="C137" s="239"/>
      <c r="D137" s="239"/>
      <c r="E137" s="239"/>
      <c r="F137" s="239"/>
      <c r="G137" s="165"/>
      <c r="H137" s="165"/>
      <c r="I137" s="165"/>
      <c r="J137" s="165"/>
      <c r="K137" s="165"/>
      <c r="L137" s="165"/>
      <c r="M137" s="165"/>
      <c r="N137" s="165"/>
    </row>
    <row r="138" spans="1:14" ht="18">
      <c r="A138" s="243"/>
      <c r="B138" s="239"/>
      <c r="C138" s="239"/>
      <c r="D138" s="239"/>
      <c r="E138" s="239"/>
      <c r="F138" s="239"/>
      <c r="G138" s="165"/>
      <c r="H138" s="165"/>
      <c r="I138" s="165"/>
      <c r="J138" s="165"/>
      <c r="K138" s="165"/>
      <c r="L138" s="165"/>
      <c r="M138" s="165"/>
      <c r="N138" s="165"/>
    </row>
    <row r="139" spans="2:14" ht="18">
      <c r="B139" s="244"/>
      <c r="C139" s="244"/>
      <c r="D139" s="244"/>
      <c r="E139" s="225"/>
      <c r="F139" s="225"/>
      <c r="I139" s="165"/>
      <c r="J139" s="165"/>
      <c r="K139" s="165"/>
      <c r="L139" s="165"/>
      <c r="M139" s="165"/>
      <c r="N139" s="165"/>
    </row>
    <row r="140" spans="9:14" ht="12.75">
      <c r="I140" s="165"/>
      <c r="J140" s="165"/>
      <c r="K140" s="165"/>
      <c r="L140" s="165"/>
      <c r="M140" s="165"/>
      <c r="N140" s="165"/>
    </row>
    <row r="141" spans="9:14" ht="12.75">
      <c r="I141" s="165"/>
      <c r="J141" s="165"/>
      <c r="K141" s="165"/>
      <c r="L141" s="165"/>
      <c r="M141" s="165"/>
      <c r="N141" s="165"/>
    </row>
    <row r="142" spans="9:14" ht="12.75">
      <c r="I142" s="165"/>
      <c r="J142" s="165"/>
      <c r="K142" s="165"/>
      <c r="L142" s="165"/>
      <c r="M142" s="165"/>
      <c r="N142" s="165"/>
    </row>
    <row r="143" spans="9:14" ht="12.75">
      <c r="I143" s="165"/>
      <c r="J143" s="165"/>
      <c r="K143" s="165"/>
      <c r="L143" s="165"/>
      <c r="M143" s="165"/>
      <c r="N143" s="165"/>
    </row>
    <row r="144" spans="9:14" ht="12.75">
      <c r="I144" s="165"/>
      <c r="J144" s="165"/>
      <c r="K144" s="165"/>
      <c r="L144" s="165"/>
      <c r="M144" s="165"/>
      <c r="N144" s="165"/>
    </row>
    <row r="145" spans="9:14" ht="12.75">
      <c r="I145" s="165"/>
      <c r="J145" s="165"/>
      <c r="K145" s="165"/>
      <c r="L145" s="165"/>
      <c r="M145" s="165"/>
      <c r="N145" s="165"/>
    </row>
    <row r="146" spans="9:14" ht="12.75">
      <c r="I146" s="165"/>
      <c r="J146" s="165"/>
      <c r="K146" s="165"/>
      <c r="L146" s="165"/>
      <c r="M146" s="165"/>
      <c r="N146" s="165"/>
    </row>
    <row r="147" spans="9:14" ht="12.75">
      <c r="I147" s="165"/>
      <c r="J147" s="165"/>
      <c r="K147" s="165"/>
      <c r="L147" s="165"/>
      <c r="M147" s="165"/>
      <c r="N147" s="165"/>
    </row>
    <row r="148" spans="9:14" ht="12.75">
      <c r="I148" s="165"/>
      <c r="J148" s="165"/>
      <c r="K148" s="165"/>
      <c r="L148" s="165"/>
      <c r="M148" s="165"/>
      <c r="N148" s="165"/>
    </row>
    <row r="149" spans="9:14" ht="12.75">
      <c r="I149" s="165"/>
      <c r="J149" s="165"/>
      <c r="K149" s="165"/>
      <c r="L149" s="165"/>
      <c r="M149" s="165"/>
      <c r="N149" s="165"/>
    </row>
  </sheetData>
  <mergeCells count="25">
    <mergeCell ref="L109:L110"/>
    <mergeCell ref="M109:M110"/>
    <mergeCell ref="N109:N110"/>
    <mergeCell ref="A108:H108"/>
    <mergeCell ref="I109:I110"/>
    <mergeCell ref="J109:J110"/>
    <mergeCell ref="K109:K110"/>
    <mergeCell ref="L94:L96"/>
    <mergeCell ref="M94:M96"/>
    <mergeCell ref="N94:N96"/>
    <mergeCell ref="G99:G100"/>
    <mergeCell ref="H99:H100"/>
    <mergeCell ref="A47:H48"/>
    <mergeCell ref="I94:I96"/>
    <mergeCell ref="J94:J96"/>
    <mergeCell ref="K94:K96"/>
    <mergeCell ref="A1:H1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35" right="0.17" top="0.49" bottom="0.52" header="0.4921259845" footer="0.4921259845"/>
  <pageSetup horizontalDpi="600" verticalDpi="600" orientation="landscape" paperSize="9" scale="70" r:id="rId1"/>
  <headerFooter alignWithMargins="0">
    <oddHeader>&amp;R&amp;14PRÍLOHA č.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Matejka</dc:creator>
  <cp:keywords/>
  <dc:description/>
  <cp:lastModifiedBy>Matejka</cp:lastModifiedBy>
  <cp:lastPrinted>2006-03-16T13:07:00Z</cp:lastPrinted>
  <dcterms:created xsi:type="dcterms:W3CDTF">2006-03-15T16:19:59Z</dcterms:created>
  <dcterms:modified xsi:type="dcterms:W3CDTF">2006-03-27T14:14:02Z</dcterms:modified>
  <cp:category/>
  <cp:version/>
  <cp:contentType/>
  <cp:contentStatus/>
</cp:coreProperties>
</file>