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duracka\Desktop\MOJE DOKUMENTY\Zákon OO 79-2015\PLAN OBNOVY\MPK\"/>
    </mc:Choice>
  </mc:AlternateContent>
  <bookViews>
    <workbookView xWindow="0" yWindow="0" windowWidth="28800" windowHeight="12300"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r:id="rId6"/>
    <sheet name="Krok 2- Tabuľky na skopírov_1" sheetId="13" state="hidden" r:id="rId7"/>
  </sheets>
  <externalReferences>
    <externalReference r:id="rId8"/>
    <externalReference r:id="rId9"/>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B27" i="15" l="1"/>
  <c r="U9" i="10"/>
  <c r="L9" i="10"/>
  <c r="L12" i="10"/>
  <c r="J9" i="10" l="1"/>
  <c r="AG12" i="10"/>
  <c r="AI12" i="10"/>
  <c r="AG15" i="10"/>
  <c r="AI15" i="10"/>
  <c r="AJ15" i="10"/>
  <c r="AG18" i="10"/>
  <c r="AI18" i="10"/>
  <c r="AJ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G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R48" i="10" l="1"/>
  <c r="L48" i="10"/>
  <c r="J48" i="10"/>
  <c r="R45" i="10"/>
  <c r="L45" i="10"/>
  <c r="J45" i="10"/>
  <c r="R42" i="10"/>
  <c r="L42" i="10"/>
  <c r="J42" i="10"/>
  <c r="R39" i="10"/>
  <c r="L39" i="10"/>
  <c r="R36" i="10"/>
  <c r="L36" i="10"/>
  <c r="R33" i="10"/>
  <c r="L33" i="10"/>
  <c r="R30" i="10"/>
  <c r="L30" i="10"/>
  <c r="J30" i="10"/>
  <c r="R27" i="10"/>
  <c r="L27" i="10"/>
  <c r="R24" i="10"/>
  <c r="L24" i="10"/>
  <c r="R21" i="10"/>
  <c r="R18" i="10"/>
  <c r="L18" i="10"/>
  <c r="J18" i="10"/>
  <c r="R15" i="10"/>
  <c r="L15" i="10"/>
  <c r="J15" i="10"/>
  <c r="R12" i="10"/>
  <c r="J12" i="10"/>
  <c r="R9"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AF12" i="10" s="1"/>
  <c r="Z9" i="10"/>
  <c r="AH9" i="10" s="1"/>
  <c r="X9" i="10"/>
  <c r="AF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4"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Z9" i="10" l="1"/>
  <c r="BA9" i="10" s="1"/>
  <c r="AJ9" i="10"/>
  <c r="AR9" i="10"/>
  <c r="BH9" i="10" s="1"/>
  <c r="AC9" i="10"/>
  <c r="AK9" i="10" s="1"/>
  <c r="U12" i="10"/>
  <c r="AD12" i="10" s="1"/>
  <c r="AL12"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L18" i="10" s="1"/>
  <c r="AD15" i="10"/>
  <c r="AL15" i="10" s="1"/>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AC150" i="10"/>
  <c r="AS150" i="10" s="1"/>
  <c r="CC150" i="10"/>
  <c r="AC39" i="10"/>
  <c r="AS39" i="10" s="1"/>
  <c r="CC39" i="10"/>
  <c r="J36" i="15" s="1"/>
  <c r="AC60" i="10"/>
  <c r="AS60" i="10" s="1"/>
  <c r="CC60" i="10"/>
  <c r="CC147" i="10"/>
  <c r="AC147" i="10"/>
  <c r="AS147" i="10" s="1"/>
  <c r="CC90" i="10"/>
  <c r="AC90" i="10"/>
  <c r="AS90" i="10" s="1"/>
  <c r="AC129" i="10"/>
  <c r="AS129" i="10" s="1"/>
  <c r="CC129" i="10"/>
  <c r="CC75" i="10"/>
  <c r="AC75" i="10"/>
  <c r="AS75" i="10" s="1"/>
  <c r="AC96" i="10"/>
  <c r="AS96" i="10" s="1"/>
  <c r="CC96" i="10"/>
  <c r="AC123" i="10"/>
  <c r="AS123" i="10" s="1"/>
  <c r="CC123" i="10"/>
  <c r="CC69" i="10"/>
  <c r="AC69" i="10"/>
  <c r="AS69" i="10" s="1"/>
  <c r="AC114" i="10"/>
  <c r="AS114" i="10" s="1"/>
  <c r="CC114" i="10"/>
  <c r="AC102" i="10"/>
  <c r="AS102" i="10" s="1"/>
  <c r="CC102" i="10"/>
  <c r="CC117" i="10"/>
  <c r="AC117" i="10"/>
  <c r="AS117" i="10" s="1"/>
  <c r="AC87" i="10"/>
  <c r="AS87" i="10" s="1"/>
  <c r="CC87" i="10"/>
  <c r="AC108" i="10"/>
  <c r="AS108" i="10" s="1"/>
  <c r="CC108" i="10"/>
  <c r="AC12" i="10"/>
  <c r="AK12" i="10" s="1"/>
  <c r="CC81" i="10"/>
  <c r="AC81" i="10"/>
  <c r="AS81" i="10" s="1"/>
  <c r="AC33" i="10"/>
  <c r="AS33" i="10" s="1"/>
  <c r="CC33" i="10"/>
  <c r="J34" i="15" s="1"/>
  <c r="AC42" i="10"/>
  <c r="AS42" i="10" s="1"/>
  <c r="CC42" i="10"/>
  <c r="J37" i="15" s="1"/>
  <c r="AC156" i="10"/>
  <c r="AS156" i="10" s="1"/>
  <c r="CC156" i="10"/>
  <c r="AC48" i="10"/>
  <c r="AS48" i="10" s="1"/>
  <c r="CC48" i="10"/>
  <c r="J39" i="15" s="1"/>
  <c r="AC153" i="10"/>
  <c r="AS153" i="10" s="1"/>
  <c r="CC153" i="10"/>
  <c r="AC21" i="10"/>
  <c r="CC21" i="10"/>
  <c r="J30" i="15" s="1"/>
  <c r="AC78" i="10"/>
  <c r="AS78" i="10" s="1"/>
  <c r="CC78" i="10"/>
  <c r="AC30" i="10"/>
  <c r="CC138" i="10"/>
  <c r="AC138" i="10"/>
  <c r="AS138" i="10" s="1"/>
  <c r="AC111" i="10"/>
  <c r="AS111" i="10" s="1"/>
  <c r="CC111" i="10"/>
  <c r="AC63" i="10"/>
  <c r="AS63" i="10" s="1"/>
  <c r="CC63" i="10"/>
  <c r="AC15" i="10"/>
  <c r="CC15" i="10"/>
  <c r="J28" i="15" s="1"/>
  <c r="AC84" i="10"/>
  <c r="AS84" i="10" s="1"/>
  <c r="CC84" i="10"/>
  <c r="AC36" i="10"/>
  <c r="CC36" i="10"/>
  <c r="J35" i="15" s="1"/>
  <c r="AC135" i="10"/>
  <c r="AS135" i="10" s="1"/>
  <c r="CC135" i="10"/>
  <c r="CC105" i="10"/>
  <c r="AC105" i="10"/>
  <c r="AS105" i="10" s="1"/>
  <c r="CC57" i="10"/>
  <c r="AC57" i="10"/>
  <c r="AS57" i="10" s="1"/>
  <c r="CC66" i="10"/>
  <c r="AC66" i="10"/>
  <c r="AS66" i="10" s="1"/>
  <c r="AC18" i="10"/>
  <c r="AK18" i="10" s="1"/>
  <c r="CC18" i="10"/>
  <c r="J29" i="15" s="1"/>
  <c r="AC144" i="10"/>
  <c r="AS144" i="10" s="1"/>
  <c r="CC144" i="10"/>
  <c r="AC99" i="10"/>
  <c r="AS99" i="10" s="1"/>
  <c r="CC99" i="10"/>
  <c r="CC51" i="10"/>
  <c r="AC51" i="10"/>
  <c r="AS51" i="10" s="1"/>
  <c r="AC126" i="10"/>
  <c r="AS126" i="10" s="1"/>
  <c r="CC126" i="10"/>
  <c r="AC72" i="10"/>
  <c r="AS72" i="10" s="1"/>
  <c r="CC72" i="10"/>
  <c r="AC24" i="10"/>
  <c r="CC24" i="10"/>
  <c r="J31" i="15" s="1"/>
  <c r="AC141" i="10"/>
  <c r="AS141" i="10" s="1"/>
  <c r="CC141" i="10"/>
  <c r="AC93" i="10"/>
  <c r="AS93" i="10" s="1"/>
  <c r="CC93" i="10"/>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M59" i="13"/>
  <c r="CD150" i="10"/>
  <c r="M57" i="13"/>
  <c r="CD126" i="10"/>
  <c r="CD156" i="10"/>
  <c r="CD144" i="10"/>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CD123" i="10"/>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CD147" i="10"/>
  <c r="CD153" i="10"/>
  <c r="CD39" i="10"/>
  <c r="K36" i="15" s="1"/>
  <c r="CD111" i="10"/>
  <c r="CD75" i="10"/>
  <c r="CD135" i="10"/>
  <c r="CD66" i="10"/>
  <c r="CD87" i="10"/>
  <c r="CD45" i="10"/>
  <c r="K38" i="15" s="1"/>
  <c r="CD78" i="10"/>
  <c r="CD120" i="10"/>
  <c r="CD36" i="10"/>
  <c r="K35" i="15" s="1"/>
  <c r="CD72" i="10"/>
  <c r="CD129" i="10"/>
  <c r="CD63" i="10"/>
  <c r="CD54" i="10"/>
  <c r="CD93" i="10"/>
  <c r="CD132" i="10"/>
  <c r="CD105" i="10"/>
  <c r="CD108" i="10"/>
  <c r="CD84" i="10"/>
  <c r="CD99" i="10"/>
  <c r="CD90" i="10"/>
  <c r="CD141" i="10"/>
  <c r="CD81" i="10"/>
  <c r="CD60" i="10"/>
  <c r="CD51" i="10"/>
  <c r="CD42" i="10"/>
  <c r="K37" i="15" s="1"/>
  <c r="CD114" i="10"/>
  <c r="CD33" i="10"/>
  <c r="K34" i="15" s="1"/>
  <c r="CD18" i="10"/>
  <c r="K29" i="15" s="1"/>
  <c r="CD48" i="10"/>
  <c r="K39" i="15" s="1"/>
  <c r="CD24" i="10"/>
  <c r="K31" i="15" s="1"/>
  <c r="CD57" i="10"/>
  <c r="CD102" i="10"/>
  <c r="CD96" i="10"/>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BJ9" i="10" s="1"/>
  <c r="AL9" i="10"/>
  <c r="BK9" i="10"/>
  <c r="CC9" i="10"/>
  <c r="J26" i="15" s="1"/>
  <c r="AE9" i="10"/>
  <c r="AM9" i="10" s="1"/>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<sst xmlns="http://schemas.openxmlformats.org/spreadsheetml/2006/main" count="740" uniqueCount="229">
  <si>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</si>
  <si>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</si>
  <si>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</si>
  <si>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</si>
  <si>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</si>
  <si>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</si>
  <si>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</si>
  <si>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</si>
  <si>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</si>
  <si>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</si>
  <si>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</si>
  <si>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</si>
  <si>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</si>
  <si>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</si>
  <si>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</si>
  <si>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</si>
  <si>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</si>
  <si>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</si>
  <si>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</si>
  <si>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</si>
  <si>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</si>
  <si>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</si>
  <si>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</si>
  <si>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</si>
  <si>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</si>
  <si>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</si>
  <si>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</si>
  <si>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</si>
  <si>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</si>
  <si>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</si>
  <si>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</si>
  <si>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</si>
  <si>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</si>
  <si>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</si>
  <si>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</si>
  <si>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</si>
  <si>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</si>
  <si>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</si>
  <si>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</si>
  <si>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</si>
  <si>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</si>
  <si>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</si>
  <si>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</si>
  <si>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</si>
  <si>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</si>
  <si>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</si>
  <si>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</si>
  <si>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</si>
  <si>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</si>
  <si>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</si>
  <si>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</si>
  <si>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</si>
  <si>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</si>
  <si>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</si>
  <si>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</si>
  <si>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</si>
  <si>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</si>
  <si>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</si>
  <si>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</si>
  <si>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</si>
  <si>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</si>
  <si>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</si>
  <si>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</si>
  <si>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</si>
  <si>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</si>
  <si>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</si>
  <si>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</si>
  <si>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</si>
  <si>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</si>
  <si>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</si>
  <si>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</si>
  <si>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</si>
  <si>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</si>
  <si>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</si>
  <si>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</si>
  <si>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</si>
  <si>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</si>
  <si>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</si>
  <si>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</si>
  <si>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</si>
  <si>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</si>
  <si>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</si>
  <si>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</si>
  <si>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</si>
  <si>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</si>
  <si>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</si>
  <si>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</si>
  <si>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</si>
  <si>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</si>
  <si>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</si>
  <si>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</si>
  <si>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</si>
  <si>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</si>
  <si>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</si>
  <si>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</si>
  <si>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</si>
  <si>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</si>
  <si>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</si>
  <si>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</si>
  <si>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</si>
  <si>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</si>
  <si>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</si>
  <si>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</si>
  <si>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</si>
  <si>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</si>
  <si>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</si>
  <si>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</si>
  <si>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</si>
  <si>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</si>
  <si>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</si>
  <si>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</si>
  <si>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</si>
  <si>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</si>
  <si>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</si>
  <si>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</si>
  <si>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</si>
  <si>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</si>
  <si>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</si>
  <si>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</si>
  <si>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</si>
  <si>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</si>
  <si>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</si>
  <si>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</si>
  <si>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</si>
  <si>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</si>
  <si>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</si>
  <si>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</si>
  <si>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</si>
  <si>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</si>
  <si>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</si>
  <si>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</si>
  <si>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</si>
  <si>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</si>
  <si>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</si>
  <si>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</si>
  <si>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</si>
  <si>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</si>
  <si>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</si>
  <si>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</si>
  <si>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</si>
  <si>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</si>
  <si>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</si>
  <si>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</si>
  <si>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</si>
  <si>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</si>
  <si>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</si>
  <si>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</si>
  <si>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</si>
  <si>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</si>
  <si>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</si>
  <si>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</si>
  <si>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</si>
  <si>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</si>
  <si>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</si>
  <si>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</si>
  <si>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</si>
  <si>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</si>
  <si>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</si>
  <si>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</si>
  <si>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</si>
  <si>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</si>
  <si>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</si>
  <si>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</si>
  <si>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</si>
  <si>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</si>
  <si>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</si>
  <si>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</si>
  <si>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</si>
  <si>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</si>
  <si>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</si>
  <si>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</si>
  <si>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</si>
  <si>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</si>
  <si>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</si>
  <si>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1 podnikateľský subjekt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</si>
  <si>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</si>
  <si>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</si>
  <si>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</si>
  <si>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</si>
  <si>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</si>
  <si>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</si>
  <si>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</si>
  <si>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</si>
  <si>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B. Iné poplatky (ročný vplyv na 1 podnikateľský subjekt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</si>
  <si>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</si>
  <si>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</si>
  <si>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</si>
  <si>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</si>
  <si>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</si>
  <si>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</si>
  <si>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</si>
  <si>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</si>
  <si>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</si>
  <si>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</si>
  <si>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</si>
  <si>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</si>
  <si>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</si>
  <si>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</si>
  <si>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</si>
  <si>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</si>
  <si>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</si>
  <si>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</si>
  <si>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</si>
  <si>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</si>
  <si>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</si>
  <si>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</si>
  <si>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</si>
  <si>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</si>
  <si>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</si>
  <si>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</si>
  <si>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</si>
  <si>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</si>
  <si>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</si>
  <si>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N</t>
  </si>
  <si>
    <t>In (zvyšuje náklady)</t>
  </si>
  <si>
    <t>návrh zákona</t>
  </si>
  <si>
    <t>§ 77 ods. 3 písm. e)</t>
  </si>
  <si>
    <t>§ 77 ods. 3 písm. f)</t>
  </si>
  <si>
    <t>§ 77 ods. 3 písm. a)</t>
  </si>
  <si>
    <t>§ 77 ods. 3 písm. c)</t>
  </si>
  <si>
    <t>Out (znižuje náklady)</t>
  </si>
  <si>
    <t>c) stavebné odpady a odpady z demolácií prednostne materiálovo zhodnotiť a výstup z recyklácie realizovaný priamo na stavbe prednostne využiť pri svojej činnosti, ak je to technické, ekonomické a organizačné podmienky dovoľujú</t>
  </si>
  <si>
    <t>príloha č. 8b</t>
  </si>
  <si>
    <t xml:space="preserve">a) zabezpečiť zhodnotenie a recykláciu stavebného odpadu a odpadu z demolácie vrátane zasypávacích prác ako náhrady za iné materiály </t>
  </si>
  <si>
    <t xml:space="preserve">e) pred realizáciou demolačných prác najneskôr tri dni vopred  písomne ohlásiť orgánu štátnej správy odpadového hospodárstva, v ktorého územnom obvode bude búracie práce </t>
  </si>
  <si>
    <t>f) po ukončení demolačných prác, najneskôr do tridsiatich dni, písomne ohlásiť orgánu štátnej správy odpadového hospodárstva, ktorému bolo ohlásené začatie búracích prác, vyhodnotenie selektívnej demolácie obsahujúcom druh, kategóriu, množstvo odpadu a spôsob ktorým bol odpad zhodnocovaný alebo zneškodňovaný,</t>
  </si>
  <si>
    <t>legislatívnou zmenou sa upravujú právne podmienky pre používanie nekontaminovaných výkopových zemín ako vedľajšieho produktu za dodržania súbežne aj podmienok ustanovených vo vykonávacom predpise</t>
  </si>
  <si>
    <t>legislatívnou zmenou sa upravujú právne podmienky pre používanie vyfrézovanej asfaltovej zmesi ako vedľajšieho produktu za dodržania súbežne aj podmienok ustanovených vo vykonávacom predpise</t>
  </si>
  <si>
    <t>Investori a stavebné spoločnosti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</si>
</sst>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 (2)"/>
      <sheetName val="Vysvetlivky ku kroku 1"/>
      <sheetName val="Dotknuté subjekty"/>
      <sheetName val="vstupy"/>
      <sheetName val="Krok 2- Tabuľky na skopírovanie"/>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stupy"/>
      <sheetName val="Krok 2- Tabuľky na skopírov_1"/>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90" zoomScaleNormal="90" workbookViewId="0">
      <pane xSplit="2" ySplit="8" topLeftCell="C9" activePane="bottomRight" state="frozen"/>
      <selection pane="topRight" activeCell="C1" sqref="C1"/>
      <selection pane="bottomLeft" activeCell="A8" sqref="A8"/>
      <selection pane="bottomRight" activeCell="K27" sqref="K27:K29"/>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9.28515625" style="4" hidden="1" customWidth="1"/>
    <col min="19" max="19" width="13.140625" style="14" customWidth="1"/>
    <col min="20" max="20" width="24.140625" style="15" customWidth="1"/>
    <col min="21" max="21" width="7.7109375" style="4" customWidth="1"/>
    <col min="22" max="22" width="10.28515625" style="4" bestFit="1" customWidth="1"/>
    <col min="23" max="23" width="7.42578125" style="162" hidden="1" customWidth="1"/>
    <col min="24" max="25" width="10.5703125" style="162" hidden="1" customWidth="1"/>
    <col min="26" max="26" width="10.140625" style="162" hidden="1" customWidth="1"/>
    <col min="27" max="27" width="8.42578125" style="162" hidden="1" customWidth="1"/>
    <col min="28" max="28" width="10.140625" style="162" hidden="1" customWidth="1"/>
    <col min="29" max="29" width="8.42578125" style="162" hidden="1" customWidth="1"/>
    <col min="30" max="30" width="10.140625" style="162" hidden="1" customWidth="1"/>
    <col min="31" max="31" width="8.85546875" style="162" hidden="1" customWidth="1"/>
    <col min="32" max="32" width="10.140625" style="162" hidden="1" customWidth="1"/>
    <col min="33" max="33" width="8.42578125" style="162" hidden="1" customWidth="1"/>
    <col min="34" max="34" width="10.140625" style="162" hidden="1" customWidth="1"/>
    <col min="35" max="35" width="8.42578125" style="162" hidden="1" customWidth="1"/>
    <col min="36" max="36" width="10.140625" style="162" hidden="1" customWidth="1"/>
    <col min="37" max="37" width="8.42578125" style="162" hidden="1" customWidth="1"/>
    <col min="38" max="38" width="10.140625" style="162" hidden="1" customWidth="1"/>
    <col min="39" max="39" width="8.85546875" style="162" hidden="1" customWidth="1"/>
    <col min="40" max="40" width="10.140625" style="162" hidden="1" customWidth="1"/>
    <col min="41" max="41" width="8.42578125" style="162" hidden="1" customWidth="1"/>
    <col min="42" max="42" width="10.140625" style="162" hidden="1" customWidth="1"/>
    <col min="43" max="43" width="20.42578125" style="162" hidden="1" customWidth="1"/>
    <col min="44" max="44" width="33.85546875" style="162" hidden="1" customWidth="1"/>
    <col min="45" max="45" width="8.42578125" style="162" hidden="1" customWidth="1"/>
    <col min="46" max="46" width="10.140625" style="162" hidden="1" customWidth="1"/>
    <col min="47" max="47" width="8.85546875" style="162" hidden="1" customWidth="1"/>
    <col min="48" max="48" width="10.140625" style="162" hidden="1" customWidth="1"/>
    <col min="49" max="49" width="7.28515625" style="162" hidden="1" customWidth="1"/>
    <col min="50" max="50" width="10.140625" style="162" hidden="1" customWidth="1"/>
    <col min="51" max="51" width="8.42578125" style="162" hidden="1" customWidth="1"/>
    <col min="52" max="52" width="10.140625" style="162" hidden="1" customWidth="1"/>
    <col min="53" max="53" width="8.42578125" style="162" hidden="1" customWidth="1"/>
    <col min="54" max="54" width="10.140625" style="162" hidden="1" customWidth="1"/>
    <col min="55" max="55" width="8.85546875" style="162" hidden="1" customWidth="1"/>
    <col min="56" max="56" width="10.140625" style="162" hidden="1" customWidth="1"/>
    <col min="57" max="57" width="6.5703125" style="162" hidden="1" customWidth="1"/>
    <col min="58" max="58" width="10.140625" style="162" hidden="1" customWidth="1"/>
    <col min="59" max="59" width="8.42578125" style="162" hidden="1" customWidth="1"/>
    <col min="60" max="60" width="10.140625" style="162" hidden="1" customWidth="1"/>
    <col min="61" max="61" width="8.42578125" style="162" hidden="1" customWidth="1"/>
    <col min="62" max="62" width="10.140625" style="162" hidden="1" customWidth="1"/>
    <col min="63" max="63" width="8.85546875" style="162" hidden="1" customWidth="1"/>
    <col min="64" max="64" width="9.7109375" style="163" hidden="1" customWidth="1"/>
    <col min="65" max="65" width="10.140625" style="162" hidden="1" customWidth="1"/>
    <col min="66" max="66" width="8.42578125" style="162" hidden="1" customWidth="1"/>
    <col min="67" max="67" width="10.140625" style="162" hidden="1" customWidth="1"/>
    <col min="68" max="68" width="22.85546875" style="162" hidden="1" customWidth="1"/>
    <col min="69" max="69" width="10.140625" style="162" hidden="1" customWidth="1"/>
    <col min="70" max="70" width="8.42578125" style="162" hidden="1" customWidth="1"/>
    <col min="71" max="71" width="10.140625" style="162" hidden="1" customWidth="1"/>
    <col min="72" max="72" width="8.85546875" style="162" hidden="1" customWidth="1"/>
    <col min="73" max="73" width="10.140625" style="162" hidden="1" customWidth="1"/>
    <col min="74" max="74" width="8.42578125" style="162" hidden="1" customWidth="1"/>
    <col min="75" max="75" width="10.140625" style="162" hidden="1" customWidth="1"/>
    <col min="76" max="76" width="22.85546875" style="162" hidden="1" customWidth="1"/>
    <col min="77" max="77" width="10.140625" style="162" hidden="1" customWidth="1"/>
    <col min="78" max="78" width="8.42578125" style="162" hidden="1" customWidth="1"/>
    <col min="79" max="79" width="10.140625" style="162" hidden="1" customWidth="1"/>
    <col min="80" max="80" width="8.85546875" style="162" hidden="1" customWidth="1"/>
    <col min="81" max="81" width="9.5703125" style="162" hidden="1" customWidth="1"/>
    <col min="82" max="82" width="10.2851562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199</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189</v>
      </c>
      <c r="D6" s="322"/>
      <c r="E6" s="323"/>
      <c r="F6" s="323"/>
      <c r="G6" s="138">
        <v>1531.8</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200</v>
      </c>
      <c r="AO6" s="341"/>
      <c r="AP6" s="341"/>
      <c r="AQ6" s="341"/>
      <c r="AR6" s="341"/>
      <c r="AS6" s="341"/>
      <c r="AT6" s="341"/>
      <c r="AU6" s="342"/>
      <c r="AV6" s="345" t="s">
        <v>86</v>
      </c>
      <c r="AW6" s="346"/>
      <c r="AX6" s="346"/>
      <c r="AY6" s="346"/>
      <c r="AZ6" s="346"/>
      <c r="BA6" s="346"/>
      <c r="BB6" s="346"/>
      <c r="BC6" s="347"/>
      <c r="BD6" s="345" t="s">
        <v>201</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176</v>
      </c>
      <c r="D7" s="271" t="s">
        <v>158</v>
      </c>
      <c r="E7" s="271" t="s">
        <v>140</v>
      </c>
      <c r="F7" s="271" t="s">
        <v>141</v>
      </c>
      <c r="G7" s="271" t="s">
        <v>159</v>
      </c>
      <c r="H7" s="271" t="s">
        <v>102</v>
      </c>
      <c r="I7" s="271" t="s">
        <v>197</v>
      </c>
      <c r="J7" s="158" t="s">
        <v>129</v>
      </c>
      <c r="K7" s="271" t="s">
        <v>198</v>
      </c>
      <c r="L7" s="158" t="s">
        <v>177</v>
      </c>
      <c r="M7" s="271" t="s">
        <v>206</v>
      </c>
      <c r="N7" s="271" t="s">
        <v>139</v>
      </c>
      <c r="O7" s="271"/>
      <c r="P7" s="293" t="s">
        <v>190</v>
      </c>
      <c r="Q7" s="293"/>
      <c r="R7" s="216"/>
      <c r="S7" s="293" t="s">
        <v>191</v>
      </c>
      <c r="T7" s="293"/>
      <c r="U7" s="293"/>
      <c r="V7" s="293"/>
      <c r="W7" s="294" t="s">
        <v>209</v>
      </c>
      <c r="X7" s="319" t="s">
        <v>207</v>
      </c>
      <c r="Y7" s="299"/>
      <c r="Z7" s="298" t="s">
        <v>208</v>
      </c>
      <c r="AA7" s="299"/>
      <c r="AB7" s="289" t="s">
        <v>111</v>
      </c>
      <c r="AC7" s="288"/>
      <c r="AD7" s="296" t="s">
        <v>110</v>
      </c>
      <c r="AE7" s="297"/>
      <c r="AF7" s="287" t="s">
        <v>207</v>
      </c>
      <c r="AG7" s="288"/>
      <c r="AH7" s="288" t="s">
        <v>208</v>
      </c>
      <c r="AI7" s="288"/>
      <c r="AJ7" s="289" t="s">
        <v>138</v>
      </c>
      <c r="AK7" s="288"/>
      <c r="AL7" s="332" t="s">
        <v>137</v>
      </c>
      <c r="AM7" s="333"/>
      <c r="AN7" s="308" t="s">
        <v>207</v>
      </c>
      <c r="AO7" s="309"/>
      <c r="AP7" s="309" t="s">
        <v>208</v>
      </c>
      <c r="AQ7" s="309"/>
      <c r="AR7" s="310" t="s">
        <v>138</v>
      </c>
      <c r="AS7" s="310"/>
      <c r="AT7" s="343" t="s">
        <v>137</v>
      </c>
      <c r="AU7" s="344"/>
      <c r="AV7" s="287" t="s">
        <v>207</v>
      </c>
      <c r="AW7" s="288"/>
      <c r="AX7" s="288" t="s">
        <v>208</v>
      </c>
      <c r="AY7" s="288"/>
      <c r="AZ7" s="289" t="s">
        <v>138</v>
      </c>
      <c r="BA7" s="288"/>
      <c r="BB7" s="332" t="s">
        <v>137</v>
      </c>
      <c r="BC7" s="333"/>
      <c r="BD7" s="287" t="s">
        <v>207</v>
      </c>
      <c r="BE7" s="288"/>
      <c r="BF7" s="288" t="s">
        <v>208</v>
      </c>
      <c r="BG7" s="288"/>
      <c r="BH7" s="289" t="s">
        <v>138</v>
      </c>
      <c r="BI7" s="288"/>
      <c r="BJ7" s="332" t="s">
        <v>137</v>
      </c>
      <c r="BK7" s="333"/>
      <c r="BL7" s="330" t="s">
        <v>136</v>
      </c>
      <c r="BM7" s="287" t="s">
        <v>207</v>
      </c>
      <c r="BN7" s="288"/>
      <c r="BO7" s="288" t="s">
        <v>208</v>
      </c>
      <c r="BP7" s="288"/>
      <c r="BQ7" s="289" t="s">
        <v>138</v>
      </c>
      <c r="BR7" s="288"/>
      <c r="BS7" s="332" t="s">
        <v>137</v>
      </c>
      <c r="BT7" s="297"/>
      <c r="BU7" s="287" t="s">
        <v>207</v>
      </c>
      <c r="BV7" s="288"/>
      <c r="BW7" s="288" t="s">
        <v>208</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187</v>
      </c>
      <c r="K8" s="271"/>
      <c r="L8" s="159" t="s">
        <v>187</v>
      </c>
      <c r="M8" s="271"/>
      <c r="N8" s="215" t="s">
        <v>192</v>
      </c>
      <c r="O8" s="215" t="s">
        <v>193</v>
      </c>
      <c r="P8" s="154" t="s">
        <v>103</v>
      </c>
      <c r="Q8" s="154" t="s">
        <v>13</v>
      </c>
      <c r="R8" s="154" t="s">
        <v>13</v>
      </c>
      <c r="S8" s="216" t="s">
        <v>194</v>
      </c>
      <c r="T8" s="293" t="s">
        <v>195</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223</v>
      </c>
      <c r="D9" s="269" t="s">
        <v>215</v>
      </c>
      <c r="E9" s="269" t="s">
        <v>218</v>
      </c>
      <c r="F9" s="269" t="s">
        <v>184</v>
      </c>
      <c r="G9" s="284">
        <v>44743</v>
      </c>
      <c r="H9" s="269" t="s">
        <v>228</v>
      </c>
      <c r="I9" s="324">
        <v>1000</v>
      </c>
      <c r="J9" s="321">
        <f t="shared" ref="J9" si="0">IF(I9="N",0,I9)</f>
        <v>1000</v>
      </c>
      <c r="K9" s="272" t="s">
        <v>213</v>
      </c>
      <c r="L9" s="273">
        <f t="shared" ref="L9:L12" si="1">IF(K9="N",0,K9)</f>
        <v>0</v>
      </c>
      <c r="M9" s="269" t="s">
        <v>220</v>
      </c>
      <c r="N9" s="283"/>
      <c r="O9" s="320">
        <v>5734148</v>
      </c>
      <c r="P9" s="283"/>
      <c r="Q9" s="286" t="s">
        <v>50</v>
      </c>
      <c r="R9" s="300">
        <f>VLOOKUP(Q9,[1]vstupy!$B$17:$C$27,2,FALSE)</f>
        <v>0</v>
      </c>
      <c r="S9" s="283"/>
      <c r="T9" s="153" t="s">
        <v>51</v>
      </c>
      <c r="U9" s="218">
        <f>IFERROR(VLOOKUP(T9,vstupy!$B$2:$C$13,2,FALSE),0)</f>
        <v>0</v>
      </c>
      <c r="V9" s="286" t="s">
        <v>50</v>
      </c>
      <c r="W9" s="279">
        <f>VLOOKUP(V9,vstupy!$B$17:$C$27,2,FALSE)</f>
        <v>0</v>
      </c>
      <c r="X9" s="281">
        <f>IFERROR(IF(J9=0,"N",N9/I9),0)</f>
        <v>0</v>
      </c>
      <c r="Y9" s="276">
        <f>N9</f>
        <v>0</v>
      </c>
      <c r="Z9" s="276">
        <f>IFERROR(IF(J9=0,"N",O9/I9),0)</f>
        <v>5734.1480000000001</v>
      </c>
      <c r="AA9" s="276">
        <f>O9</f>
        <v>5734148</v>
      </c>
      <c r="AB9" s="276">
        <f>P9*R9</f>
        <v>0</v>
      </c>
      <c r="AC9" s="276">
        <f t="shared" ref="AC9" si="2">IFERROR(AB9*J9,0)</f>
        <v>0</v>
      </c>
      <c r="AD9" s="276">
        <f>IF(S9&gt;0,IF(W9&gt;0,($G$6/160)*(S9/60)*W9,0),IF(W9&gt;0,($G$6/160)*((U9+U10+U11)/60)*W9,0))</f>
        <v>0</v>
      </c>
      <c r="AE9" s="274">
        <f t="shared" ref="AE9" si="3">IFERROR(AD9*J9,0)</f>
        <v>0</v>
      </c>
      <c r="AF9" s="290">
        <f t="shared" ref="AF9:AM9" si="4">IF($M9="In (zvyšuje náklady)",X9,0)</f>
        <v>0</v>
      </c>
      <c r="AG9" s="302">
        <f t="shared" si="4"/>
        <v>0</v>
      </c>
      <c r="AH9" s="302">
        <f t="shared" si="4"/>
        <v>0</v>
      </c>
      <c r="AI9" s="302">
        <f t="shared" si="4"/>
        <v>0</v>
      </c>
      <c r="AJ9" s="302">
        <f t="shared" si="4"/>
        <v>0</v>
      </c>
      <c r="AK9" s="302">
        <f t="shared" si="4"/>
        <v>0</v>
      </c>
      <c r="AL9" s="302">
        <f t="shared" si="4"/>
        <v>0</v>
      </c>
      <c r="AM9" s="334">
        <f t="shared" si="4"/>
        <v>0</v>
      </c>
      <c r="AN9" s="311">
        <f>IF($M9="In (zvyšuje náklady)",0,X9)</f>
        <v>0</v>
      </c>
      <c r="AO9" s="306">
        <f t="shared" ref="AO9:AT9" si="5">IF($M9="In (zvyšuje náklady)",0,Y9)</f>
        <v>0</v>
      </c>
      <c r="AP9" s="306">
        <f t="shared" si="5"/>
        <v>5734.1480000000001</v>
      </c>
      <c r="AQ9" s="306">
        <f t="shared" si="5"/>
        <v>5734148</v>
      </c>
      <c r="AR9" s="306">
        <f t="shared" si="5"/>
        <v>0</v>
      </c>
      <c r="AS9" s="306">
        <f t="shared" si="5"/>
        <v>0</v>
      </c>
      <c r="AT9" s="306">
        <f t="shared" si="5"/>
        <v>0</v>
      </c>
      <c r="AU9" s="335">
        <f>IF($M9="In (zvyšuje náklady)",0,AE9)</f>
        <v>0</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f>IF(F9=vstupy!F$6,"1",0)</f>
        <v>0</v>
      </c>
      <c r="BM9" s="290">
        <f>IF($BL9="1",AF9,0)</f>
        <v>0</v>
      </c>
      <c r="BN9" s="302">
        <f t="shared" ref="BN9:BT9" si="6">IF($BL9="1",AG9,0)</f>
        <v>0</v>
      </c>
      <c r="BO9" s="302">
        <f t="shared" si="6"/>
        <v>0</v>
      </c>
      <c r="BP9" s="302">
        <f t="shared" si="6"/>
        <v>0</v>
      </c>
      <c r="BQ9" s="302">
        <f t="shared" si="6"/>
        <v>0</v>
      </c>
      <c r="BR9" s="302">
        <f t="shared" si="6"/>
        <v>0</v>
      </c>
      <c r="BS9" s="302">
        <f t="shared" si="6"/>
        <v>0</v>
      </c>
      <c r="BT9" s="334">
        <f t="shared" si="6"/>
        <v>0</v>
      </c>
      <c r="BU9" s="290">
        <f>IF($BL9="1",AN9,0)</f>
        <v>0</v>
      </c>
      <c r="BV9" s="311">
        <f t="shared" ref="BV9:CB9" si="7">IF($BL9="1",AO9,0)</f>
        <v>0</v>
      </c>
      <c r="BW9" s="311">
        <f t="shared" si="7"/>
        <v>0</v>
      </c>
      <c r="BX9" s="311">
        <f t="shared" si="7"/>
        <v>0</v>
      </c>
      <c r="BY9" s="311">
        <f t="shared" si="7"/>
        <v>0</v>
      </c>
      <c r="BZ9" s="311">
        <f t="shared" si="7"/>
        <v>0</v>
      </c>
      <c r="CA9" s="311">
        <f t="shared" si="7"/>
        <v>0</v>
      </c>
      <c r="CB9" s="348">
        <f t="shared" si="7"/>
        <v>0</v>
      </c>
      <c r="CC9" s="318">
        <f>IFERROR(IF($X9="N/A",Z9+AB9+AD9,X9+Z9+AB9+AD9),0)</f>
        <v>5734.1480000000001</v>
      </c>
      <c r="CD9" s="327">
        <f>Y9+AA9+AC9+AE9</f>
        <v>5734148</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t="s">
        <v>221</v>
      </c>
      <c r="D12" s="269" t="s">
        <v>215</v>
      </c>
      <c r="E12" s="269" t="s">
        <v>219</v>
      </c>
      <c r="F12" s="269" t="s">
        <v>184</v>
      </c>
      <c r="G12" s="284">
        <v>44743</v>
      </c>
      <c r="H12" s="269" t="s">
        <v>228</v>
      </c>
      <c r="I12" s="272">
        <v>1000</v>
      </c>
      <c r="J12" s="321">
        <f t="shared" ref="J12" si="8">IF(I12="N",0,I12)</f>
        <v>1000</v>
      </c>
      <c r="K12" s="272" t="s">
        <v>213</v>
      </c>
      <c r="L12" s="273">
        <f t="shared" si="1"/>
        <v>0</v>
      </c>
      <c r="M12" s="269" t="s">
        <v>220</v>
      </c>
      <c r="N12" s="283"/>
      <c r="O12" s="283">
        <v>5734148</v>
      </c>
      <c r="P12" s="283"/>
      <c r="Q12" s="286" t="s">
        <v>50</v>
      </c>
      <c r="R12" s="300">
        <f>VLOOKUP(Q12,[1]vstupy!$B$17:$C$27,2,FALSE)</f>
        <v>0</v>
      </c>
      <c r="S12" s="283"/>
      <c r="T12" s="153" t="s">
        <v>51</v>
      </c>
      <c r="U12" s="218">
        <f>IFERROR(VLOOKUP(T12,vstupy!$B$2:$C$12,2,FALSE),0)</f>
        <v>0</v>
      </c>
      <c r="V12" s="286" t="s">
        <v>50</v>
      </c>
      <c r="W12" s="279">
        <f>VLOOKUP(V12,vstupy!$B$17:$C$27,2,FALSE)</f>
        <v>0</v>
      </c>
      <c r="X12" s="281">
        <f t="shared" ref="X12" si="9">IFERROR(IF(J12=0,"N",N12/I12),0)</f>
        <v>0</v>
      </c>
      <c r="Y12" s="276">
        <f t="shared" ref="Y12:Y24" si="10">N12</f>
        <v>0</v>
      </c>
      <c r="Z12" s="276">
        <f t="shared" ref="Z12" si="11">IFERROR(IF(J12=0,"N",O12/I12),0)</f>
        <v>5734.1480000000001</v>
      </c>
      <c r="AA12" s="276">
        <f t="shared" ref="AA12" si="12">O12</f>
        <v>5734148</v>
      </c>
      <c r="AB12" s="276">
        <f t="shared" ref="AB12" si="13">P12*R12</f>
        <v>0</v>
      </c>
      <c r="AC12" s="276">
        <f t="shared" ref="AC12" si="14">IFERROR(AB12*J12,0)</f>
        <v>0</v>
      </c>
      <c r="AD12" s="278">
        <f>IF(S12&gt;0,IF(W12&gt;0,($G$6/160)*(S12/60)*W12,0),IF(W12&gt;0,($G$6/160)*((U12+U13+U14)/60)*W12,0))</f>
        <v>0</v>
      </c>
      <c r="AE12" s="274">
        <f t="shared" ref="AE12:AE75" si="15">IFERROR(AD12*J12,0)</f>
        <v>0</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0</v>
      </c>
      <c r="AM12" s="314">
        <f t="shared" si="16"/>
        <v>0</v>
      </c>
      <c r="AN12" s="306">
        <f t="shared" ref="AN12" si="17">IF($M12="In (zvyšuje náklady)",0,X12)</f>
        <v>0</v>
      </c>
      <c r="AO12" s="306">
        <f t="shared" ref="AO12" si="18">IF($M12="In (zvyšuje náklady)",0,Y12)</f>
        <v>0</v>
      </c>
      <c r="AP12" s="306">
        <f t="shared" ref="AP12" si="19">IF($M12="In (zvyšuje náklady)",0,Z12)</f>
        <v>5734.1480000000001</v>
      </c>
      <c r="AQ12" s="306">
        <f t="shared" ref="AQ12" si="20">IF($M12="In (zvyšuje náklady)",0,AA12)</f>
        <v>5734148</v>
      </c>
      <c r="AR12" s="306">
        <f t="shared" ref="AR12" si="21">IF($M12="In (zvyšuje náklady)",0,AB12)</f>
        <v>0</v>
      </c>
      <c r="AS12" s="306">
        <f t="shared" ref="AS12" si="22">IF($M12="In (zvyšuje náklady)",0,AC12)</f>
        <v>0</v>
      </c>
      <c r="AT12" s="306">
        <f t="shared" ref="AT12" si="23">IF($M12="In (zvyšuje náklady)",0,AD12)</f>
        <v>0</v>
      </c>
      <c r="AU12" s="335">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f>IF(F12=vstupy!F$6,"1",0)</f>
        <v>0</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5734.1480000000001</v>
      </c>
      <c r="CD12" s="314">
        <f>Y12+AA12+AC12+AE12</f>
        <v>5734148</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t="s">
        <v>224</v>
      </c>
      <c r="D15" s="269" t="s">
        <v>215</v>
      </c>
      <c r="E15" s="269" t="s">
        <v>216</v>
      </c>
      <c r="F15" s="269" t="s">
        <v>184</v>
      </c>
      <c r="G15" s="284">
        <v>44743</v>
      </c>
      <c r="H15" s="269" t="s">
        <v>228</v>
      </c>
      <c r="I15" s="269">
        <v>1000</v>
      </c>
      <c r="J15" s="273">
        <f t="shared" ref="J15" si="53">IF(I15="N",0,I15)</f>
        <v>1000</v>
      </c>
      <c r="K15" s="269" t="s">
        <v>213</v>
      </c>
      <c r="L15" s="273">
        <f t="shared" ref="L15" si="54">IF(K15="N",0,K15)</f>
        <v>0</v>
      </c>
      <c r="M15" s="269" t="s">
        <v>214</v>
      </c>
      <c r="N15" s="283"/>
      <c r="O15" s="283"/>
      <c r="P15" s="301"/>
      <c r="Q15" s="286" t="s">
        <v>50</v>
      </c>
      <c r="R15" s="300">
        <f>VLOOKUP(Q15,[1]vstupy!$B$17:$C$27,2,FALSE)</f>
        <v>0</v>
      </c>
      <c r="S15" s="283"/>
      <c r="T15" s="153" t="s">
        <v>25</v>
      </c>
      <c r="U15" s="218">
        <f>IFERROR(VLOOKUP(T15,vstupy!$B$2:$C$12,2,FALSE),0)</f>
        <v>60</v>
      </c>
      <c r="V15" s="286" t="s">
        <v>12</v>
      </c>
      <c r="W15" s="279">
        <f>VLOOKUP(V15,vstupy!$B$17:$C$27,2,FALSE)</f>
        <v>0.25</v>
      </c>
      <c r="X15" s="281">
        <f t="shared" ref="X15" si="55">IFERROR(IF(J15=0,"N",N15/I15),0)</f>
        <v>0</v>
      </c>
      <c r="Y15" s="276">
        <f t="shared" si="10"/>
        <v>0</v>
      </c>
      <c r="Z15" s="276">
        <f t="shared" ref="Z15" si="56">IFERROR(IF(J15=0,"N",O15/I15),0)</f>
        <v>0</v>
      </c>
      <c r="AA15" s="276">
        <f t="shared" ref="AA15" si="57">O15</f>
        <v>0</v>
      </c>
      <c r="AB15" s="276">
        <f t="shared" ref="AB15" si="58">P15*R15</f>
        <v>0</v>
      </c>
      <c r="AC15" s="276">
        <f t="shared" ref="AC15:AC78" si="59">IFERROR(AB15*J15,0)</f>
        <v>0</v>
      </c>
      <c r="AD15" s="278">
        <f t="shared" ref="AD15" si="60">IF(S15&gt;0,IF(W15&gt;0,($G$6/160)*(S15/60)*W15,0),IF(W15&gt;0,($G$6/160)*((U15+U16+U17)/60)*W15,0))</f>
        <v>2.3934375000000001</v>
      </c>
      <c r="AE15" s="274">
        <f t="shared" si="15"/>
        <v>2393.4375</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2.3934375000000001</v>
      </c>
      <c r="AM15" s="314">
        <f t="shared" si="61"/>
        <v>2393.4375</v>
      </c>
      <c r="AN15" s="306">
        <f t="shared" ref="AN15" si="62">IF($M15="In (zvyšuje náklady)",0,X15)</f>
        <v>0</v>
      </c>
      <c r="AO15" s="306">
        <f t="shared" ref="AO15" si="63">IF($M15="In (zvyšuje náklady)",0,Y15)</f>
        <v>0</v>
      </c>
      <c r="AP15" s="306">
        <f t="shared" ref="AP15" si="64">IF($M15="In (zvyšuje náklady)",0,Z15)</f>
        <v>0</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5">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2.3934375000000001</v>
      </c>
      <c r="CD15" s="314">
        <f>Y15+AA15+AC15+AE15</f>
        <v>2393.4375</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t="s">
        <v>225</v>
      </c>
      <c r="D18" s="269" t="s">
        <v>215</v>
      </c>
      <c r="E18" s="269" t="s">
        <v>217</v>
      </c>
      <c r="F18" s="269" t="s">
        <v>184</v>
      </c>
      <c r="G18" s="284">
        <v>44743</v>
      </c>
      <c r="H18" s="269" t="s">
        <v>228</v>
      </c>
      <c r="I18" s="269">
        <v>1000</v>
      </c>
      <c r="J18" s="273">
        <f t="shared" ref="J18" si="98">IF(I18="N",0,I18)</f>
        <v>1000</v>
      </c>
      <c r="K18" s="269" t="s">
        <v>213</v>
      </c>
      <c r="L18" s="273">
        <f t="shared" ref="L18" si="99">IF(K18="N",0,K18)</f>
        <v>0</v>
      </c>
      <c r="M18" s="269" t="s">
        <v>214</v>
      </c>
      <c r="N18" s="283"/>
      <c r="O18" s="283"/>
      <c r="P18" s="301"/>
      <c r="Q18" s="286" t="s">
        <v>50</v>
      </c>
      <c r="R18" s="300">
        <f>VLOOKUP(Q18,[1]vstupy!$B$17:$C$27,2,FALSE)</f>
        <v>0</v>
      </c>
      <c r="S18" s="283"/>
      <c r="T18" s="153" t="s">
        <v>25</v>
      </c>
      <c r="U18" s="218">
        <f>IFERROR(VLOOKUP(T18,vstupy!$B$2:$C$12,2,FALSE),0)</f>
        <v>60</v>
      </c>
      <c r="V18" s="286" t="s">
        <v>12</v>
      </c>
      <c r="W18" s="279">
        <f>VLOOKUP(V18,vstupy!$B$17:$C$27,2,FALSE)</f>
        <v>0.25</v>
      </c>
      <c r="X18" s="281">
        <f t="shared" ref="X18" si="100">IFERROR(IF(J18=0,"N",N18/I18),0)</f>
        <v>0</v>
      </c>
      <c r="Y18" s="276">
        <f>N18</f>
        <v>0</v>
      </c>
      <c r="Z18" s="276">
        <f t="shared" ref="Z18" si="101">IFERROR(IF(J18=0,"N",O18/I18),0)</f>
        <v>0</v>
      </c>
      <c r="AA18" s="276">
        <f t="shared" ref="AA18" si="102">O18</f>
        <v>0</v>
      </c>
      <c r="AB18" s="276">
        <f t="shared" ref="AB18" si="103">P18*R18</f>
        <v>0</v>
      </c>
      <c r="AC18" s="276">
        <f t="shared" si="59"/>
        <v>0</v>
      </c>
      <c r="AD18" s="278">
        <f t="shared" ref="AD18" si="104">IF(S18&gt;0,IF(W18&gt;0,($G$6/160)*(S18/60)*W18,0),IF(W18&gt;0,($G$6/160)*((U18+U19+U20)/60)*W18,0))</f>
        <v>2.3934375000000001</v>
      </c>
      <c r="AE18" s="274">
        <f t="shared" si="15"/>
        <v>2393.4375</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2.3934375000000001</v>
      </c>
      <c r="AM18" s="314">
        <f t="shared" si="105"/>
        <v>2393.4375</v>
      </c>
      <c r="AN18" s="306">
        <f t="shared" ref="AN18" si="106">IF($M18="In (zvyšuje náklady)",0,X18)</f>
        <v>0</v>
      </c>
      <c r="AO18" s="306">
        <f t="shared" ref="AO18" si="107">IF($M18="In (zvyšuje náklady)",0,Y18)</f>
        <v>0</v>
      </c>
      <c r="AP18" s="306">
        <f t="shared" ref="AP18" si="108">IF($M18="In (zvyšuje náklady)",0,Z18)</f>
        <v>0</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5">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2.3934375000000001</v>
      </c>
      <c r="CD18" s="314">
        <f>Y18+AA18+AC18+AE18</f>
        <v>2393.4375</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t="s">
        <v>226</v>
      </c>
      <c r="D21" s="269" t="s">
        <v>215</v>
      </c>
      <c r="E21" s="269" t="s">
        <v>222</v>
      </c>
      <c r="F21" s="269" t="s">
        <v>184</v>
      </c>
      <c r="G21" s="284">
        <v>44743</v>
      </c>
      <c r="H21" s="269" t="s">
        <v>228</v>
      </c>
      <c r="I21" s="325">
        <v>1000</v>
      </c>
      <c r="J21" s="273">
        <f t="shared" ref="J21" si="142">IF(I21="N",0,I21)</f>
        <v>1000</v>
      </c>
      <c r="K21" s="269" t="s">
        <v>213</v>
      </c>
      <c r="L21" s="273">
        <f t="shared" ref="L21" si="143">IF(K21="N",0,K21)</f>
        <v>0</v>
      </c>
      <c r="M21" s="269" t="s">
        <v>220</v>
      </c>
      <c r="N21" s="283"/>
      <c r="O21" s="283"/>
      <c r="P21" s="301"/>
      <c r="Q21" s="286" t="s">
        <v>50</v>
      </c>
      <c r="R21" s="300">
        <f>VLOOKUP(Q21,[1]vstupy!$B$17:$C$27,2,FALSE)</f>
        <v>0</v>
      </c>
      <c r="S21" s="283"/>
      <c r="T21" s="153" t="s">
        <v>21</v>
      </c>
      <c r="U21" s="218">
        <f>IFERROR(VLOOKUP(T21,vstupy!$B$2:$C$12,2,FALSE),0)</f>
        <v>200</v>
      </c>
      <c r="V21" s="286" t="s">
        <v>11</v>
      </c>
      <c r="W21" s="279">
        <f>VLOOKUP(V21,vstupy!$B$17:$C$27,2,FALSE)</f>
        <v>0.2</v>
      </c>
      <c r="X21" s="281">
        <f t="shared" ref="X21" si="144">IFERROR(IF(J21=0,"N",N21/I21),0)</f>
        <v>0</v>
      </c>
      <c r="Y21" s="276">
        <f t="shared" si="10"/>
        <v>0</v>
      </c>
      <c r="Z21" s="276">
        <f t="shared" ref="Z21" si="145">IFERROR(IF(J21=0,"N",O21/I21),0)</f>
        <v>0</v>
      </c>
      <c r="AA21" s="276">
        <f t="shared" ref="AA21" si="146">O21</f>
        <v>0</v>
      </c>
      <c r="AB21" s="276">
        <f t="shared" ref="AB21" si="147">P21*R21</f>
        <v>0</v>
      </c>
      <c r="AC21" s="276">
        <f t="shared" si="59"/>
        <v>0</v>
      </c>
      <c r="AD21" s="278">
        <f t="shared" ref="AD21" si="148">IF(S21&gt;0,IF(W21&gt;0,($G$6/160)*(S21/60)*W21,0),IF(W21&gt;0,($G$6/160)*((U21+U22+U23)/60)*W21,0))</f>
        <v>6.3825000000000003</v>
      </c>
      <c r="AE21" s="274">
        <f t="shared" si="15"/>
        <v>6382.5</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f t="shared" ref="AN21" si="150">IF($M21="In (zvyšuje náklady)",0,X21)</f>
        <v>0</v>
      </c>
      <c r="AO21" s="306">
        <f t="shared" ref="AO21" si="151">IF($M21="In (zvyšuje náklady)",0,Y21)</f>
        <v>0</v>
      </c>
      <c r="AP21" s="306">
        <f t="shared" ref="AP21" si="152">IF($M21="In (zvyšuje náklady)",0,Z21)</f>
        <v>0</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6.3825000000000003</v>
      </c>
      <c r="AU21" s="335">
        <f t="shared" ref="AU21" si="157">IF($M21="In (zvyšuje náklady)",0,AE21)</f>
        <v>6382.5</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6.3825000000000003</v>
      </c>
      <c r="CD21" s="314">
        <f>Y21+AA21+AC21+AE21</f>
        <v>6382.5</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t="s">
        <v>227</v>
      </c>
      <c r="D24" s="269" t="s">
        <v>215</v>
      </c>
      <c r="E24" s="269" t="s">
        <v>222</v>
      </c>
      <c r="F24" s="269" t="s">
        <v>184</v>
      </c>
      <c r="G24" s="284">
        <v>44743</v>
      </c>
      <c r="H24" s="269" t="s">
        <v>228</v>
      </c>
      <c r="I24" s="269">
        <v>1000</v>
      </c>
      <c r="J24" s="273">
        <f t="shared" ref="J24:J27" si="186">IF(I24="N",0,I24)</f>
        <v>1000</v>
      </c>
      <c r="K24" s="269" t="s">
        <v>213</v>
      </c>
      <c r="L24" s="273">
        <f t="shared" ref="L24" si="187">IF(K24="N",0,K24)</f>
        <v>0</v>
      </c>
      <c r="M24" s="269" t="s">
        <v>220</v>
      </c>
      <c r="N24" s="283"/>
      <c r="O24" s="283"/>
      <c r="P24" s="301"/>
      <c r="Q24" s="286" t="s">
        <v>50</v>
      </c>
      <c r="R24" s="300">
        <f>VLOOKUP(Q24,[1]vstupy!$B$17:$C$27,2,FALSE)</f>
        <v>0</v>
      </c>
      <c r="S24" s="283"/>
      <c r="T24" s="153" t="s">
        <v>21</v>
      </c>
      <c r="U24" s="218">
        <f>IFERROR(VLOOKUP(T24,vstupy!$B$2:$C$12,2,FALSE),0)</f>
        <v>200</v>
      </c>
      <c r="V24" s="286" t="s">
        <v>11</v>
      </c>
      <c r="W24" s="279">
        <f>VLOOKUP(V24,vstupy!$B$17:$C$27,2,FALSE)</f>
        <v>0.2</v>
      </c>
      <c r="X24" s="281">
        <f t="shared" ref="X24" si="188">IFERROR(IF(J24=0,"N",N24/I24),0)</f>
        <v>0</v>
      </c>
      <c r="Y24" s="276">
        <f t="shared" si="10"/>
        <v>0</v>
      </c>
      <c r="Z24" s="276">
        <f t="shared" ref="Z24" si="189">IFERROR(IF(J24=0,"N",O24/I24),0)</f>
        <v>0</v>
      </c>
      <c r="AA24" s="276">
        <f t="shared" ref="AA24" si="190">O24</f>
        <v>0</v>
      </c>
      <c r="AB24" s="276">
        <f t="shared" ref="AB24" si="191">P24*R24</f>
        <v>0</v>
      </c>
      <c r="AC24" s="276">
        <f t="shared" si="59"/>
        <v>0</v>
      </c>
      <c r="AD24" s="278">
        <f t="shared" ref="AD24" si="192">IF(S24&gt;0,IF(W24&gt;0,($G$6/160)*(S24/60)*W24,0),IF(W24&gt;0,($G$6/160)*((U24+U25+U26)/60)*W24,0))</f>
        <v>6.3825000000000003</v>
      </c>
      <c r="AE24" s="274">
        <f t="shared" si="15"/>
        <v>6382.5</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f t="shared" ref="AN24" si="194">IF($M24="In (zvyšuje náklady)",0,X24)</f>
        <v>0</v>
      </c>
      <c r="AO24" s="306">
        <f t="shared" ref="AO24" si="195">IF($M24="In (zvyšuje náklady)",0,Y24)</f>
        <v>0</v>
      </c>
      <c r="AP24" s="306">
        <f t="shared" ref="AP24" si="196">IF($M24="In (zvyšuje náklady)",0,Z24)</f>
        <v>0</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6.3825000000000003</v>
      </c>
      <c r="AU24" s="335">
        <f t="shared" ref="AU24" si="201">IF($M24="In (zvyšuje náklady)",0,AE24)</f>
        <v>6382.5</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6.3825000000000003</v>
      </c>
      <c r="CD24" s="314">
        <f>Y24+AA24+AC24+AE24</f>
        <v>6382.5</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c r="D27" s="269"/>
      <c r="E27" s="269"/>
      <c r="F27" s="269" t="s">
        <v>178</v>
      </c>
      <c r="G27" s="284"/>
      <c r="H27" s="269"/>
      <c r="I27" s="269"/>
      <c r="J27" s="273">
        <f t="shared" si="186"/>
        <v>0</v>
      </c>
      <c r="K27" s="269"/>
      <c r="L27" s="273">
        <f t="shared" ref="L27" si="230">IF(K27="N",0,K27)</f>
        <v>0</v>
      </c>
      <c r="M27" s="269" t="s">
        <v>178</v>
      </c>
      <c r="N27" s="283"/>
      <c r="O27" s="283"/>
      <c r="P27" s="301"/>
      <c r="Q27" s="286" t="s">
        <v>50</v>
      </c>
      <c r="R27" s="300">
        <f>VLOOKUP(Q27,[1]vstupy!$B$17:$C$27,2,FALSE)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c r="D30" s="269"/>
      <c r="E30" s="269"/>
      <c r="F30" s="269" t="s">
        <v>178</v>
      </c>
      <c r="G30" s="284"/>
      <c r="H30" s="269"/>
      <c r="I30" s="269"/>
      <c r="J30" s="273">
        <f t="shared" ref="J30" si="276">IF(I30="N",0,I30)</f>
        <v>0</v>
      </c>
      <c r="K30" s="269"/>
      <c r="L30" s="273">
        <f t="shared" ref="L30" si="277">IF(K30="N",0,K30)</f>
        <v>0</v>
      </c>
      <c r="M30" s="269" t="s">
        <v>178</v>
      </c>
      <c r="N30" s="283"/>
      <c r="O30" s="283"/>
      <c r="P30" s="301"/>
      <c r="Q30" s="286" t="s">
        <v>50</v>
      </c>
      <c r="R30" s="300">
        <f>VLOOKUP(Q30,[1]vstupy!$B$17:$C$27,2,FALSE)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c r="D33" s="269"/>
      <c r="E33" s="269"/>
      <c r="F33" s="269" t="s">
        <v>178</v>
      </c>
      <c r="G33" s="284"/>
      <c r="H33" s="269"/>
      <c r="I33" s="269"/>
      <c r="J33" s="273">
        <f t="shared" ref="J33" si="321">IF(I33="N",0,I33)</f>
        <v>0</v>
      </c>
      <c r="K33" s="269"/>
      <c r="L33" s="273">
        <f t="shared" ref="L33" si="322">IF(K33="N",0,K33)</f>
        <v>0</v>
      </c>
      <c r="M33" s="269" t="s">
        <v>178</v>
      </c>
      <c r="N33" s="283"/>
      <c r="O33" s="283"/>
      <c r="P33" s="301"/>
      <c r="Q33" s="286" t="s">
        <v>50</v>
      </c>
      <c r="R33" s="300">
        <f>VLOOKUP(Q33,[1]vstupy!$B$17:$C$27,2,FALSE)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c r="D36" s="269"/>
      <c r="E36" s="269"/>
      <c r="F36" s="269" t="s">
        <v>178</v>
      </c>
      <c r="G36" s="284"/>
      <c r="H36" s="269"/>
      <c r="I36" s="269"/>
      <c r="J36" s="273">
        <f t="shared" ref="J36" si="366">IF(I36="N",0,I36)</f>
        <v>0</v>
      </c>
      <c r="K36" s="269"/>
      <c r="L36" s="273">
        <f t="shared" ref="L36" si="367">IF(K36="N",0,K36)</f>
        <v>0</v>
      </c>
      <c r="M36" s="269" t="s">
        <v>178</v>
      </c>
      <c r="N36" s="283"/>
      <c r="O36" s="283"/>
      <c r="P36" s="301"/>
      <c r="Q36" s="286" t="s">
        <v>50</v>
      </c>
      <c r="R36" s="300">
        <f>VLOOKUP(Q36,[1]vstupy!$B$17:$C$27,2,FALSE)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c r="D39" s="269"/>
      <c r="E39" s="269"/>
      <c r="F39" s="269" t="s">
        <v>178</v>
      </c>
      <c r="G39" s="284"/>
      <c r="H39" s="269"/>
      <c r="I39" s="269"/>
      <c r="J39" s="273">
        <f t="shared" ref="J39" si="411">IF(I39="N",0,I39)</f>
        <v>0</v>
      </c>
      <c r="K39" s="269"/>
      <c r="L39" s="273">
        <f t="shared" ref="L39" si="412">IF(K39="N",0,K39)</f>
        <v>0</v>
      </c>
      <c r="M39" s="269" t="s">
        <v>178</v>
      </c>
      <c r="N39" s="283"/>
      <c r="O39" s="283"/>
      <c r="P39" s="301"/>
      <c r="Q39" s="286" t="s">
        <v>50</v>
      </c>
      <c r="R39" s="300">
        <f>VLOOKUP(Q39,[1]vstupy!$B$17:$C$27,2,FALSE)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c r="D42" s="270"/>
      <c r="E42" s="270"/>
      <c r="F42" s="269" t="s">
        <v>178</v>
      </c>
      <c r="G42" s="284"/>
      <c r="H42" s="269"/>
      <c r="I42" s="269"/>
      <c r="J42" s="273">
        <f t="shared" ref="J42" si="456">IF(I42="N",0,I42)</f>
        <v>0</v>
      </c>
      <c r="K42" s="269"/>
      <c r="L42" s="273">
        <f t="shared" ref="L42" si="457">IF(K42="N",0,K42)</f>
        <v>0</v>
      </c>
      <c r="M42" s="269" t="s">
        <v>178</v>
      </c>
      <c r="N42" s="269"/>
      <c r="O42" s="269"/>
      <c r="P42" s="301"/>
      <c r="Q42" s="286" t="s">
        <v>50</v>
      </c>
      <c r="R42" s="300">
        <f>VLOOKUP(Q42,[2]vstupy!$B$17:$C$27,2,FALSE)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c r="D45" s="270"/>
      <c r="E45" s="270"/>
      <c r="F45" s="269" t="s">
        <v>178</v>
      </c>
      <c r="G45" s="284"/>
      <c r="H45" s="269"/>
      <c r="I45" s="269"/>
      <c r="J45" s="273">
        <f>IF(I45="N",0,I45)</f>
        <v>0</v>
      </c>
      <c r="K45" s="269"/>
      <c r="L45" s="273">
        <f t="shared" ref="L45" si="501">IF(K45="N",0,K45)</f>
        <v>0</v>
      </c>
      <c r="M45" s="269" t="s">
        <v>178</v>
      </c>
      <c r="N45" s="269"/>
      <c r="O45" s="269"/>
      <c r="P45" s="301"/>
      <c r="Q45" s="286" t="s">
        <v>50</v>
      </c>
      <c r="R45" s="300">
        <f>VLOOKUP(Q45,[2]vstupy!$B$17:$C$27,2,FALSE)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c r="D48" s="270"/>
      <c r="E48" s="270"/>
      <c r="F48" s="269" t="s">
        <v>178</v>
      </c>
      <c r="G48" s="284"/>
      <c r="H48" s="269"/>
      <c r="I48" s="269"/>
      <c r="J48" s="273">
        <f t="shared" ref="J48" si="545">IF(I48="N",0,I48)</f>
        <v>0</v>
      </c>
      <c r="K48" s="269"/>
      <c r="L48" s="273">
        <f t="shared" ref="L48" si="546">IF(K48="N",0,K48)</f>
        <v>0</v>
      </c>
      <c r="M48" s="269" t="s">
        <v>178</v>
      </c>
      <c r="N48" s="269"/>
      <c r="O48" s="269"/>
      <c r="P48" s="301"/>
      <c r="Q48" s="286" t="s">
        <v>50</v>
      </c>
      <c r="R48" s="300">
        <f>VLOOKUP(Q48,[2]vstupy!$B$17:$C$27,2,FALSE)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178</v>
      </c>
      <c r="G51" s="284"/>
      <c r="H51" s="269"/>
      <c r="I51" s="269"/>
      <c r="J51" s="273">
        <f t="shared" ref="J51" si="590">IF(I51="N",0,I51)</f>
        <v>0</v>
      </c>
      <c r="K51" s="269"/>
      <c r="L51" s="273">
        <f t="shared" ref="L51:L84" si="591">IF(K51="N",0,K51)</f>
        <v>0</v>
      </c>
      <c r="M51" s="269" t="s">
        <v>178</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178</v>
      </c>
      <c r="G54" s="284"/>
      <c r="H54" s="269"/>
      <c r="I54" s="269"/>
      <c r="J54" s="273">
        <f t="shared" ref="J54" si="635">IF(I54="N",0,I54)</f>
        <v>0</v>
      </c>
      <c r="K54" s="269"/>
      <c r="L54" s="273">
        <f t="shared" si="591"/>
        <v>0</v>
      </c>
      <c r="M54" s="269" t="s">
        <v>178</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178</v>
      </c>
      <c r="G57" s="284"/>
      <c r="H57" s="269"/>
      <c r="I57" s="269"/>
      <c r="J57" s="273">
        <f t="shared" ref="J57" si="679">IF(I57="N",0,I57)</f>
        <v>0</v>
      </c>
      <c r="K57" s="269"/>
      <c r="L57" s="273">
        <f t="shared" si="591"/>
        <v>0</v>
      </c>
      <c r="M57" s="269" t="s">
        <v>178</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178</v>
      </c>
      <c r="G60" s="284"/>
      <c r="H60" s="269"/>
      <c r="I60" s="269"/>
      <c r="J60" s="273">
        <f t="shared" ref="J60" si="723">IF(I60="N",0,I60)</f>
        <v>0</v>
      </c>
      <c r="K60" s="269"/>
      <c r="L60" s="273">
        <f t="shared" si="591"/>
        <v>0</v>
      </c>
      <c r="M60" s="269" t="s">
        <v>178</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178</v>
      </c>
      <c r="G63" s="284"/>
      <c r="H63" s="269"/>
      <c r="I63" s="269"/>
      <c r="J63" s="273">
        <f t="shared" ref="J63" si="767">IF(I63="N",0,I63)</f>
        <v>0</v>
      </c>
      <c r="K63" s="269"/>
      <c r="L63" s="273">
        <f t="shared" si="591"/>
        <v>0</v>
      </c>
      <c r="M63" s="269" t="s">
        <v>178</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178</v>
      </c>
      <c r="G66" s="284"/>
      <c r="H66" s="269"/>
      <c r="I66" s="269"/>
      <c r="J66" s="273">
        <f t="shared" ref="J66" si="811">IF(I66="N",0,I66)</f>
        <v>0</v>
      </c>
      <c r="K66" s="269"/>
      <c r="L66" s="273">
        <f t="shared" si="591"/>
        <v>0</v>
      </c>
      <c r="M66" s="269" t="s">
        <v>178</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178</v>
      </c>
      <c r="G69" s="284"/>
      <c r="H69" s="269"/>
      <c r="I69" s="269"/>
      <c r="J69" s="273">
        <f t="shared" ref="J69" si="855">IF(I69="N",0,I69)</f>
        <v>0</v>
      </c>
      <c r="K69" s="269"/>
      <c r="L69" s="273">
        <f t="shared" si="591"/>
        <v>0</v>
      </c>
      <c r="M69" s="269" t="s">
        <v>178</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178</v>
      </c>
      <c r="G72" s="284"/>
      <c r="H72" s="269"/>
      <c r="I72" s="269"/>
      <c r="J72" s="273">
        <f t="shared" ref="J72" si="899">IF(I72="N",0,I72)</f>
        <v>0</v>
      </c>
      <c r="K72" s="269"/>
      <c r="L72" s="273">
        <f t="shared" si="591"/>
        <v>0</v>
      </c>
      <c r="M72" s="269" t="s">
        <v>178</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178</v>
      </c>
      <c r="G75" s="284"/>
      <c r="H75" s="269"/>
      <c r="I75" s="269"/>
      <c r="J75" s="273">
        <f t="shared" ref="J75" si="943">IF(I75="N",0,I75)</f>
        <v>0</v>
      </c>
      <c r="K75" s="269"/>
      <c r="L75" s="273">
        <f t="shared" si="591"/>
        <v>0</v>
      </c>
      <c r="M75" s="269" t="s">
        <v>178</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178</v>
      </c>
      <c r="G78" s="284"/>
      <c r="H78" s="269"/>
      <c r="I78" s="269"/>
      <c r="J78" s="273">
        <f t="shared" ref="J78" si="987">IF(I78="N",0,I78)</f>
        <v>0</v>
      </c>
      <c r="K78" s="269"/>
      <c r="L78" s="273">
        <f t="shared" si="591"/>
        <v>0</v>
      </c>
      <c r="M78" s="269" t="s">
        <v>178</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178</v>
      </c>
      <c r="G81" s="284"/>
      <c r="H81" s="269"/>
      <c r="I81" s="269"/>
      <c r="J81" s="273">
        <f t="shared" ref="J81" si="1032">IF(I81="N",0,I81)</f>
        <v>0</v>
      </c>
      <c r="K81" s="269"/>
      <c r="L81" s="273">
        <f t="shared" si="591"/>
        <v>0</v>
      </c>
      <c r="M81" s="269" t="s">
        <v>178</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178</v>
      </c>
      <c r="G84" s="284"/>
      <c r="H84" s="269"/>
      <c r="I84" s="269"/>
      <c r="J84" s="273">
        <f t="shared" ref="J84" si="1077">IF(I84="N",0,I84)</f>
        <v>0</v>
      </c>
      <c r="K84" s="269"/>
      <c r="L84" s="273">
        <f t="shared" si="591"/>
        <v>0</v>
      </c>
      <c r="M84" s="269" t="s">
        <v>178</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178</v>
      </c>
      <c r="G87" s="284"/>
      <c r="H87" s="269"/>
      <c r="I87" s="269"/>
      <c r="J87" s="273">
        <f t="shared" ref="J87" si="1120">IF(I87="N",0,I87)</f>
        <v>0</v>
      </c>
      <c r="K87" s="269"/>
      <c r="L87" s="273">
        <f t="shared" ref="L87:L150" si="1121">IF(K87="N",0,K87)</f>
        <v>0</v>
      </c>
      <c r="M87" s="269" t="s">
        <v>178</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178</v>
      </c>
      <c r="G90" s="284"/>
      <c r="H90" s="269"/>
      <c r="I90" s="269"/>
      <c r="J90" s="273">
        <f t="shared" ref="J90" si="1164">IF(I90="N",0,I90)</f>
        <v>0</v>
      </c>
      <c r="K90" s="269"/>
      <c r="L90" s="273">
        <f t="shared" si="1121"/>
        <v>0</v>
      </c>
      <c r="M90" s="269" t="s">
        <v>178</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178</v>
      </c>
      <c r="G93" s="284"/>
      <c r="H93" s="269"/>
      <c r="I93" s="269"/>
      <c r="J93" s="273">
        <f t="shared" ref="J93" si="1207">IF(I93="N",0,I93)</f>
        <v>0</v>
      </c>
      <c r="K93" s="269"/>
      <c r="L93" s="273">
        <f t="shared" si="1121"/>
        <v>0</v>
      </c>
      <c r="M93" s="269" t="s">
        <v>178</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178</v>
      </c>
      <c r="G96" s="284"/>
      <c r="H96" s="269"/>
      <c r="I96" s="269"/>
      <c r="J96" s="273">
        <f t="shared" ref="J96" si="1250">IF(I96="N",0,I96)</f>
        <v>0</v>
      </c>
      <c r="K96" s="269"/>
      <c r="L96" s="273">
        <f t="shared" si="1121"/>
        <v>0</v>
      </c>
      <c r="M96" s="269" t="s">
        <v>178</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178</v>
      </c>
      <c r="G99" s="284"/>
      <c r="H99" s="269"/>
      <c r="I99" s="269"/>
      <c r="J99" s="273">
        <f t="shared" ref="J99" si="1293">IF(I99="N",0,I99)</f>
        <v>0</v>
      </c>
      <c r="K99" s="269"/>
      <c r="L99" s="273">
        <f t="shared" si="1121"/>
        <v>0</v>
      </c>
      <c r="M99" s="269" t="s">
        <v>178</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178</v>
      </c>
      <c r="G102" s="284"/>
      <c r="H102" s="269"/>
      <c r="I102" s="269"/>
      <c r="J102" s="273">
        <f t="shared" ref="J102" si="1336">IF(I102="N",0,I102)</f>
        <v>0</v>
      </c>
      <c r="K102" s="269"/>
      <c r="L102" s="273">
        <f t="shared" si="1121"/>
        <v>0</v>
      </c>
      <c r="M102" s="269" t="s">
        <v>178</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178</v>
      </c>
      <c r="G105" s="284"/>
      <c r="H105" s="269"/>
      <c r="I105" s="269"/>
      <c r="J105" s="273">
        <f t="shared" ref="J105" si="1379">IF(I105="N",0,I105)</f>
        <v>0</v>
      </c>
      <c r="K105" s="269"/>
      <c r="L105" s="273">
        <f t="shared" si="1121"/>
        <v>0</v>
      </c>
      <c r="M105" s="269" t="s">
        <v>178</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178</v>
      </c>
      <c r="G108" s="284"/>
      <c r="H108" s="269"/>
      <c r="I108" s="269"/>
      <c r="J108" s="273">
        <f t="shared" ref="J108" si="1422">IF(I108="N",0,I108)</f>
        <v>0</v>
      </c>
      <c r="K108" s="269"/>
      <c r="L108" s="273">
        <f t="shared" si="1121"/>
        <v>0</v>
      </c>
      <c r="M108" s="269" t="s">
        <v>178</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178</v>
      </c>
      <c r="G111" s="284"/>
      <c r="H111" s="269"/>
      <c r="I111" s="269"/>
      <c r="J111" s="273">
        <f t="shared" ref="J111" si="1465">IF(I111="N",0,I111)</f>
        <v>0</v>
      </c>
      <c r="K111" s="269"/>
      <c r="L111" s="273">
        <f t="shared" si="1121"/>
        <v>0</v>
      </c>
      <c r="M111" s="269" t="s">
        <v>178</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178</v>
      </c>
      <c r="G114" s="284"/>
      <c r="H114" s="269"/>
      <c r="I114" s="269"/>
      <c r="J114" s="273">
        <f t="shared" ref="J114" si="1508">IF(I114="N",0,I114)</f>
        <v>0</v>
      </c>
      <c r="K114" s="269"/>
      <c r="L114" s="273">
        <f t="shared" si="1121"/>
        <v>0</v>
      </c>
      <c r="M114" s="269" t="s">
        <v>178</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178</v>
      </c>
      <c r="G117" s="284"/>
      <c r="H117" s="269"/>
      <c r="I117" s="269"/>
      <c r="J117" s="273">
        <f t="shared" ref="J117" si="1551">IF(I117="N",0,I117)</f>
        <v>0</v>
      </c>
      <c r="K117" s="269"/>
      <c r="L117" s="273">
        <f t="shared" si="1121"/>
        <v>0</v>
      </c>
      <c r="M117" s="269" t="s">
        <v>178</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178</v>
      </c>
      <c r="G120" s="284"/>
      <c r="H120" s="269"/>
      <c r="I120" s="269"/>
      <c r="J120" s="273">
        <f t="shared" ref="J120" si="1595">IF(I120="N",0,I120)</f>
        <v>0</v>
      </c>
      <c r="K120" s="269"/>
      <c r="L120" s="273">
        <f t="shared" si="1121"/>
        <v>0</v>
      </c>
      <c r="M120" s="269" t="s">
        <v>178</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178</v>
      </c>
      <c r="G123" s="284"/>
      <c r="H123" s="269"/>
      <c r="I123" s="269"/>
      <c r="J123" s="273">
        <f t="shared" ref="J123" si="1639">IF(I123="N",0,I123)</f>
        <v>0</v>
      </c>
      <c r="K123" s="269"/>
      <c r="L123" s="273">
        <f t="shared" si="1121"/>
        <v>0</v>
      </c>
      <c r="M123" s="269" t="s">
        <v>178</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178</v>
      </c>
      <c r="G126" s="284"/>
      <c r="H126" s="269"/>
      <c r="I126" s="269"/>
      <c r="J126" s="273">
        <f t="shared" ref="J126" si="1683">IF(I126="N",0,I126)</f>
        <v>0</v>
      </c>
      <c r="K126" s="269"/>
      <c r="L126" s="273">
        <f t="shared" si="1121"/>
        <v>0</v>
      </c>
      <c r="M126" s="269" t="s">
        <v>178</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178</v>
      </c>
      <c r="G129" s="284"/>
      <c r="H129" s="269"/>
      <c r="I129" s="269"/>
      <c r="J129" s="273">
        <f t="shared" ref="J129" si="1727">IF(I129="N",0,I129)</f>
        <v>0</v>
      </c>
      <c r="K129" s="269"/>
      <c r="L129" s="273">
        <f t="shared" si="1121"/>
        <v>0</v>
      </c>
      <c r="M129" s="269" t="s">
        <v>178</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178</v>
      </c>
      <c r="G132" s="284"/>
      <c r="H132" s="269"/>
      <c r="I132" s="269"/>
      <c r="J132" s="273">
        <f t="shared" ref="J132" si="1771">IF(I132="N",0,I132)</f>
        <v>0</v>
      </c>
      <c r="K132" s="269"/>
      <c r="L132" s="273">
        <f t="shared" si="1121"/>
        <v>0</v>
      </c>
      <c r="M132" s="269" t="s">
        <v>178</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178</v>
      </c>
      <c r="G135" s="284"/>
      <c r="H135" s="269"/>
      <c r="I135" s="269"/>
      <c r="J135" s="273">
        <f t="shared" ref="J135" si="1815">IF(I135="N",0,I135)</f>
        <v>0</v>
      </c>
      <c r="K135" s="269"/>
      <c r="L135" s="273">
        <f t="shared" si="1121"/>
        <v>0</v>
      </c>
      <c r="M135" s="269" t="s">
        <v>178</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178</v>
      </c>
      <c r="G138" s="284"/>
      <c r="H138" s="269"/>
      <c r="I138" s="269"/>
      <c r="J138" s="273">
        <f t="shared" ref="J138" si="1859">IF(I138="N",0,I138)</f>
        <v>0</v>
      </c>
      <c r="K138" s="269"/>
      <c r="L138" s="273">
        <f t="shared" si="1121"/>
        <v>0</v>
      </c>
      <c r="M138" s="269" t="s">
        <v>178</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178</v>
      </c>
      <c r="G141" s="284"/>
      <c r="H141" s="269"/>
      <c r="I141" s="269"/>
      <c r="J141" s="273">
        <f t="shared" ref="J141" si="1903">IF(I141="N",0,I141)</f>
        <v>0</v>
      </c>
      <c r="K141" s="269"/>
      <c r="L141" s="273">
        <f t="shared" si="1121"/>
        <v>0</v>
      </c>
      <c r="M141" s="269" t="s">
        <v>178</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178</v>
      </c>
      <c r="G144" s="284"/>
      <c r="H144" s="269"/>
      <c r="I144" s="269"/>
      <c r="J144" s="273">
        <f t="shared" ref="J144" si="1947">IF(I144="N",0,I144)</f>
        <v>0</v>
      </c>
      <c r="K144" s="269"/>
      <c r="L144" s="273">
        <f t="shared" si="1121"/>
        <v>0</v>
      </c>
      <c r="M144" s="269" t="s">
        <v>178</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178</v>
      </c>
      <c r="G147" s="284"/>
      <c r="H147" s="269"/>
      <c r="I147" s="269"/>
      <c r="J147" s="273">
        <f t="shared" ref="J147" si="1992">IF(I147="N",0,I147)</f>
        <v>0</v>
      </c>
      <c r="K147" s="269"/>
      <c r="L147" s="273">
        <f t="shared" si="1121"/>
        <v>0</v>
      </c>
      <c r="M147" s="269" t="s">
        <v>178</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178</v>
      </c>
      <c r="G150" s="284"/>
      <c r="H150" s="269"/>
      <c r="I150" s="269"/>
      <c r="J150" s="273">
        <f t="shared" ref="J150" si="2037">IF(I150="N",0,I150)</f>
        <v>0</v>
      </c>
      <c r="K150" s="269"/>
      <c r="L150" s="273">
        <f t="shared" si="1121"/>
        <v>0</v>
      </c>
      <c r="M150" s="269" t="s">
        <v>178</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178</v>
      </c>
      <c r="G153" s="284"/>
      <c r="H153" s="269"/>
      <c r="I153" s="269"/>
      <c r="J153" s="273">
        <f t="shared" ref="J153" si="2081">IF(I153="N",0,I153)</f>
        <v>0</v>
      </c>
      <c r="K153" s="269"/>
      <c r="L153" s="273">
        <f t="shared" ref="L153:L156" si="2082">IF(K153="N",0,K153)</f>
        <v>0</v>
      </c>
      <c r="M153" s="269" t="s">
        <v>178</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178</v>
      </c>
      <c r="G156" s="284"/>
      <c r="H156" s="269"/>
      <c r="I156" s="269"/>
      <c r="J156" s="273">
        <f>IF(I156="N",0,I156)</f>
        <v>0</v>
      </c>
      <c r="K156" s="269"/>
      <c r="L156" s="273">
        <f t="shared" si="2082"/>
        <v>0</v>
      </c>
      <c r="M156" s="269" t="s">
        <v>178</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4.7868750000000002</v>
      </c>
      <c r="AM159" s="195">
        <f t="shared" si="2169"/>
        <v>4786.875</v>
      </c>
      <c r="AN159" s="196">
        <f t="shared" ref="AN159:AS159" si="2170">SUM(AN9:AN158)</f>
        <v>0</v>
      </c>
      <c r="AO159" s="197">
        <f t="shared" si="2170"/>
        <v>0</v>
      </c>
      <c r="AP159" s="197">
        <f t="shared" si="2170"/>
        <v>11468.296</v>
      </c>
      <c r="AQ159" s="197">
        <f t="shared" si="2170"/>
        <v>11468296</v>
      </c>
      <c r="AR159" s="197">
        <f t="shared" si="2170"/>
        <v>0</v>
      </c>
      <c r="AS159" s="197">
        <f t="shared" si="2170"/>
        <v>0</v>
      </c>
      <c r="AT159" s="197">
        <f t="shared" ref="AT159:AU159" si="2171">SUM(AT9:AT158)</f>
        <v>12.765000000000001</v>
      </c>
      <c r="AU159" s="198">
        <f t="shared" si="2171"/>
        <v>12765</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11485.847875000001</v>
      </c>
      <c r="CD159" s="198">
        <f t="shared" si="2180"/>
        <v>11485847.875</v>
      </c>
    </row>
    <row r="160" spans="2:82" x14ac:dyDescent="0.2">
      <c r="AC160" s="203"/>
      <c r="AK160" s="203">
        <f>AG159+AI159+AK159+AM159</f>
        <v>4786.875</v>
      </c>
      <c r="AS160" s="203">
        <f>AO159+AQ159+AS159+AU159</f>
        <v>11481061</v>
      </c>
      <c r="BA160" s="203">
        <f>AW159+AY159+BA159+BC159</f>
        <v>0</v>
      </c>
      <c r="BI160" s="203">
        <f>BE159+BG159+BI159+BK159</f>
        <v>0</v>
      </c>
      <c r="BR160" s="203">
        <f>BN159+BP159+BR159+BT159</f>
        <v>0</v>
      </c>
      <c r="BZ160" s="203">
        <f>BV159+BX159+BZ159+CB159</f>
        <v>0</v>
      </c>
      <c r="CC160" s="203"/>
    </row>
    <row r="161" spans="3:82" x14ac:dyDescent="0.2">
      <c r="AK161" s="203"/>
      <c r="BP161" s="162" t="s">
        <v>188</v>
      </c>
      <c r="BR161" s="203">
        <f>BP159+BR159+BT159</f>
        <v>0</v>
      </c>
      <c r="BX161" s="162" t="s">
        <v>188</v>
      </c>
      <c r="BZ161" s="203">
        <f>BX159+BZ159+CB159</f>
        <v>0</v>
      </c>
    </row>
    <row r="162" spans="3:82" x14ac:dyDescent="0.2">
      <c r="AI162" s="203"/>
    </row>
    <row r="163" spans="3:82" x14ac:dyDescent="0.2">
      <c r="AR163" s="162" t="s">
        <v>202</v>
      </c>
    </row>
    <row r="164" spans="3:82" ht="41.25" customHeight="1" x14ac:dyDescent="0.2">
      <c r="AQ164" s="162" t="s">
        <v>203</v>
      </c>
      <c r="AS164" s="203">
        <f>AK160+AS160</f>
        <v>11485847.875</v>
      </c>
    </row>
    <row r="165" spans="3:82" ht="12.75" customHeight="1" x14ac:dyDescent="0.2">
      <c r="AQ165" s="162" t="s">
        <v>204</v>
      </c>
      <c r="AS165" s="203">
        <f>'Krok 2- Tabuľky na skopírovanie'!C10+'Krok 2- Tabuľky na skopírovanie'!E10</f>
        <v>11485847.875</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205</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4ULEIEq3wqH3v94RcqvdHRPctdJ9ChXJ9yyR+It47Qo43fBZqXqh9b9ay9teikFMfkXCHkAX6aagVM9JaD8j3Q==" saltValue="5lcNkrGww7Tt/Sjrz7sdGw=="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95" yWindow="786"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9:C14 C21:C23"/>
    <dataValidation type="textLength" operator="lessThan" allowBlank="1" showInputMessage="1" showErrorMessage="1" sqref="H9:H14 H21:H23">
      <formula1>256</formula1>
    </dataValidation>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95" yWindow="786"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topLeftCell="A22" zoomScale="110" zoomScaleNormal="110" workbookViewId="0">
      <selection activeCell="A27" sqref="A27:XFD27"/>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179</v>
      </c>
      <c r="C6" s="357">
        <f>'Krok 1- Kalkulačka '!AG159</f>
        <v>0</v>
      </c>
      <c r="D6" s="357"/>
      <c r="E6" s="363">
        <f>'Krok 1- Kalkulačka '!AO159</f>
        <v>0</v>
      </c>
      <c r="F6" s="364"/>
    </row>
    <row r="7" spans="1:12" ht="15" customHeight="1" x14ac:dyDescent="0.2">
      <c r="B7" s="208" t="s">
        <v>180</v>
      </c>
      <c r="C7" s="357">
        <f>'Krok 1- Kalkulačka '!AI159</f>
        <v>0</v>
      </c>
      <c r="D7" s="357"/>
      <c r="E7" s="363">
        <f>'Krok 1- Kalkulačka '!AQ159</f>
        <v>11468296</v>
      </c>
      <c r="F7" s="364"/>
    </row>
    <row r="8" spans="1:12" ht="15" customHeight="1" x14ac:dyDescent="0.2">
      <c r="B8" s="208" t="s">
        <v>98</v>
      </c>
      <c r="C8" s="357">
        <f>'Krok 1- Kalkulačka '!AK159</f>
        <v>0</v>
      </c>
      <c r="D8" s="357"/>
      <c r="E8" s="363">
        <f>'Krok 1- Kalkulačka '!AS159</f>
        <v>0</v>
      </c>
      <c r="F8" s="364"/>
    </row>
    <row r="9" spans="1:12" ht="15" customHeight="1" x14ac:dyDescent="0.2">
      <c r="B9" s="208" t="s">
        <v>99</v>
      </c>
      <c r="C9" s="357">
        <f>'Krok 1- Kalkulačka '!AM159</f>
        <v>4786.875</v>
      </c>
      <c r="D9" s="357"/>
      <c r="E9" s="363">
        <f>'Krok 1- Kalkulačka '!AU159</f>
        <v>12765</v>
      </c>
      <c r="F9" s="364"/>
    </row>
    <row r="10" spans="1:12" ht="15" customHeight="1" x14ac:dyDescent="0.2">
      <c r="B10" s="208" t="s">
        <v>100</v>
      </c>
      <c r="C10" s="357">
        <f>SUM(C6:C9)</f>
        <v>4786.875</v>
      </c>
      <c r="D10" s="357"/>
      <c r="E10" s="363">
        <f>SUM(E6:E9)</f>
        <v>11481061</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0</v>
      </c>
      <c r="F12" s="364"/>
    </row>
    <row r="13" spans="1:12" ht="49.5" customHeight="1" thickBot="1" x14ac:dyDescent="0.25">
      <c r="B13" s="209" t="s">
        <v>196</v>
      </c>
      <c r="C13" s="358">
        <f>'Krok 1- Kalkulačka '!BR161</f>
        <v>0</v>
      </c>
      <c r="D13" s="358"/>
      <c r="E13" s="367">
        <f>'Krok 1- Kalkulačka '!BZ160</f>
        <v>0</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4786.875</v>
      </c>
      <c r="D16" s="360"/>
      <c r="E16" s="365">
        <f>E7+E8+E9-E13</f>
        <v>11481061</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211</v>
      </c>
      <c r="D20" s="353" t="s">
        <v>210</v>
      </c>
      <c r="E20" s="351" t="s">
        <v>108</v>
      </c>
      <c r="F20" s="351" t="s">
        <v>160</v>
      </c>
      <c r="G20" s="351" t="s">
        <v>102</v>
      </c>
      <c r="H20" s="351" t="s">
        <v>162</v>
      </c>
      <c r="I20" s="351" t="s">
        <v>163</v>
      </c>
      <c r="J20" s="351" t="s">
        <v>106</v>
      </c>
      <c r="K20" s="351" t="s">
        <v>107</v>
      </c>
      <c r="L20" s="351" t="s">
        <v>212</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13.5" customHeight="1" x14ac:dyDescent="0.2">
      <c r="A26" s="223">
        <f>'Krok 1- Kalkulačka '!B9</f>
        <v>1</v>
      </c>
      <c r="B26" s="223" t="str">
        <f>'Krok 1- Kalkulačka '!C9</f>
        <v xml:space="preserve">a) zabezpečiť zhodnotenie a recykláciu stavebného odpadu a odpadu z demolácie vrátane zasypávacích prác ako náhrady za iné materiály </v>
      </c>
      <c r="C26" s="223" t="str">
        <f>'Krok 1- Kalkulačka '!D9</f>
        <v>návrh zákona</v>
      </c>
      <c r="D26" s="223" t="str">
        <f>'Krok 1- Kalkulačka '!E9</f>
        <v>§ 77 ods. 3 písm. a)</v>
      </c>
      <c r="E26" s="223" t="str">
        <f>'Krok 1- Kalkulačka '!F9</f>
        <v>SK</v>
      </c>
      <c r="F26" s="226">
        <f>IF('Krok 1- Kalkulačka '!G9&gt;0,'Krok 1- Kalkulačka '!G9,"-")</f>
        <v>44743</v>
      </c>
      <c r="G26" s="223" t="str">
        <f>'Krok 1- Kalkulačka '!H9</f>
        <v>Investori a stavebné spoločnosti</v>
      </c>
      <c r="H26" s="224">
        <f>'Krok 1- Kalkulačka '!I9</f>
        <v>1000</v>
      </c>
      <c r="I26" s="224" t="str">
        <f>'Krok 1- Kalkulačka '!K9</f>
        <v>N</v>
      </c>
      <c r="J26" s="225">
        <f>IF($L26="In (zvyšuje náklady)",'Krok 1- Kalkulačka '!CC9,'Krok 1- Kalkulačka '!CC9)</f>
        <v>5734.1480000000001</v>
      </c>
      <c r="K26" s="225">
        <f>IF($L26="In (zvyšuje náklady)",'Krok 1- Kalkulačka '!CD9,'Krok 1- Kalkulačka '!CD9)</f>
        <v>5734148</v>
      </c>
      <c r="L26" s="223" t="str">
        <f>'Krok 1- Kalkulačka '!M9</f>
        <v>Out (znižuje náklady)</v>
      </c>
    </row>
    <row r="27" spans="1:12" ht="76.5" x14ac:dyDescent="0.2">
      <c r="A27" s="223">
        <f>'Krok 1- Kalkulačka '!B12</f>
        <v>2</v>
      </c>
      <c r="B27" s="223" t="str">
        <f>'Krok 1- Kalkulačka '!C12</f>
        <v>c) stavebné odpady a odpady z demolácií prednostne materiálovo zhodnotiť a výstup z recyklácie realizovaný priamo na stavbe prednostne využiť pri svojej činnosti, ak je to technické, ekonomické a organizačné podmienky dovoľujú</v>
      </c>
      <c r="C27" s="223" t="str">
        <f>'Krok 1- Kalkulačka '!D12</f>
        <v>návrh zákona</v>
      </c>
      <c r="D27" s="223" t="str">
        <f>'Krok 1- Kalkulačka '!E12</f>
        <v>§ 77 ods. 3 písm. c)</v>
      </c>
      <c r="E27" s="223" t="str">
        <f>'Krok 1- Kalkulačka '!F12</f>
        <v>SK</v>
      </c>
      <c r="F27" s="226">
        <f>IF('Krok 1- Kalkulačka '!G12&gt;0,'Krok 1- Kalkulačka '!G12,"-")</f>
        <v>44743</v>
      </c>
      <c r="G27" s="223" t="str">
        <f>'Krok 1- Kalkulačka '!H12</f>
        <v>Investori a stavebné spoločnosti</v>
      </c>
      <c r="H27" s="224">
        <f>'Krok 1- Kalkulačka '!I12</f>
        <v>1000</v>
      </c>
      <c r="I27" s="224" t="str">
        <f>'Krok 1- Kalkulačka '!K12</f>
        <v>N</v>
      </c>
      <c r="J27" s="225">
        <f>IF($L27="In (zvyšuje náklady)",'Krok 1- Kalkulačka '!CC12,'Krok 1- Kalkulačka '!CC12)</f>
        <v>5734.1480000000001</v>
      </c>
      <c r="K27" s="225">
        <f>IF($L27="In (zvyšuje náklady)",'Krok 1- Kalkulačka '!CD12,'Krok 1- Kalkulačka '!CD12)</f>
        <v>5734148</v>
      </c>
      <c r="L27" s="223" t="str">
        <f>'Krok 1- Kalkulačka '!M12</f>
        <v>Out (znižuje náklady)</v>
      </c>
    </row>
    <row r="28" spans="1:12" ht="63.75" x14ac:dyDescent="0.2">
      <c r="A28" s="223">
        <f>'Krok 1- Kalkulačka '!B15</f>
        <v>3</v>
      </c>
      <c r="B28" s="223" t="str">
        <f>'Krok 1- Kalkulačka '!C15</f>
        <v xml:space="preserve">e) pred realizáciou demolačných prác najneskôr tri dni vopred  písomne ohlásiť orgánu štátnej správy odpadového hospodárstva, v ktorého územnom obvode bude búracie práce </v>
      </c>
      <c r="C28" s="223" t="str">
        <f>'Krok 1- Kalkulačka '!D15</f>
        <v>návrh zákona</v>
      </c>
      <c r="D28" s="223" t="str">
        <f>'Krok 1- Kalkulačka '!E15</f>
        <v>§ 77 ods. 3 písm. e)</v>
      </c>
      <c r="E28" s="223" t="str">
        <f>'Krok 1- Kalkulačka '!F15</f>
        <v>SK</v>
      </c>
      <c r="F28" s="226">
        <f>IF('Krok 1- Kalkulačka '!G15&gt;0,'Krok 1- Kalkulačka '!G15,"-")</f>
        <v>44743</v>
      </c>
      <c r="G28" s="223" t="str">
        <f>'Krok 1- Kalkulačka '!H15</f>
        <v>Investori a stavebné spoločnosti</v>
      </c>
      <c r="H28" s="224">
        <f>'Krok 1- Kalkulačka '!I15</f>
        <v>1000</v>
      </c>
      <c r="I28" s="224" t="str">
        <f>'Krok 1- Kalkulačka '!K15</f>
        <v>N</v>
      </c>
      <c r="J28" s="225">
        <f>IF($L28="In (zvyšuje náklady)",'Krok 1- Kalkulačka '!CC15,'Krok 1- Kalkulačka '!CC15)</f>
        <v>2.3934375000000001</v>
      </c>
      <c r="K28" s="225">
        <f>IF($L28="In (zvyšuje náklady)",'Krok 1- Kalkulačka '!CD15,'Krok 1- Kalkulačka '!CD15)</f>
        <v>2393.4375</v>
      </c>
      <c r="L28" s="223" t="str">
        <f>'Krok 1- Kalkulačka '!M15</f>
        <v>In (zvyšuje náklady)</v>
      </c>
    </row>
    <row r="29" spans="1:12" ht="102" x14ac:dyDescent="0.2">
      <c r="A29" s="223">
        <f>'Krok 1- Kalkulačka '!B18</f>
        <v>4</v>
      </c>
      <c r="B29" s="223" t="str">
        <f>'Krok 1- Kalkulačka '!C18</f>
        <v>f) po ukončení demolačných prác, najneskôr do tridsiatich dni, písomne ohlásiť orgánu štátnej správy odpadového hospodárstva, ktorému bolo ohlásené začatie búracích prác, vyhodnotenie selektívnej demolácie obsahujúcom druh, kategóriu, množstvo odpadu a spôsob ktorým bol odpad zhodnocovaný alebo zneškodňovaný,</v>
      </c>
      <c r="C29" s="223" t="str">
        <f>'Krok 1- Kalkulačka '!D18</f>
        <v>návrh zákona</v>
      </c>
      <c r="D29" s="223" t="str">
        <f>'Krok 1- Kalkulačka '!E18</f>
        <v>§ 77 ods. 3 písm. f)</v>
      </c>
      <c r="E29" s="223" t="str">
        <f>'Krok 1- Kalkulačka '!F18</f>
        <v>SK</v>
      </c>
      <c r="F29" s="226">
        <f>IF('Krok 1- Kalkulačka '!G18&gt;0,'Krok 1- Kalkulačka '!G18,"-")</f>
        <v>44743</v>
      </c>
      <c r="G29" s="223" t="str">
        <f>'Krok 1- Kalkulačka '!H18</f>
        <v>Investori a stavebné spoločnosti</v>
      </c>
      <c r="H29" s="224">
        <f>'Krok 1- Kalkulačka '!I18</f>
        <v>1000</v>
      </c>
      <c r="I29" s="224" t="str">
        <f>'Krok 1- Kalkulačka '!K18</f>
        <v>N</v>
      </c>
      <c r="J29" s="225">
        <f>IF($L29="In (zvyšuje náklady)",'Krok 1- Kalkulačka '!CC18,'Krok 1- Kalkulačka '!CC18)</f>
        <v>2.3934375000000001</v>
      </c>
      <c r="K29" s="225">
        <f>IF($L29="In (zvyšuje náklady)",'Krok 1- Kalkulačka '!CD18,'Krok 1- Kalkulačka '!CD18)</f>
        <v>2393.4375</v>
      </c>
      <c r="L29" s="223" t="str">
        <f>'Krok 1- Kalkulačka '!M18</f>
        <v>In (zvyšuje náklady)</v>
      </c>
    </row>
    <row r="30" spans="1:12" ht="76.5" x14ac:dyDescent="0.2">
      <c r="A30" s="223">
        <f>'Krok 1- Kalkulačka '!B21</f>
        <v>5</v>
      </c>
      <c r="B30" s="223" t="str">
        <f>'Krok 1- Kalkulačka '!C21</f>
        <v>legislatívnou zmenou sa upravujú právne podmienky pre používanie nekontaminovaných výkopových zemín ako vedľajšieho produktu za dodržania súbežne aj podmienok ustanovených vo vykonávacom predpise</v>
      </c>
      <c r="C30" s="223" t="str">
        <f>'Krok 1- Kalkulačka '!D21</f>
        <v>návrh zákona</v>
      </c>
      <c r="D30" s="223" t="str">
        <f>'Krok 1- Kalkulačka '!E21</f>
        <v>príloha č. 8b</v>
      </c>
      <c r="E30" s="223" t="str">
        <f>'Krok 1- Kalkulačka '!F21</f>
        <v>SK</v>
      </c>
      <c r="F30" s="226">
        <f>IF('Krok 1- Kalkulačka '!G21&gt;0,'Krok 1- Kalkulačka '!G21,"-")</f>
        <v>44743</v>
      </c>
      <c r="G30" s="223" t="str">
        <f>'Krok 1- Kalkulačka '!H21</f>
        <v>Investori a stavebné spoločnosti</v>
      </c>
      <c r="H30" s="224">
        <f>'Krok 1- Kalkulačka '!I21</f>
        <v>1000</v>
      </c>
      <c r="I30" s="224" t="str">
        <f>'Krok 1- Kalkulačka '!K21</f>
        <v>N</v>
      </c>
      <c r="J30" s="225">
        <f>IF($L30="In (zvyšuje náklady)",'Krok 1- Kalkulačka '!CC21,'Krok 1- Kalkulačka '!CC21)</f>
        <v>6.3825000000000003</v>
      </c>
      <c r="K30" s="225">
        <f>IF($L30="In (zvyšuje náklady)",'Krok 1- Kalkulačka '!CD21,'Krok 1- Kalkulačka '!CD21)</f>
        <v>6382.5</v>
      </c>
      <c r="L30" s="223" t="str">
        <f>'Krok 1- Kalkulačka '!M21</f>
        <v>Out (znižuje náklady)</v>
      </c>
    </row>
    <row r="31" spans="1:12" ht="63.75" x14ac:dyDescent="0.2">
      <c r="A31" s="223">
        <f>'Krok 1- Kalkulačka '!B24</f>
        <v>6</v>
      </c>
      <c r="B31" s="223" t="str">
        <f>'Krok 1- Kalkulačka '!C24</f>
        <v>legislatívnou zmenou sa upravujú právne podmienky pre používanie vyfrézovanej asfaltovej zmesi ako vedľajšieho produktu za dodržania súbežne aj podmienok ustanovených vo vykonávacom predpise</v>
      </c>
      <c r="C31" s="223" t="str">
        <f>'Krok 1- Kalkulačka '!D24</f>
        <v>návrh zákona</v>
      </c>
      <c r="D31" s="223" t="str">
        <f>'Krok 1- Kalkulačka '!E24</f>
        <v>príloha č. 8b</v>
      </c>
      <c r="E31" s="223" t="str">
        <f>'Krok 1- Kalkulačka '!F24</f>
        <v>SK</v>
      </c>
      <c r="F31" s="226">
        <f>IF('Krok 1- Kalkulačka '!G24&gt;0,'Krok 1- Kalkulačka '!G24,"-")</f>
        <v>44743</v>
      </c>
      <c r="G31" s="223" t="str">
        <f>'Krok 1- Kalkulačka '!H24</f>
        <v>Investori a stavebné spoločnosti</v>
      </c>
      <c r="H31" s="224">
        <f>'Krok 1- Kalkulačka '!I24</f>
        <v>1000</v>
      </c>
      <c r="I31" s="224" t="str">
        <f>'Krok 1- Kalkulačka '!K24</f>
        <v>N</v>
      </c>
      <c r="J31" s="225">
        <f>IF($L31="In (zvyšuje náklady)",'Krok 1- Kalkulačka '!CC24,'Krok 1- Kalkulačka '!CC24)</f>
        <v>6.3825000000000003</v>
      </c>
      <c r="K31" s="225">
        <f>IF($L31="In (zvyšuje náklady)",'Krok 1- Kalkulačka '!CD24,'Krok 1- Kalkulačka '!CD24)</f>
        <v>6382.5</v>
      </c>
      <c r="L31" s="223" t="str">
        <f>'Krok 1- Kalkulačka '!M24</f>
        <v>Out (znižuje náklady)</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xX98UtmN0QnUnznfyEqD6HSPUN1FhDrf88TPmq0JbhDIfwV6Uy53wwHfU6lZZzKyEADcROwpZgyGvfJIeAoA5Q==" saltValue="g0c7F+d0Tr4K5OSL5pH8W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A10" workbookViewId="0">
      <selection activeCell="D1" sqref="D1"/>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182</v>
      </c>
      <c r="C15" s="396" t="s">
        <v>175</v>
      </c>
      <c r="D15" s="396"/>
      <c r="E15" s="396"/>
      <c r="F15" s="396"/>
      <c r="G15" s="396"/>
      <c r="H15" s="396"/>
      <c r="I15" s="396"/>
      <c r="J15" s="396"/>
      <c r="K15" s="396"/>
      <c r="L15" s="396"/>
      <c r="M15" s="396"/>
      <c r="N15" s="396"/>
      <c r="O15" s="396"/>
      <c r="P15" s="396"/>
      <c r="Q15" s="396"/>
    </row>
    <row r="16" spans="1:17" ht="72" customHeight="1" x14ac:dyDescent="0.2">
      <c r="A16" s="134"/>
      <c r="B16" s="126" t="s">
        <v>183</v>
      </c>
      <c r="C16" s="396" t="s">
        <v>174</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6" sqref="C6"/>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184</v>
      </c>
    </row>
    <row r="6" spans="2:6" x14ac:dyDescent="0.2">
      <c r="B6" s="9" t="s">
        <v>25</v>
      </c>
      <c r="C6" s="3">
        <v>60</v>
      </c>
      <c r="F6" s="146" t="s">
        <v>186</v>
      </c>
    </row>
    <row r="7" spans="2:6" ht="13.5" thickBot="1" x14ac:dyDescent="0.25">
      <c r="B7" s="9" t="s">
        <v>18</v>
      </c>
      <c r="C7" s="3">
        <v>100</v>
      </c>
      <c r="F7" s="147" t="s">
        <v>185</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179</v>
      </c>
      <c r="B6" s="84">
        <f>'Krok 1- Kalkulačka '!AG159</f>
        <v>0</v>
      </c>
      <c r="C6" s="87">
        <f>'Krok 1- Kalkulačka '!AO159</f>
        <v>0</v>
      </c>
      <c r="E6" s="419"/>
      <c r="F6" s="419"/>
      <c r="G6" s="419"/>
      <c r="H6" s="419"/>
      <c r="I6" s="419"/>
      <c r="J6" s="419"/>
      <c r="K6" s="419"/>
      <c r="L6" s="419"/>
      <c r="M6" s="419"/>
      <c r="N6" s="419"/>
      <c r="O6" s="419"/>
    </row>
    <row r="7" spans="1:15" x14ac:dyDescent="0.2">
      <c r="A7" s="141" t="s">
        <v>180</v>
      </c>
      <c r="B7" s="84">
        <f>'Krok 1- Kalkulačka '!AI159</f>
        <v>0</v>
      </c>
      <c r="C7" s="87">
        <f>'Krok 1- Kalkulačka '!AQ159</f>
        <v>11468296</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33.75" x14ac:dyDescent="0.2">
      <c r="A10" s="80" t="s">
        <v>100</v>
      </c>
      <c r="B10" s="85" t="e">
        <f>SUM(B6:B9)</f>
        <v>#REF!</v>
      </c>
      <c r="C10" s="88" t="e">
        <f>SUM(C6:C9)</f>
        <v>#REF!</v>
      </c>
      <c r="E10" s="142">
        <f>'Krok 1- Kalkulačka '!B9</f>
        <v>1</v>
      </c>
      <c r="F10" s="142" t="str">
        <f>'Krok 1- Kalkulačka '!C9</f>
        <v xml:space="preserve">a) zabezpečiť zhodnotenie a recykláciu stavebného odpadu a odpadu z demolácie vrátane zasypávacích prác ako náhrady za iné materiály </v>
      </c>
      <c r="G10" s="142" t="str">
        <f>'Krok 1- Kalkulačka '!E9</f>
        <v>§ 77 ods. 3 písm. a)</v>
      </c>
      <c r="H10" s="142" t="str">
        <f>'Krok 1- Kalkulačka '!F9</f>
        <v>SK</v>
      </c>
      <c r="I10" s="142">
        <f>'Krok 1- Kalkulačka '!G9</f>
        <v>44743</v>
      </c>
      <c r="J10" s="142" t="str">
        <f>'Krok 1- Kalkulačka '!H9</f>
        <v>Investori a stavebné spoločnosti</v>
      </c>
      <c r="K10" s="142">
        <f>'Krok 1- Kalkulačka '!I9</f>
        <v>1000</v>
      </c>
      <c r="L10" s="142">
        <f>'Krok 1- Kalkulačka '!L9</f>
        <v>0</v>
      </c>
      <c r="M10" s="143">
        <f>'Krok 1- Kalkulačka '!CC9</f>
        <v>5734.1480000000001</v>
      </c>
      <c r="N10" s="143">
        <f>'Krok 1- Kalkulačka '!CD9</f>
        <v>5734148</v>
      </c>
      <c r="O10" s="142" t="str">
        <f>'Krok 1- Kalkulačka '!M9</f>
        <v>Out (znižuje náklady)</v>
      </c>
    </row>
    <row r="11" spans="1:15" ht="20.25" customHeight="1" x14ac:dyDescent="0.2">
      <c r="A11" s="80" t="s">
        <v>84</v>
      </c>
      <c r="B11" s="86"/>
      <c r="C11" s="89"/>
      <c r="E11" s="142">
        <f>'Krok 1- Kalkulačka '!B12</f>
        <v>2</v>
      </c>
      <c r="F11" s="142" t="str">
        <f>'Krok 1- Kalkulačka '!C12</f>
        <v>c) stavebné odpady a odpady z demolácií prednostne materiálovo zhodnotiť a výstup z recyklácie realizovaný priamo na stavbe prednostne využiť pri svojej činnosti, ak je to technické, ekonomické a organizačné podmienky dovoľujú</v>
      </c>
      <c r="G11" s="142" t="str">
        <f>'Krok 1- Kalkulačka '!E12</f>
        <v>§ 77 ods. 3 písm. c)</v>
      </c>
      <c r="H11" s="142" t="str">
        <f>'Krok 1- Kalkulačka '!F12</f>
        <v>SK</v>
      </c>
      <c r="I11" s="142">
        <f>'Krok 1- Kalkulačka '!G12</f>
        <v>44743</v>
      </c>
      <c r="J11" s="142" t="str">
        <f>'Krok 1- Kalkulačka '!H12</f>
        <v>Investori a stavebné spoločnosti</v>
      </c>
      <c r="K11" s="142">
        <f>'Krok 1- Kalkulačka '!I12</f>
        <v>1000</v>
      </c>
      <c r="L11" s="142">
        <f>'Krok 1- Kalkulačka '!L12</f>
        <v>0</v>
      </c>
      <c r="M11" s="143">
        <f>'Krok 1- Kalkulačka '!CC12</f>
        <v>5734.1480000000001</v>
      </c>
      <c r="N11" s="143">
        <f>'Krok 1- Kalkulačka '!CD12</f>
        <v>5734148</v>
      </c>
      <c r="O11" s="142" t="str">
        <f>'Krok 1- Kalkulačka '!M12</f>
        <v>Out (znižuje náklady)</v>
      </c>
    </row>
    <row r="12" spans="1:15" ht="33.75" x14ac:dyDescent="0.2">
      <c r="A12" s="79" t="s">
        <v>114</v>
      </c>
      <c r="B12" s="85">
        <f>'Krok 1- Kalkulačka '!BA160</f>
        <v>0</v>
      </c>
      <c r="C12" s="88">
        <f>'Krok 1- Kalkulačka '!BI160</f>
        <v>0</v>
      </c>
      <c r="E12" s="142">
        <f>'Krok 1- Kalkulačka '!B15</f>
        <v>3</v>
      </c>
      <c r="F12" s="142" t="str">
        <f>'Krok 1- Kalkulačka '!C15</f>
        <v xml:space="preserve">e) pred realizáciou demolačných prác najneskôr tri dni vopred  písomne ohlásiť orgánu štátnej správy odpadového hospodárstva, v ktorého územnom obvode bude búracie práce </v>
      </c>
      <c r="G12" s="142" t="str">
        <f>'Krok 1- Kalkulačka '!E15</f>
        <v>§ 77 ods. 3 písm. e)</v>
      </c>
      <c r="H12" s="142" t="str">
        <f>'Krok 1- Kalkulačka '!F15</f>
        <v>SK</v>
      </c>
      <c r="I12" s="142">
        <f>'Krok 1- Kalkulačka '!G15</f>
        <v>44743</v>
      </c>
      <c r="J12" s="142" t="str">
        <f>'Krok 1- Kalkulačka '!H15</f>
        <v>Investori a stavebné spoločnosti</v>
      </c>
      <c r="K12" s="142">
        <f>'Krok 1- Kalkulačka '!I15</f>
        <v>1000</v>
      </c>
      <c r="L12" s="142">
        <f>'Krok 1- Kalkulačka '!L15</f>
        <v>0</v>
      </c>
      <c r="M12" s="143">
        <f>'Krok 1- Kalkulačka '!CC15</f>
        <v>2.3934375000000001</v>
      </c>
      <c r="N12" s="143">
        <f>'Krok 1- Kalkulačka '!CD15</f>
        <v>2393.4375</v>
      </c>
      <c r="O12" s="142" t="str">
        <f>'Krok 1- Kalkulačka '!M15</f>
        <v>In (zvyšuje náklady)</v>
      </c>
    </row>
    <row r="13" spans="1:15" ht="67.5" x14ac:dyDescent="0.2">
      <c r="A13" s="79" t="s">
        <v>181</v>
      </c>
      <c r="B13" s="84">
        <f>'Krok 1- Kalkulačka '!BR160</f>
        <v>0</v>
      </c>
      <c r="C13" s="87">
        <f>'Krok 1- Kalkulačka '!BZ160</f>
        <v>0</v>
      </c>
      <c r="E13" s="142">
        <f>'Krok 1- Kalkulačka '!B18</f>
        <v>4</v>
      </c>
      <c r="F13" s="142" t="str">
        <f>'Krok 1- Kalkulačka '!C18</f>
        <v>f) po ukončení demolačných prác, najneskôr do tridsiatich dni, písomne ohlásiť orgánu štátnej správy odpadového hospodárstva, ktorému bolo ohlásené začatie búracích prác, vyhodnotenie selektívnej demolácie obsahujúcom druh, kategóriu, množstvo odpadu a spôsob ktorým bol odpad zhodnocovaný alebo zneškodňovaný,</v>
      </c>
      <c r="G13" s="142" t="str">
        <f>'Krok 1- Kalkulačka '!E18</f>
        <v>§ 77 ods. 3 písm. f)</v>
      </c>
      <c r="H13" s="142" t="str">
        <f>'Krok 1- Kalkulačka '!F18</f>
        <v>SK</v>
      </c>
      <c r="I13" s="142">
        <f>'Krok 1- Kalkulačka '!G18</f>
        <v>44743</v>
      </c>
      <c r="J13" s="142" t="str">
        <f>'Krok 1- Kalkulačka '!H18</f>
        <v>Investori a stavebné spoločnosti</v>
      </c>
      <c r="K13" s="142">
        <f>'Krok 1- Kalkulačka '!I18</f>
        <v>1000</v>
      </c>
      <c r="L13" s="142">
        <f>'Krok 1- Kalkulačka '!L18</f>
        <v>0</v>
      </c>
      <c r="M13" s="143">
        <f>'Krok 1- Kalkulačka '!CC18</f>
        <v>2.3934375000000001</v>
      </c>
      <c r="N13" s="143">
        <f>'Krok 1- Kalkulačka '!CD18</f>
        <v>2393.4375</v>
      </c>
      <c r="O13" s="142" t="str">
        <f>'Krok 1- Kalkulačka '!M18</f>
        <v>In (zvyšuje náklady)</v>
      </c>
    </row>
    <row r="14" spans="1:15" ht="13.5" customHeight="1" x14ac:dyDescent="0.2">
      <c r="A14" s="416"/>
      <c r="B14" s="417"/>
      <c r="C14" s="418"/>
      <c r="E14" s="142">
        <f>'Krok 1- Kalkulačka '!B21</f>
        <v>5</v>
      </c>
      <c r="F14" s="142" t="str">
        <f>'Krok 1- Kalkulačka '!C21</f>
        <v>legislatívnou zmenou sa upravujú právne podmienky pre používanie nekontaminovaných výkopových zemín ako vedľajšieho produktu za dodržania súbežne aj podmienok ustanovených vo vykonávacom predpise</v>
      </c>
      <c r="G14" s="142" t="str">
        <f>'Krok 1- Kalkulačka '!E21</f>
        <v>príloha č. 8b</v>
      </c>
      <c r="H14" s="142" t="str">
        <f>'Krok 1- Kalkulačka '!F21</f>
        <v>SK</v>
      </c>
      <c r="I14" s="142">
        <f>'Krok 1- Kalkulačka '!G21</f>
        <v>44743</v>
      </c>
      <c r="J14" s="142" t="str">
        <f>'Krok 1- Kalkulačka '!H21</f>
        <v>Investori a stavebné spoločnosti</v>
      </c>
      <c r="K14" s="142">
        <f>'Krok 1- Kalkulačka '!I21</f>
        <v>1000</v>
      </c>
      <c r="L14" s="142">
        <f>'Krok 1- Kalkulačka '!L21</f>
        <v>0</v>
      </c>
      <c r="M14" s="143">
        <f>'Krok 1- Kalkulačka '!CC21</f>
        <v>6.3825000000000003</v>
      </c>
      <c r="N14" s="143">
        <f>'Krok 1- Kalkulačka '!CD21</f>
        <v>6382.5</v>
      </c>
      <c r="O14" s="142" t="str">
        <f>'Krok 1- Kalkulačka '!M21</f>
        <v>Out (znižuje náklady)</v>
      </c>
    </row>
    <row r="15" spans="1:15" ht="45" x14ac:dyDescent="0.2">
      <c r="A15" s="79" t="s">
        <v>115</v>
      </c>
      <c r="B15" s="84" t="s">
        <v>72</v>
      </c>
      <c r="C15" s="87" t="s">
        <v>71</v>
      </c>
      <c r="E15" s="142">
        <f>'Krok 1- Kalkulačka '!B24</f>
        <v>6</v>
      </c>
      <c r="F15" s="142" t="str">
        <f>'Krok 1- Kalkulačka '!C24</f>
        <v>legislatívnou zmenou sa upravujú právne podmienky pre používanie vyfrézovanej asfaltovej zmesi ako vedľajšieho produktu za dodržania súbežne aj podmienok ustanovených vo vykonávacom predpise</v>
      </c>
      <c r="G15" s="142" t="str">
        <f>'Krok 1- Kalkulačka '!E24</f>
        <v>príloha č. 8b</v>
      </c>
      <c r="H15" s="142" t="str">
        <f>'Krok 1- Kalkulačka '!F24</f>
        <v>SK</v>
      </c>
      <c r="I15" s="142">
        <f>'Krok 1- Kalkulačka '!G24</f>
        <v>44743</v>
      </c>
      <c r="J15" s="142" t="str">
        <f>'Krok 1- Kalkulačka '!H24</f>
        <v>Investori a stavebné spoločnosti</v>
      </c>
      <c r="K15" s="142">
        <f>'Krok 1- Kalkulačka '!I24</f>
        <v>1000</v>
      </c>
      <c r="L15" s="142">
        <f>'Krok 1- Kalkulačka '!L24</f>
        <v>0</v>
      </c>
      <c r="M15" s="143">
        <f>'Krok 1- Kalkulačka '!CC24</f>
        <v>6.3825000000000003</v>
      </c>
      <c r="N15" s="143">
        <f>'Krok 1- Kalkulačka '!CD24</f>
        <v>6382.5</v>
      </c>
      <c r="O15" s="142" t="str">
        <f>'Krok 1- Kalkulačka '!M24</f>
        <v>Out (znižuje náklady)</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Ďuračka Ľubomír</cp:lastModifiedBy>
  <cp:lastPrinted>2020-07-31T11:00:31Z</cp:lastPrinted>
  <dcterms:created xsi:type="dcterms:W3CDTF">2014-07-30T13:24:38Z</dcterms:created>
  <dcterms:modified xsi:type="dcterms:W3CDTF">2022-01-18T09:55:11Z</dcterms:modified>
</cp:coreProperties>
</file>