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65506" windowWidth="12120" windowHeight="9120" activeTab="0"/>
  </bookViews>
  <sheets>
    <sheet name="Indikátory" sheetId="1" r:id="rId1"/>
    <sheet name="Indikátory_angl." sheetId="2" r:id="rId2"/>
    <sheet name="HDP-tab" sheetId="3" r:id="rId3"/>
    <sheet name="HDP-graf" sheetId="4" r:id="rId4"/>
    <sheet name="C,I,X-graf" sheetId="5" r:id="rId5"/>
    <sheet name="S a I-tab" sheetId="6" r:id="rId6"/>
    <sheet name="SaI-graf" sheetId="7" r:id="rId7"/>
    <sheet name="Ceny-tab" sheetId="8" r:id="rId8"/>
    <sheet name="Ceny-graf" sheetId="9" r:id="rId9"/>
    <sheet name="Trh práce-tab" sheetId="10" r:id="rId10"/>
    <sheet name="Trh práce-graf" sheetId="11" r:id="rId11"/>
    <sheet name="PB-tab" sheetId="12" r:id="rId12"/>
    <sheet name="PB-graf" sheetId="13" r:id="rId13"/>
    <sheet name="Kurzy-tab" sheetId="14" r:id="rId14"/>
    <sheet name="Kurzy-graf" sheetId="15" r:id="rId15"/>
    <sheet name="Úrok. miery-tab" sheetId="16" r:id="rId16"/>
    <sheet name="Úrok.miery-graf" sheetId="17" r:id="rId17"/>
    <sheet name="Demografia" sheetId="18" r:id="rId18"/>
  </sheets>
  <definedNames>
    <definedName name="_xlnm.Print_Area" localSheetId="4">'C,I,X-graf'!$A$1:$J$111</definedName>
    <definedName name="_xlnm.Print_Area" localSheetId="8">'Ceny-graf'!$A$1:$J$66</definedName>
    <definedName name="_xlnm.Print_Area" localSheetId="7">'Ceny-tab'!$A$1:$N$38</definedName>
    <definedName name="_xlnm.Print_Area" localSheetId="17">'Demografia'!$A$1:$K$19</definedName>
    <definedName name="_xlnm.Print_Area" localSheetId="3">'HDP-graf'!$A$1:$J$67</definedName>
    <definedName name="_xlnm.Print_Area" localSheetId="2">'HDP-tab'!$A$1:$N$62</definedName>
    <definedName name="_xlnm.Print_Area" localSheetId="0">'Indikátory'!$A$1:$K$142</definedName>
    <definedName name="_xlnm.Print_Area" localSheetId="1">'Indikátory_angl.'!$A$1:$K$141</definedName>
    <definedName name="_xlnm.Print_Area" localSheetId="14">'Kurzy-graf'!$A$1:$J$21</definedName>
    <definedName name="_xlnm.Print_Area" localSheetId="13">'Kurzy-tab'!$A$1:$J$28</definedName>
    <definedName name="_xlnm.Print_Area" localSheetId="12">'PB-graf'!$A$1:$J$88</definedName>
    <definedName name="_xlnm.Print_Area" localSheetId="11">'PB-tab'!$A$1:$N$43</definedName>
    <definedName name="_xlnm.Print_Area" localSheetId="5">'S a I-tab'!$A$1:$N$19</definedName>
    <definedName name="_xlnm.Print_Area" localSheetId="6">'SaI-graf'!$A$1:$J$45</definedName>
    <definedName name="_xlnm.Print_Area" localSheetId="10">'Trh práce-graf'!$A$1:$J$67</definedName>
    <definedName name="_xlnm.Print_Area" localSheetId="9">'Trh práce-tab'!$A$1:$N$28</definedName>
    <definedName name="_xlnm.Print_Area" localSheetId="15">'Úrok. miery-tab'!$A$1:$J$75</definedName>
    <definedName name="_xlnm.Print_Area" localSheetId="16">'Úrok.miery-graf'!$A$1:$J$88</definedName>
  </definedNames>
  <calcPr fullCalcOnLoad="1"/>
</workbook>
</file>

<file path=xl/sharedStrings.xml><?xml version="1.0" encoding="utf-8"?>
<sst xmlns="http://schemas.openxmlformats.org/spreadsheetml/2006/main" count="1192" uniqueCount="447">
  <si>
    <t>HDP v stálych cenách</t>
  </si>
  <si>
    <t>Hrubý domáci produkt</t>
  </si>
  <si>
    <t>Konečná spotreba verejnej správy</t>
  </si>
  <si>
    <t>Tvorba hrubého kapitálu</t>
  </si>
  <si>
    <t>Saldo zahraničného obchodu</t>
  </si>
  <si>
    <t>Príspevky k rastu HDP</t>
  </si>
  <si>
    <t>mld Sk</t>
  </si>
  <si>
    <t>index</t>
  </si>
  <si>
    <t>m.j.</t>
  </si>
  <si>
    <t>Konečná spotreba domácností (vrátane NISD)</t>
  </si>
  <si>
    <t>predikcia</t>
  </si>
  <si>
    <t>Domáci dopyt</t>
  </si>
  <si>
    <t>1) predchádzajúci rok = 100</t>
  </si>
  <si>
    <t>1) stále ceny (1995 = 100)</t>
  </si>
  <si>
    <t>2) predchádzajúci rok = 100</t>
  </si>
  <si>
    <t>-</t>
  </si>
  <si>
    <t>- vývoz výrobkov a služieb</t>
  </si>
  <si>
    <t>- dovoz výrobkov a služieb</t>
  </si>
  <si>
    <r>
      <t xml:space="preserve">mld Sk  </t>
    </r>
    <r>
      <rPr>
        <i/>
        <vertAlign val="superscript"/>
        <sz val="8"/>
        <rFont val="Times New Roman CE"/>
        <family val="1"/>
      </rPr>
      <t>1)</t>
    </r>
  </si>
  <si>
    <r>
      <t xml:space="preserve">index  </t>
    </r>
    <r>
      <rPr>
        <i/>
        <vertAlign val="superscript"/>
        <sz val="8"/>
        <rFont val="Times New Roman CE"/>
        <family val="1"/>
      </rPr>
      <t>2)</t>
    </r>
  </si>
  <si>
    <t>HDP v bežných cenách</t>
  </si>
  <si>
    <r>
      <t xml:space="preserve">index  </t>
    </r>
    <r>
      <rPr>
        <i/>
        <vertAlign val="superscript"/>
        <sz val="8"/>
        <rFont val="Times New Roman CE"/>
        <family val="1"/>
      </rPr>
      <t>1)</t>
    </r>
  </si>
  <si>
    <t xml:space="preserve">mld Sk </t>
  </si>
  <si>
    <t>HDP s.c.</t>
  </si>
  <si>
    <t>t.r. v %</t>
  </si>
  <si>
    <t>perc. body</t>
  </si>
  <si>
    <t>Deflátor HDP</t>
  </si>
  <si>
    <t>Deflátor C + NISD</t>
  </si>
  <si>
    <t>Deflátor THFK</t>
  </si>
  <si>
    <t>Ceny tovarov a služieb</t>
  </si>
  <si>
    <t>Spotrebiteľské ceny (CPI)</t>
  </si>
  <si>
    <t>Priemer roka (index)</t>
  </si>
  <si>
    <t>Miera inflácie (rast spotrebiteľských cien)</t>
  </si>
  <si>
    <t xml:space="preserve">  - regulované ceny (podiel na raste spotr. cien)</t>
  </si>
  <si>
    <t xml:space="preserve">  - nepriame dane (podiel na raste spotr. cien)</t>
  </si>
  <si>
    <t xml:space="preserve">  - jadrová inflácia (podiel na raste spotr. cien)</t>
  </si>
  <si>
    <t>Jadrová inflácia (miera rastu)</t>
  </si>
  <si>
    <t>Ceny priemyselných výrobcov (PPI)</t>
  </si>
  <si>
    <t>Deflátory</t>
  </si>
  <si>
    <t>HDP</t>
  </si>
  <si>
    <t>Tvorba hrubého fixného kapitálu</t>
  </si>
  <si>
    <t>Vývoz výrobkov a služieb</t>
  </si>
  <si>
    <t>Dovoz výrobkov a služieb</t>
  </si>
  <si>
    <t>Výmenné relácie</t>
  </si>
  <si>
    <t>%</t>
  </si>
  <si>
    <t>1995 = 100</t>
  </si>
  <si>
    <t>predchádzajúci rok = 100</t>
  </si>
  <si>
    <t>6.7 - 8.2</t>
  </si>
  <si>
    <t>Medziročná miera inflácie (k decembru roka)</t>
  </si>
  <si>
    <t>December roka (index)</t>
  </si>
  <si>
    <t>6.3 - 7.8</t>
  </si>
  <si>
    <t>4.0 - 6.0</t>
  </si>
  <si>
    <t>3.5 - 5.5</t>
  </si>
  <si>
    <t>PPI</t>
  </si>
  <si>
    <t>deflátor HDP</t>
  </si>
  <si>
    <t>Tvorba hrubého kapitálu = hrubé úspory</t>
  </si>
  <si>
    <t xml:space="preserve">   - zmena stavu zásob</t>
  </si>
  <si>
    <t>Hrubé národné úspory</t>
  </si>
  <si>
    <t>Hrubé národné úspory / HDP</t>
  </si>
  <si>
    <t>1) saldo BÚ PB podľa štatistiky PB vykazovanej NBS</t>
  </si>
  <si>
    <t>Úspory a investície</t>
  </si>
  <si>
    <r>
      <t xml:space="preserve">Saldo bežného účtu PB </t>
    </r>
    <r>
      <rPr>
        <sz val="10"/>
        <rFont val="Times New Roman CE"/>
        <family val="1"/>
      </rPr>
      <t xml:space="preserve">                   </t>
    </r>
    <r>
      <rPr>
        <sz val="8"/>
        <rFont val="Times New Roman CE"/>
        <family val="1"/>
      </rPr>
      <t xml:space="preserve"> 1)</t>
    </r>
  </si>
  <si>
    <r>
      <t>Spotreba / HDP</t>
    </r>
    <r>
      <rPr>
        <sz val="10"/>
        <rFont val="Times New Roman CE"/>
        <family val="1"/>
      </rPr>
      <t xml:space="preserve">                                  </t>
    </r>
    <r>
      <rPr>
        <sz val="8"/>
        <rFont val="Times New Roman CE"/>
        <family val="1"/>
      </rPr>
      <t>2)</t>
    </r>
  </si>
  <si>
    <t>2) konečná spotreba domácností (vrátane NISD) a verejného sektora</t>
  </si>
  <si>
    <t>Tvorba hrubého fixného kapitálu / HDP</t>
  </si>
  <si>
    <t xml:space="preserve">   - tvorba hrubého fixného kapitálu</t>
  </si>
  <si>
    <t>Trh práce</t>
  </si>
  <si>
    <t>Výberové zisťovanie pracovných síl</t>
  </si>
  <si>
    <t xml:space="preserve">   Miera nezamestnanosti</t>
  </si>
  <si>
    <t xml:space="preserve">   Počet pracujúcich</t>
  </si>
  <si>
    <t xml:space="preserve">   Počet nezamestnaných</t>
  </si>
  <si>
    <t>tis. osôb</t>
  </si>
  <si>
    <t xml:space="preserve">   Ekonomicky aktívne obyvateľstvo = pracovná sila</t>
  </si>
  <si>
    <t>Zamestnanosť podľa štatistického zisťovania</t>
  </si>
  <si>
    <t xml:space="preserve">   Miera nezamestnanosti (disponibilná)</t>
  </si>
  <si>
    <t xml:space="preserve">   Miera nezamestnanosti (evidovaná)</t>
  </si>
  <si>
    <t xml:space="preserve">                                - v súkromnom sektore</t>
  </si>
  <si>
    <t xml:space="preserve">                                - vo verejnom sektore</t>
  </si>
  <si>
    <t xml:space="preserve">   Počet nezamestnaných (disponibilný)</t>
  </si>
  <si>
    <t xml:space="preserve">   Počet nezamestnaných (evidovaný)</t>
  </si>
  <si>
    <t>Priemerná mesačná mzda zamestnanca hospodárstva SR</t>
  </si>
  <si>
    <t>1) HDP (b.c, s.c.) pripadajúci na 1 zamestnaného podľa štatistického zisťovania</t>
  </si>
  <si>
    <t xml:space="preserve">   Zamestnanci hospodárstva SR</t>
  </si>
  <si>
    <t xml:space="preserve">   nominálna</t>
  </si>
  <si>
    <t xml:space="preserve">   reálna</t>
  </si>
  <si>
    <r>
      <t xml:space="preserve">Makroekonomická produktivita práce                </t>
    </r>
    <r>
      <rPr>
        <b/>
        <sz val="8"/>
        <rFont val="Times New Roman CE"/>
        <family val="1"/>
      </rPr>
      <t xml:space="preserve"> </t>
    </r>
    <r>
      <rPr>
        <sz val="8"/>
        <rFont val="Times New Roman CE"/>
        <family val="1"/>
      </rPr>
      <t xml:space="preserve">  1)</t>
    </r>
  </si>
  <si>
    <t>Súhrnná platobná bilancia</t>
  </si>
  <si>
    <t>Bilancia výnosov</t>
  </si>
  <si>
    <t>Bežné transfery</t>
  </si>
  <si>
    <t>Bežný účet</t>
  </si>
  <si>
    <t>mld USD</t>
  </si>
  <si>
    <t xml:space="preserve">   - portfóliové investície</t>
  </si>
  <si>
    <t xml:space="preserve">   - ostatné investície </t>
  </si>
  <si>
    <t>Zmena devízových rezerv</t>
  </si>
  <si>
    <t>Devízové rezervy NBS</t>
  </si>
  <si>
    <t xml:space="preserve">   - dlh vlády a NBS</t>
  </si>
  <si>
    <t>Podiel bežného účtu na HDP</t>
  </si>
  <si>
    <t>Podiel zahraničnej zadlženosti na HDP</t>
  </si>
  <si>
    <t xml:space="preserve">   Vývoz tovarov</t>
  </si>
  <si>
    <t xml:space="preserve">   Dovoz tovarov</t>
  </si>
  <si>
    <t xml:space="preserve">   Vývoz služieb</t>
  </si>
  <si>
    <t xml:space="preserve">   Dovoz služieb</t>
  </si>
  <si>
    <t xml:space="preserve">Obchodná bilancia </t>
  </si>
  <si>
    <t>Bilancia služieb</t>
  </si>
  <si>
    <t xml:space="preserve">  - výnosy z investícií</t>
  </si>
  <si>
    <t>Kapitálový a finančný účet</t>
  </si>
  <si>
    <t xml:space="preserve">   - priame zahraničné investície</t>
  </si>
  <si>
    <t>Celkový zahraničný dlh SR</t>
  </si>
  <si>
    <t>Zahraničný dlh na obyvateľa</t>
  </si>
  <si>
    <t>USD</t>
  </si>
  <si>
    <t>Podiel kapitálového a fin. účtu na HDP</t>
  </si>
  <si>
    <t>Použitý kurz Sk/USD</t>
  </si>
  <si>
    <t>Sk</t>
  </si>
  <si>
    <t xml:space="preserve">  - kompenzácie pracovníkov</t>
  </si>
  <si>
    <t>mil. USD</t>
  </si>
  <si>
    <t>Bilancia výnosov a bežné transfery</t>
  </si>
  <si>
    <t>predch. rok = 100</t>
  </si>
  <si>
    <t>Výmenné kurzy</t>
  </si>
  <si>
    <t>Nominálne devízové kurzy priemerné</t>
  </si>
  <si>
    <t>Sk / USD</t>
  </si>
  <si>
    <t>Použitý kurz Sk / USD</t>
  </si>
  <si>
    <t xml:space="preserve">                    index zhodnotenia</t>
  </si>
  <si>
    <t>Sk / DEM</t>
  </si>
  <si>
    <t>Nominálne devízové kurzy ku koncu roka</t>
  </si>
  <si>
    <t>Reálny efektívny výmenný kurz</t>
  </si>
  <si>
    <r>
      <t>Sk / EUR</t>
    </r>
    <r>
      <rPr>
        <sz val="10"/>
        <rFont val="Times New Roman CE"/>
        <family val="1"/>
      </rPr>
      <t xml:space="preserve">                                                      1)</t>
    </r>
  </si>
  <si>
    <r>
      <t xml:space="preserve">Sk / EUR                                              </t>
    </r>
    <r>
      <rPr>
        <sz val="10"/>
        <rFont val="Times New Roman CE"/>
        <family val="1"/>
      </rPr>
      <t xml:space="preserve">        1)</t>
    </r>
  </si>
  <si>
    <t xml:space="preserve">   - na báze CPI</t>
  </si>
  <si>
    <t>2)</t>
  </si>
  <si>
    <t>a)</t>
  </si>
  <si>
    <t>b)</t>
  </si>
  <si>
    <t xml:space="preserve">   - na báze PPI</t>
  </si>
  <si>
    <t>2) východisko je vážený priemer za deväť mesiacov 1990</t>
  </si>
  <si>
    <t>a) USA, Veľká Británia, Rakúsko, Francúzsko, Nemecko, Taliansko, Holandsko, Švajčiarsko</t>
  </si>
  <si>
    <t>b) USA, Veľká Británia, Rakúsko, Francúzsko, Nemecko, Taliansko, Holandsko, Švajčiarsko, ČR</t>
  </si>
  <si>
    <t>Počet obyvateľov SR</t>
  </si>
  <si>
    <t>1) do roku 1998 výmenný kurz Sk / XEU</t>
  </si>
  <si>
    <t>Demografia</t>
  </si>
  <si>
    <t>dec. 1995 = 100</t>
  </si>
  <si>
    <t xml:space="preserve">   Ku koncu roka</t>
  </si>
  <si>
    <t xml:space="preserve">          (15 - 59)</t>
  </si>
  <si>
    <t xml:space="preserve">       podľa pohlavia:</t>
  </si>
  <si>
    <t xml:space="preserve">         muži</t>
  </si>
  <si>
    <t xml:space="preserve">         ženy</t>
  </si>
  <si>
    <t xml:space="preserve">      podľa vekových skupín:</t>
  </si>
  <si>
    <t xml:space="preserve">          (60 a viac)</t>
  </si>
  <si>
    <t xml:space="preserve">          (0 - 14)</t>
  </si>
  <si>
    <t>Priemerné úrokové miery</t>
  </si>
  <si>
    <t xml:space="preserve">      A) podľa sektorov</t>
  </si>
  <si>
    <t xml:space="preserve">       a) podnikateľská sféra</t>
  </si>
  <si>
    <t xml:space="preserve">              - súkromný sektor</t>
  </si>
  <si>
    <t xml:space="preserve">       b) obyvateľstvo</t>
  </si>
  <si>
    <t xml:space="preserve">      B) podľa časového hľadiska</t>
  </si>
  <si>
    <t xml:space="preserve">              - verejný sektor</t>
  </si>
  <si>
    <t xml:space="preserve">              - krátkodobé</t>
  </si>
  <si>
    <t xml:space="preserve">              - dlhodobé</t>
  </si>
  <si>
    <t xml:space="preserve">              - strednodobé </t>
  </si>
  <si>
    <t xml:space="preserve">              - termínovaných </t>
  </si>
  <si>
    <t xml:space="preserve">              - netermínovaných</t>
  </si>
  <si>
    <r>
      <t xml:space="preserve">   </t>
    </r>
    <r>
      <rPr>
        <b/>
        <u val="single"/>
        <sz val="10"/>
        <rFont val="Times New Roman CE"/>
        <family val="1"/>
      </rPr>
      <t>z vkladov</t>
    </r>
  </si>
  <si>
    <r>
      <t xml:space="preserve">   </t>
    </r>
    <r>
      <rPr>
        <b/>
        <u val="single"/>
        <sz val="10"/>
        <rFont val="Times New Roman CE"/>
        <family val="1"/>
      </rPr>
      <t>úroková marža</t>
    </r>
  </si>
  <si>
    <t>1) s výnimkou úverov za úrokovú sadzbu 0 %</t>
  </si>
  <si>
    <t>Priemerné úrokové miery z úverov obchodných bánk</t>
  </si>
  <si>
    <r>
      <t xml:space="preserve">   </t>
    </r>
    <r>
      <rPr>
        <b/>
        <u val="single"/>
        <sz val="10"/>
        <rFont val="Times New Roman CE"/>
        <family val="1"/>
      </rPr>
      <t>II. z čerpaných úverov spolu</t>
    </r>
    <r>
      <rPr>
        <sz val="10"/>
        <rFont val="Times New Roman CE"/>
        <family val="1"/>
      </rPr>
      <t>**</t>
    </r>
  </si>
  <si>
    <r>
      <t xml:space="preserve">  </t>
    </r>
    <r>
      <rPr>
        <b/>
        <u val="single"/>
        <sz val="10"/>
        <rFont val="Times New Roman CE"/>
        <family val="1"/>
      </rPr>
      <t xml:space="preserve"> I. zo stavu úverov spolu</t>
    </r>
    <r>
      <rPr>
        <b/>
        <sz val="10"/>
        <rFont val="Times New Roman CE"/>
        <family val="1"/>
      </rPr>
      <t>*</t>
    </r>
    <r>
      <rPr>
        <b/>
        <sz val="8"/>
        <rFont val="Times New Roman CE"/>
        <family val="1"/>
      </rPr>
      <t xml:space="preserve"> </t>
    </r>
    <r>
      <rPr>
        <sz val="8"/>
        <rFont val="Times New Roman CE"/>
        <family val="1"/>
      </rPr>
      <t xml:space="preserve">         1)</t>
    </r>
  </si>
  <si>
    <t>* konečný zostatok úverov poskytnutých k ultimu sledovaného obdobia (vrátane úverov minulých rokov)</t>
  </si>
  <si>
    <t>Priemerné reálne úr. miery</t>
  </si>
  <si>
    <t>** úvery skutočne čerpané v aktuálnom roku</t>
  </si>
  <si>
    <t>Diskontná sadzba</t>
  </si>
  <si>
    <t>Lombardná sadzba</t>
  </si>
  <si>
    <t>REPO sadzby</t>
  </si>
  <si>
    <t xml:space="preserve">         - sterilizačné</t>
  </si>
  <si>
    <t xml:space="preserve">         - refinančné</t>
  </si>
  <si>
    <t xml:space="preserve">   2-týždňová limitná sadzba</t>
  </si>
  <si>
    <t>BRIBOR</t>
  </si>
  <si>
    <t xml:space="preserve">   - 1-dňový (overnight)</t>
  </si>
  <si>
    <t xml:space="preserve">   - 3-mesačný (3M)</t>
  </si>
  <si>
    <t>Priemerné úrokové miery NBS</t>
  </si>
  <si>
    <t>%, december</t>
  </si>
  <si>
    <t>5 % nad úroveň zdrojov rovnakej splatnosti na medzibankovom trhu</t>
  </si>
  <si>
    <r>
      <t>do 19.12.</t>
    </r>
    <r>
      <rPr>
        <sz val="10"/>
        <rFont val="Times New Roman CE"/>
        <family val="1"/>
      </rPr>
      <t xml:space="preserve"> 9.50, </t>
    </r>
    <r>
      <rPr>
        <i/>
        <sz val="8"/>
        <rFont val="Times New Roman CE"/>
        <family val="1"/>
      </rPr>
      <t>od 20.12.</t>
    </r>
    <r>
      <rPr>
        <sz val="10"/>
        <rFont val="Times New Roman CE"/>
        <family val="1"/>
      </rPr>
      <t xml:space="preserve"> 12.00</t>
    </r>
  </si>
  <si>
    <r>
      <t>do 16.3.</t>
    </r>
    <r>
      <rPr>
        <sz val="10"/>
        <rFont val="Times New Roman CE"/>
        <family val="1"/>
      </rPr>
      <t xml:space="preserve"> 12.00, </t>
    </r>
    <r>
      <rPr>
        <i/>
        <sz val="8"/>
        <rFont val="Times New Roman CE"/>
        <family val="1"/>
      </rPr>
      <t>od 17.3.</t>
    </r>
    <r>
      <rPr>
        <sz val="10"/>
        <rFont val="Times New Roman CE"/>
        <family val="1"/>
      </rPr>
      <t xml:space="preserve"> 11.00, </t>
    </r>
    <r>
      <rPr>
        <i/>
        <sz val="8"/>
        <rFont val="Times New Roman CE"/>
        <family val="1"/>
      </rPr>
      <t>od 6.10.</t>
    </r>
    <r>
      <rPr>
        <sz val="10"/>
        <rFont val="Times New Roman CE"/>
        <family val="1"/>
      </rPr>
      <t xml:space="preserve"> 9.75</t>
    </r>
  </si>
  <si>
    <r>
      <t>do 12.1.</t>
    </r>
    <r>
      <rPr>
        <sz val="10"/>
        <rFont val="Times New Roman CE"/>
        <family val="1"/>
      </rPr>
      <t xml:space="preserve"> 9.75, </t>
    </r>
    <r>
      <rPr>
        <i/>
        <sz val="8"/>
        <rFont val="Times New Roman CE"/>
        <family val="1"/>
      </rPr>
      <t>od 13.1.</t>
    </r>
    <r>
      <rPr>
        <sz val="10"/>
        <rFont val="Times New Roman CE"/>
        <family val="1"/>
      </rPr>
      <t xml:space="preserve"> 8.80</t>
    </r>
  </si>
  <si>
    <r>
      <t>od 17.7.</t>
    </r>
    <r>
      <rPr>
        <sz val="10"/>
        <rFont val="Times New Roman CE"/>
        <family val="1"/>
      </rPr>
      <t xml:space="preserve"> 15.00</t>
    </r>
  </si>
  <si>
    <r>
      <t>od 1.1.</t>
    </r>
    <r>
      <rPr>
        <sz val="10"/>
        <rFont val="Times New Roman CE"/>
        <family val="1"/>
      </rPr>
      <t xml:space="preserve"> 5 % nad úroveň zdrojov rovnakej splatnosti na medzibankovom trhu</t>
    </r>
  </si>
  <si>
    <r>
      <t xml:space="preserve">   1-dňové operácie                       </t>
    </r>
    <r>
      <rPr>
        <sz val="8"/>
        <rFont val="Times New Roman CE"/>
        <family val="1"/>
      </rPr>
      <t>1)</t>
    </r>
  </si>
  <si>
    <t>Priemerné úrokové miery štátnych cenných papierov</t>
  </si>
  <si>
    <t>Štátne dlhopisy</t>
  </si>
  <si>
    <t>Štátne pokladničné poukážky</t>
  </si>
  <si>
    <t>3) deflované rastom cien priemyselných výrobcov (PPI priemerný ročný)</t>
  </si>
  <si>
    <t>4) deflované rastom spotrebiteľských cien (CPI priemerný ročný)</t>
  </si>
  <si>
    <r>
      <t xml:space="preserve">2) = úroková miera z </t>
    </r>
    <r>
      <rPr>
        <u val="single"/>
        <sz val="8"/>
        <rFont val="Times New Roman CE"/>
        <family val="1"/>
      </rPr>
      <t>čerpaných</t>
    </r>
    <r>
      <rPr>
        <sz val="8"/>
        <rFont val="Times New Roman CE"/>
        <family val="1"/>
      </rPr>
      <t xml:space="preserve"> úverov - úroková miera z vkladov</t>
    </r>
  </si>
  <si>
    <t>1) 1-dňové sterilizačné a refinančné sadzby vyhlasuje NBS od 1. februára 2000 (do feb. 2000 uskutočňovala NBS s obchodnými bankami REPO tendre nazáklade akutálnej situácie na peňažnom trhu).</t>
  </si>
  <si>
    <r>
      <t xml:space="preserve">   </t>
    </r>
    <r>
      <rPr>
        <b/>
        <u val="single"/>
        <sz val="10"/>
        <rFont val="Times New Roman CE"/>
        <family val="1"/>
      </rPr>
      <t>kvázimarža</t>
    </r>
    <r>
      <rPr>
        <sz val="10"/>
        <rFont val="Times New Roman CE"/>
        <family val="1"/>
      </rPr>
      <t xml:space="preserve">                              </t>
    </r>
    <r>
      <rPr>
        <sz val="8"/>
        <rFont val="Times New Roman CE"/>
        <family val="1"/>
      </rPr>
      <t>2)</t>
    </r>
  </si>
  <si>
    <r>
      <t xml:space="preserve">   zo stavu úverov spolu            </t>
    </r>
    <r>
      <rPr>
        <sz val="8"/>
        <rFont val="Times New Roman CE"/>
        <family val="1"/>
      </rPr>
      <t xml:space="preserve">  3)</t>
    </r>
  </si>
  <si>
    <r>
      <t xml:space="preserve">   z termínovaných vkladov</t>
    </r>
    <r>
      <rPr>
        <sz val="10"/>
        <rFont val="Times New Roman CE"/>
        <family val="1"/>
      </rPr>
      <t xml:space="preserve">       </t>
    </r>
    <r>
      <rPr>
        <sz val="8"/>
        <rFont val="Times New Roman CE"/>
        <family val="1"/>
      </rPr>
      <t xml:space="preserve"> 4)</t>
    </r>
  </si>
  <si>
    <t xml:space="preserve">   - vývoz výrobkov a služieb</t>
  </si>
  <si>
    <t xml:space="preserve">   - dovoz výrobkov a služieb</t>
  </si>
  <si>
    <t xml:space="preserve">   - domáci dopyt</t>
  </si>
  <si>
    <t xml:space="preserve">   - spotreba</t>
  </si>
  <si>
    <t xml:space="preserve">   - hrubá tvorba kapitálu</t>
  </si>
  <si>
    <t xml:space="preserve">   - saldo zahraničného obchodu</t>
  </si>
  <si>
    <t>Rozklad zvýšenia spotrebiteľských cien</t>
  </si>
  <si>
    <t>Priemerné úrokové miery - predikcia</t>
  </si>
  <si>
    <t xml:space="preserve">   z vkladov</t>
  </si>
  <si>
    <r>
      <t xml:space="preserve">   z čerpaných úverov spolu</t>
    </r>
    <r>
      <rPr>
        <sz val="10"/>
        <rFont val="Times New Roman CE"/>
        <family val="1"/>
      </rPr>
      <t>**</t>
    </r>
  </si>
  <si>
    <t xml:space="preserve">skutočnosť </t>
  </si>
  <si>
    <r>
      <t xml:space="preserve">     </t>
    </r>
    <r>
      <rPr>
        <b/>
        <sz val="10"/>
        <rFont val="Times New Roman CE"/>
        <family val="1"/>
      </rPr>
      <t>kvázimarža</t>
    </r>
    <r>
      <rPr>
        <sz val="10"/>
        <rFont val="Times New Roman CE"/>
        <family val="1"/>
      </rPr>
      <t xml:space="preserve">                            </t>
    </r>
    <r>
      <rPr>
        <sz val="8"/>
        <rFont val="Times New Roman CE"/>
        <family val="1"/>
      </rPr>
      <t>2)</t>
    </r>
  </si>
  <si>
    <t>1)</t>
  </si>
  <si>
    <r>
      <t xml:space="preserve">   </t>
    </r>
    <r>
      <rPr>
        <b/>
        <sz val="10"/>
        <rFont val="Times New Roman CE"/>
        <family val="1"/>
      </rPr>
      <t>Stredný stav</t>
    </r>
  </si>
  <si>
    <t xml:space="preserve">   Ekonomicky aktívne obyvateľstvo (k 1.1. sled. roka)</t>
  </si>
  <si>
    <t>VYBRANÉ INDIKÁTORY MENOVÉHO A HOSPODÁRSKEHO VÝVOJA SR</t>
  </si>
  <si>
    <t>Ukazovateľ</t>
  </si>
  <si>
    <t>Merná</t>
  </si>
  <si>
    <t>jednotka</t>
  </si>
  <si>
    <t>1.Q.</t>
  </si>
  <si>
    <r>
      <t xml:space="preserve"> MAKROVZŤAHY </t>
    </r>
    <r>
      <rPr>
        <vertAlign val="superscript"/>
        <sz val="12"/>
        <rFont val="Arial CE"/>
        <family val="2"/>
      </rPr>
      <t>3)</t>
    </r>
  </si>
  <si>
    <t>mld. Sk</t>
  </si>
  <si>
    <t xml:space="preserve">   Hrubý domáci produkt (v cenách r.1995)</t>
  </si>
  <si>
    <r>
      <t xml:space="preserve">mld. Sk  </t>
    </r>
    <r>
      <rPr>
        <vertAlign val="superscript"/>
        <sz val="12"/>
        <rFont val="Arial CE"/>
        <family val="2"/>
      </rPr>
      <t>1)</t>
    </r>
  </si>
  <si>
    <r>
      <t xml:space="preserve">%  </t>
    </r>
    <r>
      <rPr>
        <vertAlign val="superscript"/>
        <sz val="12"/>
        <rFont val="Arial CE"/>
        <family val="2"/>
      </rPr>
      <t>2)</t>
    </r>
  </si>
  <si>
    <t xml:space="preserve">   Konečná spotreba domácností</t>
  </si>
  <si>
    <r>
      <t xml:space="preserve">% </t>
    </r>
    <r>
      <rPr>
        <vertAlign val="superscript"/>
        <sz val="12"/>
        <rFont val="Arial CE"/>
        <family val="2"/>
      </rPr>
      <t>2)</t>
    </r>
  </si>
  <si>
    <t xml:space="preserve">   Neziskové inštitúcie slúžiace domácnostiam</t>
  </si>
  <si>
    <t xml:space="preserve">   Konečná spotreba verejnej správy</t>
  </si>
  <si>
    <r>
      <t xml:space="preserve">mld. Sk </t>
    </r>
    <r>
      <rPr>
        <vertAlign val="superscript"/>
        <sz val="12"/>
        <rFont val="Arial CE"/>
        <family val="2"/>
      </rPr>
      <t>1)</t>
    </r>
  </si>
  <si>
    <t xml:space="preserve">   Tvorba hrubého fixného kapitálu</t>
  </si>
  <si>
    <r>
      <t xml:space="preserve">   Zmena stavu zásob  </t>
    </r>
    <r>
      <rPr>
        <vertAlign val="superscript"/>
        <sz val="12"/>
        <rFont val="Arial CE"/>
        <family val="2"/>
      </rPr>
      <t>13)</t>
    </r>
  </si>
  <si>
    <t xml:space="preserve">   Vývoz výrobkov a služieb</t>
  </si>
  <si>
    <t xml:space="preserve">   Dovoz výrobkov a služieb</t>
  </si>
  <si>
    <t xml:space="preserve">   Saldo ZO s výrobkami a službami</t>
  </si>
  <si>
    <r>
      <t xml:space="preserve">% HDP </t>
    </r>
    <r>
      <rPr>
        <vertAlign val="superscript"/>
        <sz val="12"/>
        <rFont val="Arial CE"/>
        <family val="2"/>
      </rPr>
      <t>1)</t>
    </r>
  </si>
  <si>
    <t xml:space="preserve"> OUTPUTY</t>
  </si>
  <si>
    <r>
      <t xml:space="preserve">   Index priemyselnej produkcie  </t>
    </r>
    <r>
      <rPr>
        <vertAlign val="superscript"/>
        <sz val="12"/>
        <rFont val="Arial CE"/>
        <family val="2"/>
      </rPr>
      <t>17)</t>
    </r>
  </si>
  <si>
    <r>
      <t xml:space="preserve">% </t>
    </r>
    <r>
      <rPr>
        <vertAlign val="superscript"/>
        <sz val="12"/>
        <rFont val="Arial CE"/>
        <family val="2"/>
      </rPr>
      <t>1) 2)</t>
    </r>
  </si>
  <si>
    <t xml:space="preserve">   Index stavebnej produkcie</t>
  </si>
  <si>
    <t xml:space="preserve">   Nákladná doprava (výkony v tkm)</t>
  </si>
  <si>
    <t xml:space="preserve"> AGREGÁTNY DOPYT</t>
  </si>
  <si>
    <t xml:space="preserve">   Tržby maloobchodu celkom</t>
  </si>
  <si>
    <t xml:space="preserve">       bežné ceny</t>
  </si>
  <si>
    <t xml:space="preserve">       stále ceny</t>
  </si>
  <si>
    <t xml:space="preserve">   Priemerná reálna mzda celkom</t>
  </si>
  <si>
    <t xml:space="preserve">   Priemerná nominálna mzda</t>
  </si>
  <si>
    <t xml:space="preserve">       celkom</t>
  </si>
  <si>
    <t xml:space="preserve">       priemysel</t>
  </si>
  <si>
    <t xml:space="preserve">       stavebníctvo</t>
  </si>
  <si>
    <t xml:space="preserve">       doprava</t>
  </si>
  <si>
    <t xml:space="preserve"> CENY</t>
  </si>
  <si>
    <t xml:space="preserve">   Spotrebiteľské ceny</t>
  </si>
  <si>
    <t xml:space="preserve">   Ceny priemyselných výrobcov</t>
  </si>
  <si>
    <t xml:space="preserve">   Ceny stavebných prác</t>
  </si>
  <si>
    <t xml:space="preserve">   Ceny materiálov a výrobkov</t>
  </si>
  <si>
    <t xml:space="preserve">   spotrebovávaných v stavebníctve</t>
  </si>
  <si>
    <t xml:space="preserve">   Ceny poľnohospodárskych výrobkov</t>
  </si>
  <si>
    <t xml:space="preserve">   Jadrová inflácia</t>
  </si>
  <si>
    <r>
      <t xml:space="preserve"> NEZAMESTNANOSŤ  </t>
    </r>
    <r>
      <rPr>
        <vertAlign val="superscript"/>
        <sz val="12"/>
        <rFont val="Arial CE"/>
        <family val="2"/>
      </rPr>
      <t>15)</t>
    </r>
  </si>
  <si>
    <t xml:space="preserve"> Výberové zisťovanie pracovných síl</t>
  </si>
  <si>
    <t>tis.osôb</t>
  </si>
  <si>
    <t xml:space="preserve"> Evidovaná miera nezamestnanosti</t>
  </si>
  <si>
    <t xml:space="preserve"> z disponibilného počtu nezamestnaných</t>
  </si>
  <si>
    <r>
      <t xml:space="preserve"> ZAHRANIČNÝ OBCHOD </t>
    </r>
    <r>
      <rPr>
        <vertAlign val="superscript"/>
        <sz val="12"/>
        <rFont val="Arial CE"/>
        <family val="2"/>
      </rPr>
      <t>16)</t>
    </r>
  </si>
  <si>
    <t xml:space="preserve">   Obchodná bilancia</t>
  </si>
  <si>
    <t xml:space="preserve">       vývoz</t>
  </si>
  <si>
    <t xml:space="preserve">           z toho ČR</t>
  </si>
  <si>
    <t xml:space="preserve">       dovoz</t>
  </si>
  <si>
    <t xml:space="preserve">       saldo</t>
  </si>
  <si>
    <t xml:space="preserve">           z toho s ČR</t>
  </si>
  <si>
    <t xml:space="preserve"> DEVÍZOVÉ PLATOBNÉ VZŤAHY</t>
  </si>
  <si>
    <r>
      <t xml:space="preserve">   Platobná bilancia  </t>
    </r>
    <r>
      <rPr>
        <vertAlign val="superscript"/>
        <sz val="12"/>
        <rFont val="Arial CE"/>
        <family val="2"/>
      </rPr>
      <t>7)</t>
    </r>
  </si>
  <si>
    <t xml:space="preserve">       bežný účet</t>
  </si>
  <si>
    <r>
      <t xml:space="preserve">-1827.0 </t>
    </r>
    <r>
      <rPr>
        <vertAlign val="superscript"/>
        <sz val="12"/>
        <rFont val="Arial CE"/>
        <family val="2"/>
      </rPr>
      <t>18)</t>
    </r>
  </si>
  <si>
    <t>% HDP(b.c.)</t>
  </si>
  <si>
    <t xml:space="preserve">            obchodná bilancia</t>
  </si>
  <si>
    <r>
      <t xml:space="preserve">-10.2  </t>
    </r>
    <r>
      <rPr>
        <vertAlign val="superscript"/>
        <sz val="12"/>
        <rFont val="Arial CE"/>
        <family val="2"/>
      </rPr>
      <t>20)</t>
    </r>
  </si>
  <si>
    <t xml:space="preserve">       kapitálový a finančný účet</t>
  </si>
  <si>
    <r>
      <t xml:space="preserve">   Devízové rezervy  </t>
    </r>
    <r>
      <rPr>
        <vertAlign val="superscript"/>
        <sz val="12"/>
        <rFont val="Arial CE"/>
        <family val="2"/>
      </rPr>
      <t>7)</t>
    </r>
  </si>
  <si>
    <t xml:space="preserve">       - z toho v NBS</t>
  </si>
  <si>
    <r>
      <t xml:space="preserve">   Hrubá zahraničná zadlženosť  </t>
    </r>
    <r>
      <rPr>
        <vertAlign val="superscript"/>
        <sz val="12"/>
        <rFont val="Arial CE"/>
        <family val="2"/>
      </rPr>
      <t>5)</t>
    </r>
  </si>
  <si>
    <t>mld. USD</t>
  </si>
  <si>
    <r>
      <t xml:space="preserve">9.8  </t>
    </r>
    <r>
      <rPr>
        <vertAlign val="superscript"/>
        <sz val="12"/>
        <rFont val="Arial CE"/>
        <family val="2"/>
      </rPr>
      <t>4)</t>
    </r>
  </si>
  <si>
    <r>
      <t xml:space="preserve">   Hrubá zahraničná zadlženosť  </t>
    </r>
    <r>
      <rPr>
        <vertAlign val="superscript"/>
        <sz val="12"/>
        <rFont val="Arial CE"/>
        <family val="2"/>
      </rPr>
      <t>6)</t>
    </r>
  </si>
  <si>
    <r>
      <t xml:space="preserve">   Devízový kurz (stred)  </t>
    </r>
    <r>
      <rPr>
        <vertAlign val="superscript"/>
        <sz val="12"/>
        <rFont val="Arial CE"/>
        <family val="2"/>
      </rPr>
      <t>7)</t>
    </r>
  </si>
  <si>
    <t xml:space="preserve">      Sk/USD</t>
  </si>
  <si>
    <t xml:space="preserve">      Sk/DEM</t>
  </si>
  <si>
    <t xml:space="preserve">      Sk/EUR</t>
  </si>
  <si>
    <t xml:space="preserve"> MENOVÉ AGREGÁTY</t>
  </si>
  <si>
    <r>
      <t xml:space="preserve">   Peňažná zásoba M2  </t>
    </r>
    <r>
      <rPr>
        <vertAlign val="superscript"/>
        <sz val="12"/>
        <rFont val="Arial CE"/>
        <family val="2"/>
      </rPr>
      <t>8)</t>
    </r>
  </si>
  <si>
    <r>
      <t xml:space="preserve">   Úvery podnikom a obyvateľstvu  </t>
    </r>
    <r>
      <rPr>
        <vertAlign val="superscript"/>
        <sz val="12"/>
        <rFont val="Arial CE"/>
        <family val="2"/>
      </rPr>
      <t>8)</t>
    </r>
  </si>
  <si>
    <t xml:space="preserve">       z toho: devízové</t>
  </si>
  <si>
    <r>
      <t xml:space="preserve">   Vklady spolu  </t>
    </r>
    <r>
      <rPr>
        <vertAlign val="superscript"/>
        <sz val="12"/>
        <rFont val="Arial CE"/>
        <family val="2"/>
      </rPr>
      <t>9) 14)</t>
    </r>
  </si>
  <si>
    <t xml:space="preserve">       v Sk</t>
  </si>
  <si>
    <t xml:space="preserve">       v cudzej mene</t>
  </si>
  <si>
    <t xml:space="preserve">   Priemerné úrokové miery</t>
  </si>
  <si>
    <t xml:space="preserve">       z úverov</t>
  </si>
  <si>
    <t xml:space="preserve">       z čerpaných úverov</t>
  </si>
  <si>
    <t xml:space="preserve">       z vkladov</t>
  </si>
  <si>
    <t xml:space="preserve">       marža</t>
  </si>
  <si>
    <r>
      <t xml:space="preserve">   Priemerná medzibanková sadzba BRIBOR  </t>
    </r>
    <r>
      <rPr>
        <vertAlign val="superscript"/>
        <sz val="12"/>
        <rFont val="Arial CE"/>
        <family val="2"/>
      </rPr>
      <t>11)</t>
    </r>
  </si>
  <si>
    <t xml:space="preserve">       7-dňová</t>
  </si>
  <si>
    <r>
      <t xml:space="preserve"> 17.2  </t>
    </r>
    <r>
      <rPr>
        <vertAlign val="superscript"/>
        <sz val="12"/>
        <rFont val="Arial CE"/>
        <family val="2"/>
      </rPr>
      <t>10)</t>
    </r>
  </si>
  <si>
    <t xml:space="preserve">       3-mesačná</t>
  </si>
  <si>
    <t xml:space="preserve">       6-mesačná</t>
  </si>
  <si>
    <r>
      <t xml:space="preserve"> ŠTÁTNY ROZPOČET  </t>
    </r>
    <r>
      <rPr>
        <vertAlign val="superscript"/>
        <sz val="12"/>
        <rFont val="Arial CE"/>
        <family val="2"/>
      </rPr>
      <t>12) 19)</t>
    </r>
  </si>
  <si>
    <t xml:space="preserve">   Saldo (bez nákladov na reštrukturalizáciu)</t>
  </si>
  <si>
    <t xml:space="preserve">   Saldo (s nákladmi na reštrukturalizáciu)</t>
  </si>
  <si>
    <t xml:space="preserve">   Dlh zo štátneho rozpočtu (dlh ústrednej vlády)</t>
  </si>
  <si>
    <t xml:space="preserve">       domáci dlh ústrednej vlády</t>
  </si>
  <si>
    <t xml:space="preserve">       zahraničný dlh ústrednej vlády</t>
  </si>
  <si>
    <r>
      <t xml:space="preserve"> VEREJNÉ ROZPOČTY  </t>
    </r>
    <r>
      <rPr>
        <vertAlign val="superscript"/>
        <sz val="12"/>
        <rFont val="Arial CE"/>
        <family val="2"/>
      </rPr>
      <t>12)</t>
    </r>
  </si>
  <si>
    <t xml:space="preserve">   Celkový dlh verejnej správy (konsolidovaný)</t>
  </si>
  <si>
    <t>1) Stále ceny (priemer roka 1995=100)</t>
  </si>
  <si>
    <t>2) Prírastok oproti rovnakému obdobiu predchádzajúceho roka</t>
  </si>
  <si>
    <t>3) Metóda ESA 95; údaje za roky 1997 až 2001 sú predbežné</t>
  </si>
  <si>
    <t>4) Odhadovaná reálna výška zahraničného dlhu SR k ultimu decembra 1997 je vyššia približne o 800 mil. USD</t>
  </si>
  <si>
    <t>5) Stav k poslednému dňu obdobia; od 1.1.1999 zmena metodiky</t>
  </si>
  <si>
    <t>6) Prepočty sú urobené pomocou devízového kurzu - stred k poslednému dňu vykazovaného obdobia</t>
  </si>
  <si>
    <t>7) K poslednému dňu vykazovaného obdobia</t>
  </si>
  <si>
    <t>8) Prírastok oproti rovnakému obdobiu predchádzajúceho roka - kumulatívne (v bežnom kurze)</t>
  </si>
  <si>
    <t>9) Vrátane fondov, vlády a nerezidentov</t>
  </si>
  <si>
    <t>10) Priemer za 2.polrok 1993</t>
  </si>
  <si>
    <t>11) Priemer za posledný mesiac; všetky priemerné sadzby sú rátané len za dni, keď boli kótované</t>
  </si>
  <si>
    <t>12) Údaje MF SR k poslednému dňu obdobia</t>
  </si>
  <si>
    <t>13) Vrátane štatistickej diskrepancie</t>
  </si>
  <si>
    <t>14) Prírastok oproti rovnakému obdobiu predchádzajúceho roka, koniec roka oproti 1.1. - kumulatívne (v bežnom kurze)</t>
  </si>
  <si>
    <t>15) V priemere za obdobie</t>
  </si>
  <si>
    <t>16) Údaje od roku 1997 s aplikáciou vyhlášky MF SR č. 167/1997; údaje roku 2000 a 2001 sú predbežné;</t>
  </si>
  <si>
    <t xml:space="preserve">       prípadné rozdiely na poslednom mieste vznikajú zaokrúhľovaním absolútneho čísla</t>
  </si>
  <si>
    <t>17) Údaje sú očistené o vplyv počtu pracovných dní</t>
  </si>
  <si>
    <t>18) Definitívny údaj o ZO SR podľa novej metodiky porovnateľnej s rokmi 1998 - 2001; definívny údaj podľa starej metodiky porovnateľnej</t>
  </si>
  <si>
    <t xml:space="preserve">      s rokmi 1993 - 1996: -1803.9 mil. USD (-8.8 % HDP)</t>
  </si>
  <si>
    <t>19) Bez čistých pôžičiek</t>
  </si>
  <si>
    <t>20) Údaj podľa starej metodiky porovnateľný s rokmi 1993 - 1996: -10,1 % HDP</t>
  </si>
  <si>
    <r>
      <t xml:space="preserve">   Hrubý domáci produkt </t>
    </r>
    <r>
      <rPr>
        <sz val="12"/>
        <rFont val="Arial CE"/>
        <family val="2"/>
      </rPr>
      <t>(v bežných cenách)</t>
    </r>
  </si>
  <si>
    <t>SELECTED INDICATORS OF THE MONETARY AND ECONOMIC DEVELOPMENT OF THE SLOVAK REPUBLIC</t>
  </si>
  <si>
    <t>Indicator</t>
  </si>
  <si>
    <t>Unit</t>
  </si>
  <si>
    <r>
      <t xml:space="preserve"> MACRORELATIONS </t>
    </r>
    <r>
      <rPr>
        <vertAlign val="superscript"/>
        <sz val="12"/>
        <rFont val="Arial CE"/>
        <family val="2"/>
      </rPr>
      <t>3)</t>
    </r>
  </si>
  <si>
    <t xml:space="preserve">   Gross domestic product  (in constant prices)</t>
  </si>
  <si>
    <t xml:space="preserve">   Final consumption of households</t>
  </si>
  <si>
    <t xml:space="preserve">   Non-profit institutions serving households</t>
  </si>
  <si>
    <t xml:space="preserve">   Final consumption of government</t>
  </si>
  <si>
    <t xml:space="preserve">   Gross fixed capital formation</t>
  </si>
  <si>
    <r>
      <t xml:space="preserve">   Change in stocks  </t>
    </r>
    <r>
      <rPr>
        <vertAlign val="superscript"/>
        <sz val="12"/>
        <rFont val="Arial CE"/>
        <family val="2"/>
      </rPr>
      <t>13)</t>
    </r>
  </si>
  <si>
    <t xml:space="preserve">   Exports of goods and services</t>
  </si>
  <si>
    <t xml:space="preserve">   Imports of goods and services</t>
  </si>
  <si>
    <t xml:space="preserve">   Net balance of foreign trade</t>
  </si>
  <si>
    <r>
      <t xml:space="preserve">% GDP  </t>
    </r>
    <r>
      <rPr>
        <vertAlign val="superscript"/>
        <sz val="12"/>
        <rFont val="Arial CE"/>
        <family val="2"/>
      </rPr>
      <t>1)</t>
    </r>
  </si>
  <si>
    <t xml:space="preserve"> OUTPUTS</t>
  </si>
  <si>
    <r>
      <t xml:space="preserve">   Industrial production index  </t>
    </r>
    <r>
      <rPr>
        <vertAlign val="superscript"/>
        <sz val="12"/>
        <rFont val="Arial CE"/>
        <family val="2"/>
      </rPr>
      <t>17)</t>
    </r>
  </si>
  <si>
    <t xml:space="preserve">   Construction production index</t>
  </si>
  <si>
    <t xml:space="preserve">   Freight transport</t>
  </si>
  <si>
    <t xml:space="preserve"> AGGREGATE DEMAND</t>
  </si>
  <si>
    <t xml:space="preserve">   Receipts of retail total</t>
  </si>
  <si>
    <t xml:space="preserve">       current prices</t>
  </si>
  <si>
    <t xml:space="preserve">       constant prices</t>
  </si>
  <si>
    <t xml:space="preserve">   Average real wages total</t>
  </si>
  <si>
    <t xml:space="preserve">   Average nominal wages</t>
  </si>
  <si>
    <t xml:space="preserve">       total</t>
  </si>
  <si>
    <t xml:space="preserve">       industry</t>
  </si>
  <si>
    <t xml:space="preserve">       construction</t>
  </si>
  <si>
    <t xml:space="preserve">       transport</t>
  </si>
  <si>
    <t xml:space="preserve"> PRICES</t>
  </si>
  <si>
    <r>
      <t xml:space="preserve">   Consumer prices</t>
    </r>
    <r>
      <rPr>
        <sz val="12"/>
        <color indexed="9"/>
        <rFont val="Arial CE"/>
        <family val="2"/>
      </rPr>
      <t xml:space="preserve">  </t>
    </r>
    <r>
      <rPr>
        <vertAlign val="superscript"/>
        <sz val="12"/>
        <color indexed="9"/>
        <rFont val="Arial CE"/>
        <family val="2"/>
      </rPr>
      <t>3)</t>
    </r>
  </si>
  <si>
    <r>
      <t xml:space="preserve">   Industrial producers price  </t>
    </r>
    <r>
      <rPr>
        <vertAlign val="superscript"/>
        <sz val="12"/>
        <color indexed="9"/>
        <rFont val="Arial CE"/>
        <family val="2"/>
      </rPr>
      <t>4)</t>
    </r>
  </si>
  <si>
    <r>
      <t xml:space="preserve">   Construction works price </t>
    </r>
    <r>
      <rPr>
        <sz val="12"/>
        <color indexed="9"/>
        <rFont val="Arial CE"/>
        <family val="2"/>
      </rPr>
      <t xml:space="preserve"> </t>
    </r>
    <r>
      <rPr>
        <vertAlign val="superscript"/>
        <sz val="12"/>
        <color indexed="9"/>
        <rFont val="Arial CE"/>
        <family val="2"/>
      </rPr>
      <t>4)</t>
    </r>
  </si>
  <si>
    <t xml:space="preserve">   Construction material and component prices</t>
  </si>
  <si>
    <t xml:space="preserve">   Agricultural product prices</t>
  </si>
  <si>
    <t xml:space="preserve">   Core inflation</t>
  </si>
  <si>
    <r>
      <t xml:space="preserve"> UNEMPLOYMENT </t>
    </r>
    <r>
      <rPr>
        <vertAlign val="superscript"/>
        <sz val="12"/>
        <rFont val="Arial CE"/>
        <family val="2"/>
      </rPr>
      <t>15)</t>
    </r>
  </si>
  <si>
    <t xml:space="preserve"> Labour force survey</t>
  </si>
  <si>
    <t xml:space="preserve">   Number of unemployed</t>
  </si>
  <si>
    <t>thousand persons</t>
  </si>
  <si>
    <t xml:space="preserve">   Unemployment rate</t>
  </si>
  <si>
    <t xml:space="preserve"> Rate of registered unemployment</t>
  </si>
  <si>
    <t xml:space="preserve"> from dispensable number of unemployed</t>
  </si>
  <si>
    <r>
      <t xml:space="preserve"> FOREIGN TRADE </t>
    </r>
    <r>
      <rPr>
        <vertAlign val="superscript"/>
        <sz val="12"/>
        <rFont val="Arial CE"/>
        <family val="2"/>
      </rPr>
      <t>16)</t>
    </r>
  </si>
  <si>
    <t xml:space="preserve">   Trade balance</t>
  </si>
  <si>
    <t xml:space="preserve">       export</t>
  </si>
  <si>
    <t xml:space="preserve">           of which Czech Republic</t>
  </si>
  <si>
    <t xml:space="preserve">       import</t>
  </si>
  <si>
    <t xml:space="preserve">       balance</t>
  </si>
  <si>
    <t xml:space="preserve">           of which with Czech Republic</t>
  </si>
  <si>
    <t xml:space="preserve"> EXCHANGE RELATIONS OF PAYMENT</t>
  </si>
  <si>
    <r>
      <t xml:space="preserve">   Balance of payments  </t>
    </r>
    <r>
      <rPr>
        <vertAlign val="superscript"/>
        <sz val="12"/>
        <rFont val="Arial CE"/>
        <family val="2"/>
      </rPr>
      <t>7)</t>
    </r>
  </si>
  <si>
    <t xml:space="preserve">       current account</t>
  </si>
  <si>
    <t>mill. USD</t>
  </si>
  <si>
    <t>% GDP</t>
  </si>
  <si>
    <t xml:space="preserve">           balance of goods</t>
  </si>
  <si>
    <t xml:space="preserve">       capital and financial account</t>
  </si>
  <si>
    <r>
      <t xml:space="preserve">   Foreign exchange reserves  </t>
    </r>
    <r>
      <rPr>
        <vertAlign val="superscript"/>
        <sz val="12"/>
        <rFont val="Arial CE"/>
        <family val="2"/>
      </rPr>
      <t>7)</t>
    </r>
  </si>
  <si>
    <t xml:space="preserve">       National bank of Slovakia</t>
  </si>
  <si>
    <r>
      <t xml:space="preserve">   Gross foreign debt  </t>
    </r>
    <r>
      <rPr>
        <vertAlign val="superscript"/>
        <sz val="12"/>
        <rFont val="Arial CE"/>
        <family val="2"/>
      </rPr>
      <t>5)</t>
    </r>
  </si>
  <si>
    <r>
      <t xml:space="preserve">   Gross foreign debt  </t>
    </r>
    <r>
      <rPr>
        <vertAlign val="superscript"/>
        <sz val="12"/>
        <rFont val="Arial CE"/>
        <family val="2"/>
      </rPr>
      <t>6)</t>
    </r>
  </si>
  <si>
    <r>
      <t xml:space="preserve">   Exchange rate (middle)  </t>
    </r>
    <r>
      <rPr>
        <vertAlign val="superscript"/>
        <sz val="12"/>
        <rFont val="Arial CE"/>
        <family val="2"/>
      </rPr>
      <t>7)</t>
    </r>
  </si>
  <si>
    <t xml:space="preserve">      SKK/USD</t>
  </si>
  <si>
    <t xml:space="preserve">      SKK/DEM</t>
  </si>
  <si>
    <t xml:space="preserve">      SKK/EUR</t>
  </si>
  <si>
    <t xml:space="preserve"> MONETARY AGGREGATIONS</t>
  </si>
  <si>
    <r>
      <t xml:space="preserve">   Money supply M2  </t>
    </r>
    <r>
      <rPr>
        <vertAlign val="superscript"/>
        <sz val="12"/>
        <rFont val="Arial CE"/>
        <family val="2"/>
      </rPr>
      <t>8)</t>
    </r>
  </si>
  <si>
    <r>
      <t xml:space="preserve">   Credits to enterprises and population  </t>
    </r>
    <r>
      <rPr>
        <vertAlign val="superscript"/>
        <sz val="12"/>
        <rFont val="Arial CE"/>
        <family val="2"/>
      </rPr>
      <t>8)</t>
    </r>
  </si>
  <si>
    <t xml:space="preserve">       of which: in foreign currency</t>
  </si>
  <si>
    <r>
      <t xml:space="preserve">   Deposits total  </t>
    </r>
    <r>
      <rPr>
        <vertAlign val="superscript"/>
        <sz val="12"/>
        <rFont val="Arial CE"/>
        <family val="2"/>
      </rPr>
      <t>9) 14)</t>
    </r>
  </si>
  <si>
    <t xml:space="preserve">       in SKK</t>
  </si>
  <si>
    <t xml:space="preserve">       in foreign currency</t>
  </si>
  <si>
    <t xml:space="preserve">   Average interest rates</t>
  </si>
  <si>
    <t xml:space="preserve">       total volume of loans</t>
  </si>
  <si>
    <t xml:space="preserve">       new loans in total</t>
  </si>
  <si>
    <t xml:space="preserve">       of deposits total</t>
  </si>
  <si>
    <t xml:space="preserve">       spread</t>
  </si>
  <si>
    <r>
      <t xml:space="preserve">   Average interbank offered rate BRIBOR  </t>
    </r>
    <r>
      <rPr>
        <vertAlign val="superscript"/>
        <sz val="12"/>
        <rFont val="Arial CE"/>
        <family val="2"/>
      </rPr>
      <t>11)</t>
    </r>
  </si>
  <si>
    <t xml:space="preserve">       7-day</t>
  </si>
  <si>
    <r>
      <t xml:space="preserve">17.2  </t>
    </r>
    <r>
      <rPr>
        <vertAlign val="superscript"/>
        <sz val="12"/>
        <rFont val="Arial CE"/>
        <family val="2"/>
      </rPr>
      <t>10)</t>
    </r>
  </si>
  <si>
    <t xml:space="preserve">       3-month</t>
  </si>
  <si>
    <t xml:space="preserve">       6-month</t>
  </si>
  <si>
    <r>
      <t xml:space="preserve"> STATE BUDGET  </t>
    </r>
    <r>
      <rPr>
        <vertAlign val="superscript"/>
        <sz val="12"/>
        <rFont val="Arial CE"/>
        <family val="2"/>
      </rPr>
      <t>12) 19)</t>
    </r>
  </si>
  <si>
    <t xml:space="preserve">   Balance (without expenditure on restructuring)</t>
  </si>
  <si>
    <t xml:space="preserve">   Balance (with expenditure on restructuring)</t>
  </si>
  <si>
    <t xml:space="preserve">   Total central government debt</t>
  </si>
  <si>
    <t xml:space="preserve">       domestic central government debt</t>
  </si>
  <si>
    <t xml:space="preserve">       foreign central government debt</t>
  </si>
  <si>
    <r>
      <t xml:space="preserve"> </t>
    </r>
    <r>
      <rPr>
        <b/>
        <sz val="12"/>
        <rFont val="Arial CE"/>
        <family val="2"/>
      </rPr>
      <t xml:space="preserve">GENERAL GOVERNMENT  </t>
    </r>
    <r>
      <rPr>
        <vertAlign val="superscript"/>
        <sz val="12"/>
        <rFont val="Arial CE"/>
        <family val="2"/>
      </rPr>
      <t>12)</t>
    </r>
  </si>
  <si>
    <t xml:space="preserve">   Total general government debt (consolidated)</t>
  </si>
  <si>
    <t>1) Constant prices (Average of the year 1995=100)</t>
  </si>
  <si>
    <t>2) Increase against same period of previous year</t>
  </si>
  <si>
    <t>3) By the ESA 95 method; data for the years of 1997 to 2001 are preliminary</t>
  </si>
  <si>
    <t>4) Estimated real level of foreign debt of SR until 1997 is higher approximately about 800 mil. USD</t>
  </si>
  <si>
    <t>5) State on end of period; 1.1.1999 methodological change</t>
  </si>
  <si>
    <t>6) Calculations are done by exchange rate - midpoint to the last day of the period</t>
  </si>
  <si>
    <t>7) As of last day of period</t>
  </si>
  <si>
    <t>8) Against same period of previous year - cumulative (in current exchange rate)</t>
  </si>
  <si>
    <t>9) Including funds, government and nonresidends</t>
  </si>
  <si>
    <t>10) Average of second half year 1993</t>
  </si>
  <si>
    <t>11) Average of last month; all average rates were calculated for the days on which they were listed</t>
  </si>
  <si>
    <t>12) MF SR data as of last day of period</t>
  </si>
  <si>
    <t>13) Including the statistical discrepancy</t>
  </si>
  <si>
    <t>14) Against same period of previous year, end of year compared with 1 January  - cumulative (in current exchange rate)</t>
  </si>
  <si>
    <t>15) Average of period</t>
  </si>
  <si>
    <t>16) From 1997 data processed according to the Regulation No. 167/1997 (Collection), 2000 and 2001 data are preliminary;</t>
  </si>
  <si>
    <t xml:space="preserve">      casual differences on the last digit position arise from rounding of the absolute number</t>
  </si>
  <si>
    <t>17) Data adjusted from the influence of number of working days</t>
  </si>
  <si>
    <t>18) Definitive data of foreign trade of Slovak Republic by the present methodology compared with the years 1998 - 2001;</t>
  </si>
  <si>
    <t xml:space="preserve">      definitive data of foreign trade of Slovak Republic by the previous methodology compared with the years 1993 - 1996: -1803.9 mil. USD (-8.8 % GDP)</t>
  </si>
  <si>
    <t>19) Without net lending</t>
  </si>
  <si>
    <t>20) Data by the previous methodology compared with the years 1993 - 1996: -10.1 % GDP</t>
  </si>
  <si>
    <r>
      <t xml:space="preserve">   Gross domestic product  </t>
    </r>
    <r>
      <rPr>
        <sz val="12"/>
        <rFont val="Arial CE"/>
        <family val="2"/>
      </rPr>
      <t>(in current prices)</t>
    </r>
  </si>
  <si>
    <r>
      <t xml:space="preserve">-1827.0 </t>
    </r>
    <r>
      <rPr>
        <vertAlign val="superscript"/>
        <sz val="12"/>
        <rFont val="Arial CE"/>
        <family val="2"/>
      </rPr>
      <t xml:space="preserve"> 18)</t>
    </r>
  </si>
  <si>
    <t>mil USD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</si>
</sst>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0.000"/>
    <numFmt numFmtId="166" formatCode="0.0_)"/>
    <numFmt numFmtId="167" formatCode="0.00_)"/>
  </numFmts>
  <fonts count="52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i/>
      <sz val="8"/>
      <name val="Arial CE"/>
      <family val="2"/>
    </font>
    <font>
      <b/>
      <sz val="12"/>
      <name val="Times New Roman CE"/>
      <family val="1"/>
    </font>
    <font>
      <sz val="10"/>
      <name val="Times New Roman CE"/>
      <family val="1"/>
    </font>
    <font>
      <i/>
      <sz val="8"/>
      <name val="Times New Roman CE"/>
      <family val="1"/>
    </font>
    <font>
      <b/>
      <sz val="10"/>
      <name val="Times New Roman CE"/>
      <family val="1"/>
    </font>
    <font>
      <i/>
      <vertAlign val="superscript"/>
      <sz val="8"/>
      <name val="Times New Roman CE"/>
      <family val="1"/>
    </font>
    <font>
      <sz val="8"/>
      <name val="Times New Roman CE"/>
      <family val="1"/>
    </font>
    <font>
      <sz val="16.5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0"/>
      <color indexed="10"/>
      <name val="Times New Roman CE"/>
      <family val="1"/>
    </font>
    <font>
      <sz val="9"/>
      <name val="Arial CE"/>
      <family val="2"/>
    </font>
    <font>
      <b/>
      <sz val="11.25"/>
      <name val="Arial CE"/>
      <family val="2"/>
    </font>
    <font>
      <sz val="18"/>
      <name val="Arial CE"/>
      <family val="0"/>
    </font>
    <font>
      <sz val="7.75"/>
      <name val="Arial CE"/>
      <family val="2"/>
    </font>
    <font>
      <sz val="18.25"/>
      <name val="Arial CE"/>
      <family val="0"/>
    </font>
    <font>
      <sz val="16.75"/>
      <name val="Arial CE"/>
      <family val="0"/>
    </font>
    <font>
      <sz val="7"/>
      <name val="Arial CE"/>
      <family val="2"/>
    </font>
    <font>
      <b/>
      <sz val="11"/>
      <name val="Arial CE"/>
      <family val="2"/>
    </font>
    <font>
      <sz val="18.5"/>
      <name val="Arial CE"/>
      <family val="0"/>
    </font>
    <font>
      <i/>
      <sz val="9"/>
      <name val="Arial CE"/>
      <family val="2"/>
    </font>
    <font>
      <sz val="18.75"/>
      <name val="Arial CE"/>
      <family val="0"/>
    </font>
    <font>
      <b/>
      <u val="single"/>
      <sz val="12"/>
      <name val="Times New Roman CE"/>
      <family val="1"/>
    </font>
    <font>
      <b/>
      <sz val="11"/>
      <name val="Times New Roman CE"/>
      <family val="1"/>
    </font>
    <font>
      <b/>
      <sz val="10"/>
      <name val="Arial"/>
      <family val="2"/>
    </font>
    <font>
      <sz val="10"/>
      <name val="Arial"/>
      <family val="0"/>
    </font>
    <font>
      <sz val="8"/>
      <name val="Arial"/>
      <family val="2"/>
    </font>
    <font>
      <b/>
      <sz val="7"/>
      <name val="Arial"/>
      <family val="2"/>
    </font>
    <font>
      <b/>
      <sz val="8"/>
      <name val="Arial CE"/>
      <family val="2"/>
    </font>
    <font>
      <b/>
      <sz val="20"/>
      <name val="Arial CE"/>
      <family val="0"/>
    </font>
    <font>
      <b/>
      <sz val="8"/>
      <name val="Times New Roman CE"/>
      <family val="1"/>
    </font>
    <font>
      <b/>
      <sz val="20.25"/>
      <name val="Arial CE"/>
      <family val="0"/>
    </font>
    <font>
      <b/>
      <u val="single"/>
      <sz val="10"/>
      <name val="Times New Roman CE"/>
      <family val="1"/>
    </font>
    <font>
      <sz val="10"/>
      <color indexed="8"/>
      <name val="Times New Roman CE"/>
      <family val="1"/>
    </font>
    <font>
      <u val="single"/>
      <sz val="8"/>
      <name val="Times New Roman CE"/>
      <family val="1"/>
    </font>
    <font>
      <b/>
      <sz val="9"/>
      <name val="Arial CE"/>
      <family val="2"/>
    </font>
    <font>
      <b/>
      <sz val="22.25"/>
      <name val="Arial CE"/>
      <family val="0"/>
    </font>
    <font>
      <b/>
      <sz val="8"/>
      <name val="Arial"/>
      <family val="2"/>
    </font>
    <font>
      <b/>
      <sz val="2"/>
      <name val="Arial CE"/>
      <family val="2"/>
    </font>
    <font>
      <sz val="1.5"/>
      <name val="Arial CE"/>
      <family val="2"/>
    </font>
    <font>
      <sz val="3.5"/>
      <name val="Arial CE"/>
      <family val="0"/>
    </font>
    <font>
      <sz val="12"/>
      <color indexed="10"/>
      <name val="Arial CE"/>
      <family val="2"/>
    </font>
    <font>
      <vertAlign val="superscript"/>
      <sz val="12"/>
      <name val="Arial CE"/>
      <family val="2"/>
    </font>
    <font>
      <sz val="12"/>
      <color indexed="9"/>
      <name val="Arial CE"/>
      <family val="2"/>
    </font>
    <font>
      <vertAlign val="superscript"/>
      <sz val="12"/>
      <color indexed="9"/>
      <name val="Arial CE"/>
      <family val="2"/>
    </font>
    <font>
      <sz val="11"/>
      <name val="Arial CE"/>
      <family val="2"/>
    </font>
    <font>
      <b/>
      <sz val="10"/>
      <color indexed="9"/>
      <name val="Times New Roman CE"/>
      <family val="1"/>
    </font>
    <font>
      <i/>
      <sz val="8"/>
      <color indexed="9"/>
      <name val="Times New Roman CE"/>
      <family val="1"/>
    </font>
    <font>
      <sz val="10"/>
      <color indexed="9"/>
      <name val="Times New Roman CE"/>
      <family val="1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5" fillId="0" borderId="1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4" xfId="0" applyFont="1" applyBorder="1" applyAlignment="1">
      <alignment/>
    </xf>
    <xf numFmtId="164" fontId="7" fillId="0" borderId="0" xfId="0" applyNumberFormat="1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7" fillId="0" borderId="4" xfId="0" applyFont="1" applyBorder="1" applyAlignment="1">
      <alignment/>
    </xf>
    <xf numFmtId="164" fontId="5" fillId="0" borderId="0" xfId="0" applyNumberFormat="1" applyFont="1" applyBorder="1" applyAlignment="1" quotePrefix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7" fillId="0" borderId="4" xfId="0" applyFont="1" applyBorder="1" applyAlignment="1" quotePrefix="1">
      <alignment/>
    </xf>
    <xf numFmtId="164" fontId="7" fillId="0" borderId="0" xfId="0" applyNumberFormat="1" applyFont="1" applyBorder="1" applyAlignment="1" quotePrefix="1">
      <alignment horizontal="center"/>
    </xf>
    <xf numFmtId="0" fontId="7" fillId="0" borderId="6" xfId="0" applyFont="1" applyBorder="1" applyAlignment="1" quotePrefix="1">
      <alignment/>
    </xf>
    <xf numFmtId="0" fontId="6" fillId="0" borderId="7" xfId="0" applyFont="1" applyBorder="1" applyAlignment="1">
      <alignment horizontal="center"/>
    </xf>
    <xf numFmtId="164" fontId="7" fillId="0" borderId="7" xfId="0" applyNumberFormat="1" applyFont="1" applyBorder="1" applyAlignment="1" quotePrefix="1">
      <alignment horizontal="center"/>
    </xf>
    <xf numFmtId="164" fontId="7" fillId="0" borderId="7" xfId="0" applyNumberFormat="1" applyFont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6" xfId="0" applyFont="1" applyBorder="1" applyAlignment="1">
      <alignment/>
    </xf>
    <xf numFmtId="164" fontId="5" fillId="0" borderId="7" xfId="0" applyNumberFormat="1" applyFont="1" applyBorder="1" applyAlignment="1" quotePrefix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5" fillId="0" borderId="0" xfId="0" applyNumberFormat="1" applyFont="1" applyAlignment="1">
      <alignment/>
    </xf>
    <xf numFmtId="164" fontId="13" fillId="0" borderId="0" xfId="0" applyNumberFormat="1" applyFont="1" applyFill="1" applyAlignment="1">
      <alignment/>
    </xf>
    <xf numFmtId="164" fontId="0" fillId="0" borderId="0" xfId="0" applyNumberForma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25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5" fillId="0" borderId="5" xfId="0" applyFont="1" applyBorder="1" applyAlignment="1">
      <alignment/>
    </xf>
    <xf numFmtId="164" fontId="7" fillId="0" borderId="0" xfId="0" applyNumberFormat="1" applyFont="1" applyAlignment="1">
      <alignment horizontal="center"/>
    </xf>
    <xf numFmtId="164" fontId="7" fillId="0" borderId="0" xfId="0" applyNumberFormat="1" applyFont="1" applyAlignment="1" quotePrefix="1">
      <alignment horizontal="center"/>
    </xf>
    <xf numFmtId="164" fontId="7" fillId="0" borderId="5" xfId="0" applyNumberFormat="1" applyFont="1" applyBorder="1" applyAlignment="1" quotePrefix="1">
      <alignment horizontal="center"/>
    </xf>
    <xf numFmtId="0" fontId="7" fillId="0" borderId="7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9" xfId="0" applyFont="1" applyBorder="1" applyAlignment="1">
      <alignment/>
    </xf>
    <xf numFmtId="164" fontId="7" fillId="0" borderId="13" xfId="0" applyNumberFormat="1" applyFont="1" applyBorder="1" applyAlignment="1">
      <alignment horizontal="center"/>
    </xf>
    <xf numFmtId="164" fontId="7" fillId="0" borderId="14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26" fillId="0" borderId="11" xfId="0" applyFont="1" applyBorder="1" applyAlignment="1">
      <alignment/>
    </xf>
    <xf numFmtId="0" fontId="4" fillId="0" borderId="12" xfId="0" applyFont="1" applyBorder="1" applyAlignment="1">
      <alignment/>
    </xf>
    <xf numFmtId="164" fontId="5" fillId="0" borderId="0" xfId="0" applyNumberFormat="1" applyFont="1" applyAlignment="1" quotePrefix="1">
      <alignment horizontal="center"/>
    </xf>
    <xf numFmtId="164" fontId="7" fillId="0" borderId="2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5" fontId="7" fillId="0" borderId="13" xfId="0" applyNumberFormat="1" applyFont="1" applyBorder="1" applyAlignment="1">
      <alignment horizontal="center"/>
    </xf>
    <xf numFmtId="165" fontId="7" fillId="0" borderId="14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12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165" fontId="7" fillId="0" borderId="5" xfId="0" applyNumberFormat="1" applyFont="1" applyBorder="1" applyAlignment="1">
      <alignment horizontal="center"/>
    </xf>
    <xf numFmtId="0" fontId="33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0" fontId="4" fillId="0" borderId="9" xfId="0" applyFont="1" applyBorder="1" applyAlignment="1">
      <alignment/>
    </xf>
    <xf numFmtId="2" fontId="5" fillId="0" borderId="2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/>
    </xf>
    <xf numFmtId="0" fontId="4" fillId="0" borderId="0" xfId="0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2" fontId="36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 wrapText="1"/>
    </xf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 wrapText="1"/>
    </xf>
    <xf numFmtId="0" fontId="5" fillId="0" borderId="8" xfId="0" applyFont="1" applyBorder="1" applyAlignment="1">
      <alignment/>
    </xf>
    <xf numFmtId="1" fontId="7" fillId="0" borderId="8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2" fontId="36" fillId="0" borderId="5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2" fontId="5" fillId="0" borderId="5" xfId="0" applyNumberFormat="1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6" fontId="2" fillId="0" borderId="5" xfId="0" applyNumberFormat="1" applyFont="1" applyBorder="1" applyAlignment="1" quotePrefix="1">
      <alignment/>
    </xf>
    <xf numFmtId="166" fontId="2" fillId="0" borderId="11" xfId="0" applyNumberFormat="1" applyFont="1" applyBorder="1" applyAlignment="1">
      <alignment/>
    </xf>
    <xf numFmtId="166" fontId="2" fillId="0" borderId="11" xfId="0" applyNumberFormat="1" applyFont="1" applyBorder="1" applyAlignment="1">
      <alignment horizontal="right"/>
    </xf>
    <xf numFmtId="166" fontId="2" fillId="0" borderId="17" xfId="0" applyNumberFormat="1" applyFont="1" applyBorder="1" applyAlignment="1">
      <alignment/>
    </xf>
    <xf numFmtId="0" fontId="1" fillId="0" borderId="18" xfId="0" applyFont="1" applyBorder="1" applyAlignment="1" applyProtection="1">
      <alignment/>
      <protection/>
    </xf>
    <xf numFmtId="166" fontId="1" fillId="0" borderId="5" xfId="0" applyNumberFormat="1" applyFont="1" applyBorder="1" applyAlignment="1">
      <alignment horizontal="right"/>
    </xf>
    <xf numFmtId="166" fontId="1" fillId="0" borderId="11" xfId="0" applyNumberFormat="1" applyFont="1" applyBorder="1" applyAlignment="1">
      <alignment horizontal="right"/>
    </xf>
    <xf numFmtId="166" fontId="1" fillId="0" borderId="17" xfId="0" applyNumberFormat="1" applyFont="1" applyBorder="1" applyAlignment="1">
      <alignment/>
    </xf>
    <xf numFmtId="0" fontId="2" fillId="0" borderId="19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2" fillId="0" borderId="2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/>
      <protection/>
    </xf>
    <xf numFmtId="0" fontId="1" fillId="0" borderId="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18" xfId="0" applyFont="1" applyBorder="1" applyAlignment="1" applyProtection="1">
      <alignment/>
      <protection/>
    </xf>
    <xf numFmtId="166" fontId="2" fillId="0" borderId="22" xfId="0" applyNumberFormat="1" applyFont="1" applyBorder="1" applyAlignment="1" applyProtection="1">
      <alignment/>
      <protection/>
    </xf>
    <xf numFmtId="166" fontId="1" fillId="0" borderId="5" xfId="0" applyNumberFormat="1" applyFont="1" applyBorder="1" applyAlignment="1" quotePrefix="1">
      <alignment/>
    </xf>
    <xf numFmtId="166" fontId="1" fillId="0" borderId="22" xfId="0" applyNumberFormat="1" applyFont="1" applyBorder="1" applyAlignment="1" applyProtection="1">
      <alignment/>
      <protection/>
    </xf>
    <xf numFmtId="166" fontId="1" fillId="0" borderId="11" xfId="0" applyNumberFormat="1" applyFont="1" applyBorder="1" applyAlignment="1">
      <alignment/>
    </xf>
    <xf numFmtId="166" fontId="1" fillId="0" borderId="5" xfId="0" applyNumberFormat="1" applyFont="1" applyBorder="1" applyAlignment="1" quotePrefix="1">
      <alignment horizontal="center"/>
    </xf>
    <xf numFmtId="166" fontId="1" fillId="0" borderId="5" xfId="0" applyNumberFormat="1" applyFont="1" applyBorder="1" applyAlignment="1" quotePrefix="1">
      <alignment horizontal="right"/>
    </xf>
    <xf numFmtId="166" fontId="1" fillId="0" borderId="22" xfId="0" applyNumberFormat="1" applyFont="1" applyBorder="1" applyAlignment="1" applyProtection="1">
      <alignment/>
      <protection/>
    </xf>
    <xf numFmtId="166" fontId="1" fillId="0" borderId="11" xfId="0" applyNumberFormat="1" applyFont="1" applyBorder="1" applyAlignment="1" quotePrefix="1">
      <alignment horizontal="right"/>
    </xf>
    <xf numFmtId="0" fontId="1" fillId="0" borderId="23" xfId="0" applyFont="1" applyBorder="1" applyAlignment="1" applyProtection="1">
      <alignment/>
      <protection/>
    </xf>
    <xf numFmtId="0" fontId="1" fillId="0" borderId="24" xfId="0" applyFont="1" applyBorder="1" applyAlignment="1" applyProtection="1">
      <alignment horizontal="center"/>
      <protection/>
    </xf>
    <xf numFmtId="166" fontId="1" fillId="0" borderId="24" xfId="0" applyNumberFormat="1" applyFont="1" applyBorder="1" applyAlignment="1" applyProtection="1">
      <alignment/>
      <protection/>
    </xf>
    <xf numFmtId="166" fontId="1" fillId="0" borderId="24" xfId="0" applyNumberFormat="1" applyFont="1" applyBorder="1" applyAlignment="1" applyProtection="1">
      <alignment/>
      <protection/>
    </xf>
    <xf numFmtId="166" fontId="1" fillId="0" borderId="25" xfId="0" applyNumberFormat="1" applyFont="1" applyBorder="1" applyAlignment="1" quotePrefix="1">
      <alignment/>
    </xf>
    <xf numFmtId="166" fontId="1" fillId="0" borderId="26" xfId="0" applyNumberFormat="1" applyFont="1" applyBorder="1" applyAlignment="1" quotePrefix="1">
      <alignment horizontal="right"/>
    </xf>
    <xf numFmtId="166" fontId="1" fillId="0" borderId="26" xfId="0" applyNumberFormat="1" applyFont="1" applyBorder="1" applyAlignment="1">
      <alignment/>
    </xf>
    <xf numFmtId="166" fontId="1" fillId="0" borderId="26" xfId="0" applyNumberFormat="1" applyFont="1" applyBorder="1" applyAlignment="1">
      <alignment horizontal="right"/>
    </xf>
    <xf numFmtId="166" fontId="1" fillId="0" borderId="27" xfId="0" applyNumberFormat="1" applyFont="1" applyBorder="1" applyAlignment="1">
      <alignment/>
    </xf>
    <xf numFmtId="166" fontId="1" fillId="0" borderId="5" xfId="0" applyNumberFormat="1" applyFont="1" applyBorder="1" applyAlignment="1">
      <alignment/>
    </xf>
    <xf numFmtId="166" fontId="1" fillId="0" borderId="11" xfId="0" applyNumberFormat="1" applyFont="1" applyBorder="1" applyAlignment="1">
      <alignment/>
    </xf>
    <xf numFmtId="166" fontId="1" fillId="0" borderId="17" xfId="0" applyNumberFormat="1" applyFont="1" applyBorder="1" applyAlignment="1">
      <alignment horizontal="right"/>
    </xf>
    <xf numFmtId="166" fontId="1" fillId="0" borderId="5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 horizontal="right"/>
    </xf>
    <xf numFmtId="166" fontId="1" fillId="0" borderId="28" xfId="0" applyNumberFormat="1" applyFont="1" applyBorder="1" applyAlignment="1">
      <alignment/>
    </xf>
    <xf numFmtId="0" fontId="2" fillId="0" borderId="29" xfId="0" applyFont="1" applyBorder="1" applyAlignment="1" applyProtection="1">
      <alignment/>
      <protection/>
    </xf>
    <xf numFmtId="0" fontId="1" fillId="0" borderId="30" xfId="0" applyFont="1" applyBorder="1" applyAlignment="1" applyProtection="1">
      <alignment horizontal="center"/>
      <protection/>
    </xf>
    <xf numFmtId="166" fontId="1" fillId="0" borderId="30" xfId="0" applyNumberFormat="1" applyFont="1" applyBorder="1" applyAlignment="1" applyProtection="1">
      <alignment/>
      <protection/>
    </xf>
    <xf numFmtId="166" fontId="1" fillId="0" borderId="30" xfId="0" applyNumberFormat="1" applyFont="1" applyBorder="1" applyAlignment="1" applyProtection="1">
      <alignment/>
      <protection/>
    </xf>
    <xf numFmtId="166" fontId="1" fillId="0" borderId="3" xfId="0" applyNumberFormat="1" applyFont="1" applyBorder="1" applyAlignment="1">
      <alignment/>
    </xf>
    <xf numFmtId="0" fontId="1" fillId="0" borderId="31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 horizontal="center"/>
      <protection/>
    </xf>
    <xf numFmtId="166" fontId="1" fillId="0" borderId="21" xfId="0" applyNumberFormat="1" applyFont="1" applyBorder="1" applyAlignment="1" applyProtection="1">
      <alignment/>
      <protection/>
    </xf>
    <xf numFmtId="166" fontId="1" fillId="0" borderId="21" xfId="0" applyNumberFormat="1" applyFont="1" applyBorder="1" applyAlignment="1" applyProtection="1">
      <alignment/>
      <protection/>
    </xf>
    <xf numFmtId="166" fontId="1" fillId="0" borderId="32" xfId="0" applyNumberFormat="1" applyFont="1" applyBorder="1" applyAlignment="1">
      <alignment/>
    </xf>
    <xf numFmtId="166" fontId="1" fillId="0" borderId="33" xfId="0" applyNumberFormat="1" applyFont="1" applyBorder="1" applyAlignment="1">
      <alignment/>
    </xf>
    <xf numFmtId="166" fontId="1" fillId="0" borderId="33" xfId="0" applyNumberFormat="1" applyFont="1" applyBorder="1" applyAlignment="1">
      <alignment horizontal="right"/>
    </xf>
    <xf numFmtId="166" fontId="1" fillId="0" borderId="34" xfId="0" applyNumberFormat="1" applyFont="1" applyBorder="1" applyAlignment="1">
      <alignment/>
    </xf>
    <xf numFmtId="0" fontId="2" fillId="0" borderId="18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 horizontal="center"/>
      <protection/>
    </xf>
    <xf numFmtId="167" fontId="1" fillId="0" borderId="22" xfId="0" applyNumberFormat="1" applyFont="1" applyBorder="1" applyAlignment="1" applyProtection="1">
      <alignment/>
      <protection/>
    </xf>
    <xf numFmtId="0" fontId="1" fillId="0" borderId="18" xfId="0" applyFont="1" applyBorder="1" applyAlignment="1">
      <alignment/>
    </xf>
    <xf numFmtId="166" fontId="1" fillId="0" borderId="22" xfId="0" applyNumberFormat="1" applyFont="1" applyBorder="1" applyAlignment="1" quotePrefix="1">
      <alignment horizontal="center"/>
    </xf>
    <xf numFmtId="0" fontId="1" fillId="0" borderId="10" xfId="0" applyFont="1" applyBorder="1" applyAlignment="1">
      <alignment/>
    </xf>
    <xf numFmtId="166" fontId="1" fillId="0" borderId="22" xfId="0" applyNumberFormat="1" applyFont="1" applyBorder="1" applyAlignment="1" applyProtection="1" quotePrefix="1">
      <alignment horizontal="right"/>
      <protection/>
    </xf>
    <xf numFmtId="165" fontId="1" fillId="0" borderId="22" xfId="0" applyNumberFormat="1" applyFont="1" applyBorder="1" applyAlignment="1" applyProtection="1">
      <alignment/>
      <protection/>
    </xf>
    <xf numFmtId="165" fontId="1" fillId="0" borderId="5" xfId="0" applyNumberFormat="1" applyFont="1" applyBorder="1" applyAlignment="1">
      <alignment/>
    </xf>
    <xf numFmtId="165" fontId="1" fillId="0" borderId="11" xfId="0" applyNumberFormat="1" applyFont="1" applyBorder="1" applyAlignment="1">
      <alignment/>
    </xf>
    <xf numFmtId="165" fontId="1" fillId="0" borderId="21" xfId="0" applyNumberFormat="1" applyFont="1" applyBorder="1" applyAlignment="1" applyProtection="1">
      <alignment horizontal="center"/>
      <protection/>
    </xf>
    <xf numFmtId="165" fontId="1" fillId="0" borderId="32" xfId="0" applyNumberFormat="1" applyFont="1" applyBorder="1" applyAlignment="1">
      <alignment horizontal="center"/>
    </xf>
    <xf numFmtId="165" fontId="1" fillId="0" borderId="33" xfId="0" applyNumberFormat="1" applyFont="1" applyBorder="1" applyAlignment="1">
      <alignment horizontal="center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167" fontId="1" fillId="0" borderId="5" xfId="0" applyNumberFormat="1" applyFont="1" applyBorder="1" applyAlignment="1">
      <alignment/>
    </xf>
    <xf numFmtId="167" fontId="1" fillId="0" borderId="11" xfId="0" applyNumberFormat="1" applyFont="1" applyBorder="1" applyAlignment="1">
      <alignment/>
    </xf>
    <xf numFmtId="167" fontId="1" fillId="0" borderId="17" xfId="0" applyNumberFormat="1" applyFont="1" applyBorder="1" applyAlignment="1">
      <alignment/>
    </xf>
    <xf numFmtId="167" fontId="1" fillId="0" borderId="22" xfId="0" applyNumberFormat="1" applyFont="1" applyBorder="1" applyAlignment="1" applyProtection="1" quotePrefix="1">
      <alignment horizontal="center"/>
      <protection/>
    </xf>
    <xf numFmtId="167" fontId="1" fillId="0" borderId="22" xfId="0" applyNumberFormat="1" applyFont="1" applyBorder="1" applyAlignment="1" applyProtection="1">
      <alignment horizontal="right"/>
      <protection/>
    </xf>
    <xf numFmtId="167" fontId="1" fillId="0" borderId="5" xfId="0" applyNumberFormat="1" applyFont="1" applyBorder="1" applyAlignment="1">
      <alignment horizontal="right"/>
    </xf>
    <xf numFmtId="167" fontId="1" fillId="0" borderId="11" xfId="0" applyNumberFormat="1" applyFont="1" applyBorder="1" applyAlignment="1">
      <alignment horizontal="right"/>
    </xf>
    <xf numFmtId="0" fontId="1" fillId="0" borderId="28" xfId="0" applyFont="1" applyBorder="1" applyAlignment="1">
      <alignment/>
    </xf>
    <xf numFmtId="0" fontId="1" fillId="0" borderId="0" xfId="0" applyFont="1" applyBorder="1" applyAlignment="1" applyProtection="1">
      <alignment horizontal="center"/>
      <protection/>
    </xf>
    <xf numFmtId="166" fontId="1" fillId="0" borderId="22" xfId="0" applyNumberFormat="1" applyFont="1" applyBorder="1" applyAlignment="1" applyProtection="1" quotePrefix="1">
      <alignment/>
      <protection/>
    </xf>
    <xf numFmtId="166" fontId="1" fillId="0" borderId="0" xfId="0" applyNumberFormat="1" applyFont="1" applyBorder="1" applyAlignment="1" applyProtection="1">
      <alignment/>
      <protection/>
    </xf>
    <xf numFmtId="166" fontId="1" fillId="0" borderId="11" xfId="0" applyNumberFormat="1" applyFont="1" applyBorder="1" applyAlignment="1" applyProtection="1">
      <alignment/>
      <protection/>
    </xf>
    <xf numFmtId="0" fontId="1" fillId="0" borderId="35" xfId="0" applyFont="1" applyBorder="1" applyAlignment="1" applyProtection="1">
      <alignment horizontal="center"/>
      <protection/>
    </xf>
    <xf numFmtId="167" fontId="1" fillId="0" borderId="11" xfId="0" applyNumberFormat="1" applyFont="1" applyBorder="1" applyAlignment="1" applyProtection="1" quotePrefix="1">
      <alignment horizontal="center"/>
      <protection/>
    </xf>
    <xf numFmtId="167" fontId="1" fillId="0" borderId="0" xfId="0" applyNumberFormat="1" applyFont="1" applyBorder="1" applyAlignment="1" applyProtection="1" quotePrefix="1">
      <alignment horizontal="center"/>
      <protection/>
    </xf>
    <xf numFmtId="0" fontId="1" fillId="0" borderId="19" xfId="0" applyFont="1" applyBorder="1" applyAlignment="1" applyProtection="1">
      <alignment/>
      <protection/>
    </xf>
    <xf numFmtId="166" fontId="1" fillId="0" borderId="11" xfId="0" applyNumberFormat="1" applyFont="1" applyBorder="1" applyAlignment="1" applyProtection="1" quotePrefix="1">
      <alignment/>
      <protection/>
    </xf>
    <xf numFmtId="166" fontId="1" fillId="0" borderId="0" xfId="0" applyNumberFormat="1" applyFont="1" applyBorder="1" applyAlignment="1" applyProtection="1">
      <alignment/>
      <protection/>
    </xf>
    <xf numFmtId="166" fontId="1" fillId="0" borderId="11" xfId="0" applyNumberFormat="1" applyFont="1" applyBorder="1" applyAlignment="1" applyProtection="1">
      <alignment/>
      <protection/>
    </xf>
    <xf numFmtId="166" fontId="1" fillId="0" borderId="11" xfId="0" applyNumberFormat="1" applyFont="1" applyBorder="1" applyAlignment="1" applyProtection="1" quotePrefix="1">
      <alignment horizontal="center"/>
      <protection/>
    </xf>
    <xf numFmtId="166" fontId="1" fillId="0" borderId="0" xfId="0" applyNumberFormat="1" applyFont="1" applyBorder="1" applyAlignment="1" applyProtection="1" quotePrefix="1">
      <alignment/>
      <protection/>
    </xf>
    <xf numFmtId="166" fontId="1" fillId="0" borderId="11" xfId="0" applyNumberFormat="1" applyFont="1" applyBorder="1" applyAlignment="1" applyProtection="1" quotePrefix="1">
      <alignment horizontal="right"/>
      <protection/>
    </xf>
    <xf numFmtId="166" fontId="1" fillId="0" borderId="0" xfId="0" applyNumberFormat="1" applyFont="1" applyBorder="1" applyAlignment="1" applyProtection="1" quotePrefix="1">
      <alignment horizontal="right"/>
      <protection/>
    </xf>
    <xf numFmtId="0" fontId="1" fillId="0" borderId="36" xfId="0" applyFont="1" applyBorder="1" applyAlignment="1" applyProtection="1">
      <alignment/>
      <protection/>
    </xf>
    <xf numFmtId="0" fontId="1" fillId="0" borderId="37" xfId="0" applyFont="1" applyBorder="1" applyAlignment="1" applyProtection="1">
      <alignment horizontal="center"/>
      <protection/>
    </xf>
    <xf numFmtId="166" fontId="1" fillId="0" borderId="38" xfId="0" applyNumberFormat="1" applyFont="1" applyBorder="1" applyAlignment="1" applyProtection="1" quotePrefix="1">
      <alignment horizontal="right"/>
      <protection/>
    </xf>
    <xf numFmtId="166" fontId="1" fillId="0" borderId="37" xfId="0" applyNumberFormat="1" applyFont="1" applyBorder="1" applyAlignment="1" applyProtection="1" quotePrefix="1">
      <alignment horizontal="right"/>
      <protection/>
    </xf>
    <xf numFmtId="166" fontId="1" fillId="0" borderId="38" xfId="0" applyNumberFormat="1" applyFont="1" applyBorder="1" applyAlignment="1">
      <alignment/>
    </xf>
    <xf numFmtId="166" fontId="1" fillId="0" borderId="38" xfId="0" applyNumberFormat="1" applyFont="1" applyBorder="1" applyAlignment="1">
      <alignment horizontal="right"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167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>
      <alignment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166" fontId="2" fillId="0" borderId="41" xfId="0" applyNumberFormat="1" applyFont="1" applyBorder="1" applyAlignment="1">
      <alignment/>
    </xf>
    <xf numFmtId="166" fontId="1" fillId="0" borderId="22" xfId="0" applyNumberFormat="1" applyFont="1" applyBorder="1" applyAlignment="1" applyProtection="1">
      <alignment horizontal="right"/>
      <protection/>
    </xf>
    <xf numFmtId="166" fontId="1" fillId="0" borderId="24" xfId="0" applyNumberFormat="1" applyFont="1" applyBorder="1" applyAlignment="1" applyProtection="1">
      <alignment horizontal="right"/>
      <protection/>
    </xf>
    <xf numFmtId="166" fontId="1" fillId="0" borderId="42" xfId="0" applyNumberFormat="1" applyFont="1" applyBorder="1" applyAlignment="1">
      <alignment horizontal="right"/>
    </xf>
    <xf numFmtId="0" fontId="48" fillId="0" borderId="0" xfId="0" applyFont="1" applyAlignment="1" applyProtection="1">
      <alignment/>
      <protection/>
    </xf>
    <xf numFmtId="0" fontId="48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41" xfId="0" applyFont="1" applyBorder="1" applyAlignment="1">
      <alignment/>
    </xf>
    <xf numFmtId="166" fontId="2" fillId="0" borderId="22" xfId="0" applyNumberFormat="1" applyFont="1" applyBorder="1" applyAlignment="1" applyProtection="1">
      <alignment horizontal="right"/>
      <protection/>
    </xf>
    <xf numFmtId="166" fontId="1" fillId="0" borderId="0" xfId="0" applyNumberFormat="1" applyFont="1" applyBorder="1" applyAlignment="1">
      <alignment horizontal="right"/>
    </xf>
    <xf numFmtId="166" fontId="1" fillId="0" borderId="22" xfId="0" applyNumberFormat="1" applyFont="1" applyBorder="1" applyAlignment="1">
      <alignment horizontal="right"/>
    </xf>
    <xf numFmtId="166" fontId="1" fillId="0" borderId="41" xfId="0" applyNumberFormat="1" applyFont="1" applyBorder="1" applyAlignment="1">
      <alignment/>
    </xf>
    <xf numFmtId="166" fontId="1" fillId="0" borderId="22" xfId="0" applyNumberFormat="1" applyFont="1" applyBorder="1" applyAlignment="1" applyProtection="1">
      <alignment horizontal="center"/>
      <protection/>
    </xf>
    <xf numFmtId="166" fontId="1" fillId="0" borderId="22" xfId="0" applyNumberFormat="1" applyFont="1" applyBorder="1" applyAlignment="1" applyProtection="1" quotePrefix="1">
      <alignment horizontal="center"/>
      <protection/>
    </xf>
    <xf numFmtId="166" fontId="1" fillId="0" borderId="0" xfId="0" applyNumberFormat="1" applyFont="1" applyBorder="1" applyAlignment="1" quotePrefix="1">
      <alignment horizontal="right"/>
    </xf>
    <xf numFmtId="166" fontId="1" fillId="0" borderId="43" xfId="0" applyNumberFormat="1" applyFont="1" applyBorder="1" applyAlignment="1">
      <alignment horizontal="right"/>
    </xf>
    <xf numFmtId="166" fontId="1" fillId="0" borderId="24" xfId="0" applyNumberFormat="1" applyFont="1" applyBorder="1" applyAlignment="1">
      <alignment horizontal="right"/>
    </xf>
    <xf numFmtId="166" fontId="1" fillId="0" borderId="44" xfId="0" applyNumberFormat="1" applyFont="1" applyBorder="1" applyAlignment="1">
      <alignment/>
    </xf>
    <xf numFmtId="0" fontId="2" fillId="0" borderId="45" xfId="0" applyFont="1" applyBorder="1" applyAlignment="1" applyProtection="1">
      <alignment/>
      <protection/>
    </xf>
    <xf numFmtId="0" fontId="1" fillId="0" borderId="46" xfId="0" applyFont="1" applyBorder="1" applyAlignment="1" applyProtection="1">
      <alignment horizontal="center"/>
      <protection/>
    </xf>
    <xf numFmtId="0" fontId="1" fillId="0" borderId="22" xfId="0" applyFont="1" applyBorder="1" applyAlignment="1">
      <alignment horizontal="right"/>
    </xf>
    <xf numFmtId="166" fontId="1" fillId="0" borderId="41" xfId="0" applyNumberFormat="1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44" xfId="0" applyFont="1" applyBorder="1" applyAlignment="1">
      <alignment/>
    </xf>
    <xf numFmtId="166" fontId="1" fillId="0" borderId="21" xfId="0" applyNumberFormat="1" applyFont="1" applyBorder="1" applyAlignment="1" applyProtection="1">
      <alignment horizontal="right"/>
      <protection/>
    </xf>
    <xf numFmtId="166" fontId="1" fillId="0" borderId="47" xfId="0" applyNumberFormat="1" applyFont="1" applyBorder="1" applyAlignment="1">
      <alignment horizontal="right"/>
    </xf>
    <xf numFmtId="166" fontId="1" fillId="0" borderId="21" xfId="0" applyNumberFormat="1" applyFont="1" applyBorder="1" applyAlignment="1">
      <alignment horizontal="right"/>
    </xf>
    <xf numFmtId="166" fontId="1" fillId="0" borderId="48" xfId="0" applyNumberFormat="1" applyFont="1" applyBorder="1" applyAlignment="1">
      <alignment/>
    </xf>
    <xf numFmtId="166" fontId="1" fillId="0" borderId="42" xfId="0" applyNumberFormat="1" applyFont="1" applyBorder="1" applyAlignment="1">
      <alignment/>
    </xf>
    <xf numFmtId="166" fontId="1" fillId="0" borderId="22" xfId="0" applyNumberFormat="1" applyFont="1" applyBorder="1" applyAlignment="1">
      <alignment/>
    </xf>
    <xf numFmtId="166" fontId="1" fillId="0" borderId="0" xfId="0" applyNumberFormat="1" applyFont="1" applyBorder="1" applyAlignment="1" applyProtection="1">
      <alignment horizontal="center"/>
      <protection/>
    </xf>
    <xf numFmtId="166" fontId="1" fillId="0" borderId="0" xfId="0" applyNumberFormat="1" applyFont="1" applyBorder="1" applyAlignment="1">
      <alignment horizontal="center"/>
    </xf>
    <xf numFmtId="0" fontId="1" fillId="0" borderId="24" xfId="0" applyFont="1" applyBorder="1" applyAlignment="1">
      <alignment/>
    </xf>
    <xf numFmtId="166" fontId="1" fillId="0" borderId="24" xfId="0" applyNumberFormat="1" applyFont="1" applyBorder="1" applyAlignment="1">
      <alignment/>
    </xf>
    <xf numFmtId="166" fontId="1" fillId="0" borderId="46" xfId="0" applyNumberFormat="1" applyFont="1" applyBorder="1" applyAlignment="1" applyProtection="1">
      <alignment/>
      <protection/>
    </xf>
    <xf numFmtId="166" fontId="1" fillId="0" borderId="49" xfId="0" applyNumberFormat="1" applyFont="1" applyBorder="1" applyAlignment="1">
      <alignment/>
    </xf>
    <xf numFmtId="166" fontId="1" fillId="0" borderId="42" xfId="0" applyNumberFormat="1" applyFont="1" applyBorder="1" applyAlignment="1" quotePrefix="1">
      <alignment horizontal="right"/>
    </xf>
    <xf numFmtId="166" fontId="1" fillId="0" borderId="22" xfId="0" applyNumberFormat="1" applyFont="1" applyBorder="1" applyAlignment="1" quotePrefix="1">
      <alignment horizontal="right"/>
    </xf>
    <xf numFmtId="166" fontId="1" fillId="0" borderId="41" xfId="0" applyNumberFormat="1" applyFont="1" applyBorder="1" applyAlignment="1" quotePrefix="1">
      <alignment horizontal="right"/>
    </xf>
    <xf numFmtId="165" fontId="1" fillId="0" borderId="22" xfId="0" applyNumberFormat="1" applyFont="1" applyBorder="1" applyAlignment="1" applyProtection="1">
      <alignment horizontal="right"/>
      <protection/>
    </xf>
    <xf numFmtId="165" fontId="1" fillId="0" borderId="42" xfId="0" applyNumberFormat="1" applyFont="1" applyBorder="1" applyAlignment="1">
      <alignment horizontal="right"/>
    </xf>
    <xf numFmtId="165" fontId="1" fillId="0" borderId="22" xfId="0" applyNumberFormat="1" applyFont="1" applyBorder="1" applyAlignment="1">
      <alignment horizontal="right"/>
    </xf>
    <xf numFmtId="165" fontId="1" fillId="0" borderId="35" xfId="0" applyNumberFormat="1" applyFont="1" applyBorder="1" applyAlignment="1" applyProtection="1">
      <alignment horizontal="right"/>
      <protection/>
    </xf>
    <xf numFmtId="165" fontId="1" fillId="0" borderId="0" xfId="0" applyNumberFormat="1" applyFont="1" applyBorder="1" applyAlignment="1" applyProtection="1">
      <alignment/>
      <protection/>
    </xf>
    <xf numFmtId="165" fontId="1" fillId="0" borderId="0" xfId="0" applyNumberFormat="1" applyFont="1" applyBorder="1" applyAlignment="1" applyProtection="1">
      <alignment horizontal="right"/>
      <protection/>
    </xf>
    <xf numFmtId="166" fontId="1" fillId="0" borderId="21" xfId="0" applyNumberFormat="1" applyFont="1" applyBorder="1" applyAlignment="1" applyProtection="1" quotePrefix="1">
      <alignment horizontal="center"/>
      <protection/>
    </xf>
    <xf numFmtId="0" fontId="1" fillId="0" borderId="21" xfId="0" applyFont="1" applyBorder="1" applyAlignment="1">
      <alignment/>
    </xf>
    <xf numFmtId="0" fontId="1" fillId="0" borderId="48" xfId="0" applyFont="1" applyBorder="1" applyAlignment="1">
      <alignment/>
    </xf>
    <xf numFmtId="166" fontId="1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67" fontId="1" fillId="0" borderId="22" xfId="0" applyNumberFormat="1" applyFont="1" applyBorder="1" applyAlignment="1">
      <alignment/>
    </xf>
    <xf numFmtId="167" fontId="1" fillId="0" borderId="41" xfId="0" applyNumberFormat="1" applyFont="1" applyBorder="1" applyAlignment="1">
      <alignment/>
    </xf>
    <xf numFmtId="167" fontId="1" fillId="0" borderId="35" xfId="0" applyNumberFormat="1" applyFont="1" applyBorder="1" applyAlignment="1" applyProtection="1">
      <alignment/>
      <protection/>
    </xf>
    <xf numFmtId="167" fontId="1" fillId="0" borderId="0" xfId="0" applyNumberFormat="1" applyFont="1" applyBorder="1" applyAlignment="1">
      <alignment horizontal="right"/>
    </xf>
    <xf numFmtId="167" fontId="1" fillId="0" borderId="22" xfId="0" applyNumberFormat="1" applyFont="1" applyBorder="1" applyAlignment="1">
      <alignment horizontal="right"/>
    </xf>
    <xf numFmtId="167" fontId="1" fillId="0" borderId="41" xfId="0" applyNumberFormat="1" applyFont="1" applyBorder="1" applyAlignment="1">
      <alignment horizontal="right"/>
    </xf>
    <xf numFmtId="166" fontId="1" fillId="0" borderId="43" xfId="0" applyNumberFormat="1" applyFont="1" applyBorder="1" applyAlignment="1">
      <alignment/>
    </xf>
    <xf numFmtId="166" fontId="1" fillId="0" borderId="35" xfId="0" applyNumberFormat="1" applyFont="1" applyBorder="1" applyAlignment="1" quotePrefix="1">
      <alignment horizontal="right"/>
    </xf>
    <xf numFmtId="166" fontId="1" fillId="0" borderId="22" xfId="0" applyNumberFormat="1" applyFont="1" applyBorder="1" applyAlignment="1">
      <alignment horizontal="center"/>
    </xf>
    <xf numFmtId="166" fontId="1" fillId="0" borderId="0" xfId="0" applyNumberFormat="1" applyFont="1" applyBorder="1" applyAlignment="1" applyProtection="1" quotePrefix="1">
      <alignment horizontal="center"/>
      <protection/>
    </xf>
    <xf numFmtId="166" fontId="1" fillId="0" borderId="35" xfId="0" applyNumberFormat="1" applyFont="1" applyBorder="1" applyAlignment="1" applyProtection="1" quotePrefix="1">
      <alignment horizontal="right"/>
      <protection/>
    </xf>
    <xf numFmtId="0" fontId="1" fillId="0" borderId="50" xfId="0" applyFont="1" applyBorder="1" applyAlignment="1" applyProtection="1">
      <alignment horizontal="center"/>
      <protection/>
    </xf>
    <xf numFmtId="166" fontId="1" fillId="0" borderId="21" xfId="0" applyNumberFormat="1" applyFont="1" applyBorder="1" applyAlignment="1" applyProtection="1" quotePrefix="1">
      <alignment horizontal="right"/>
      <protection/>
    </xf>
    <xf numFmtId="166" fontId="1" fillId="0" borderId="50" xfId="0" applyNumberFormat="1" applyFont="1" applyBorder="1" applyAlignment="1" applyProtection="1" quotePrefix="1">
      <alignment horizontal="right"/>
      <protection/>
    </xf>
    <xf numFmtId="166" fontId="1" fillId="0" borderId="21" xfId="0" applyNumberFormat="1" applyFont="1" applyBorder="1" applyAlignment="1" quotePrefix="1">
      <alignment horizontal="right"/>
    </xf>
    <xf numFmtId="166" fontId="1" fillId="0" borderId="50" xfId="0" applyNumberFormat="1" applyFont="1" applyBorder="1" applyAlignment="1">
      <alignment horizontal="right"/>
    </xf>
    <xf numFmtId="166" fontId="1" fillId="0" borderId="21" xfId="0" applyNumberFormat="1" applyFont="1" applyBorder="1" applyAlignment="1">
      <alignment/>
    </xf>
    <xf numFmtId="0" fontId="1" fillId="0" borderId="0" xfId="0" applyFont="1" applyBorder="1" applyAlignment="1">
      <alignment/>
    </xf>
    <xf numFmtId="167" fontId="1" fillId="0" borderId="22" xfId="0" applyNumberFormat="1" applyFont="1" applyBorder="1" applyAlignment="1" applyProtection="1" quotePrefix="1">
      <alignment horizontal="right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1" fillId="0" borderId="31" xfId="0" applyFont="1" applyBorder="1" applyAlignment="1">
      <alignment horizontal="center" vertical="center"/>
    </xf>
    <xf numFmtId="0" fontId="2" fillId="0" borderId="20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2" fillId="0" borderId="52" xfId="0" applyNumberFormat="1" applyFont="1" applyBorder="1" applyAlignment="1" quotePrefix="1">
      <alignment horizontal="center" vertical="center"/>
    </xf>
    <xf numFmtId="0" fontId="1" fillId="0" borderId="53" xfId="0" applyFont="1" applyBorder="1" applyAlignment="1">
      <alignment vertical="center"/>
    </xf>
    <xf numFmtId="0" fontId="2" fillId="0" borderId="54" xfId="0" applyFont="1" applyBorder="1" applyAlignment="1" quotePrefix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2" fillId="0" borderId="54" xfId="0" applyNumberFormat="1" applyFont="1" applyBorder="1" applyAlignment="1" quotePrefix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2" fillId="0" borderId="55" xfId="0" applyFont="1" applyBorder="1" applyAlignment="1" quotePrefix="1">
      <alignment horizontal="center" vertical="center"/>
    </xf>
    <xf numFmtId="0" fontId="2" fillId="0" borderId="56" xfId="0" applyFont="1" applyBorder="1" applyAlignment="1" quotePrefix="1">
      <alignment horizontal="center" vertical="center"/>
    </xf>
    <xf numFmtId="0" fontId="2" fillId="0" borderId="57" xfId="0" applyNumberFormat="1" applyFont="1" applyBorder="1" applyAlignment="1" quotePrefix="1">
      <alignment horizontal="center" vertical="center"/>
    </xf>
    <xf numFmtId="0" fontId="1" fillId="0" borderId="58" xfId="0" applyFont="1" applyBorder="1" applyAlignment="1" applyProtection="1">
      <alignment horizontal="center" vertical="center"/>
      <protection/>
    </xf>
    <xf numFmtId="0" fontId="1" fillId="0" borderId="58" xfId="0" applyFont="1" applyBorder="1" applyAlignment="1">
      <alignment horizontal="center" vertical="center"/>
    </xf>
    <xf numFmtId="166" fontId="1" fillId="0" borderId="22" xfId="0" applyNumberFormat="1" applyFont="1" applyBorder="1" applyAlignment="1" applyProtection="1">
      <alignment vertical="center"/>
      <protection/>
    </xf>
    <xf numFmtId="0" fontId="1" fillId="0" borderId="22" xfId="0" applyFont="1" applyBorder="1" applyAlignment="1">
      <alignment vertical="center"/>
    </xf>
    <xf numFmtId="166" fontId="1" fillId="0" borderId="11" xfId="0" applyNumberFormat="1" applyFont="1" applyBorder="1" applyAlignment="1">
      <alignment vertical="center"/>
    </xf>
    <xf numFmtId="166" fontId="1" fillId="0" borderId="59" xfId="0" applyNumberFormat="1" applyFont="1" applyBorder="1" applyAlignment="1">
      <alignment vertical="center"/>
    </xf>
    <xf numFmtId="0" fontId="1" fillId="0" borderId="5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" fillId="0" borderId="56" xfId="0" applyNumberFormat="1" applyFont="1" applyBorder="1" applyAlignment="1" quotePrefix="1">
      <alignment horizontal="center" vertical="center"/>
    </xf>
    <xf numFmtId="166" fontId="1" fillId="0" borderId="11" xfId="0" applyNumberFormat="1" applyFont="1" applyBorder="1" applyAlignment="1">
      <alignment horizontal="right" vertical="center"/>
    </xf>
    <xf numFmtId="166" fontId="1" fillId="0" borderId="17" xfId="0" applyNumberFormat="1" applyFont="1" applyBorder="1" applyAlignment="1">
      <alignment vertical="center"/>
    </xf>
    <xf numFmtId="166" fontId="1" fillId="0" borderId="22" xfId="0" applyNumberFormat="1" applyFont="1" applyBorder="1" applyAlignment="1" quotePrefix="1">
      <alignment horizontal="center" vertical="center"/>
    </xf>
    <xf numFmtId="0" fontId="1" fillId="0" borderId="22" xfId="0" applyFont="1" applyBorder="1" applyAlignment="1">
      <alignment horizontal="center" vertical="center"/>
    </xf>
    <xf numFmtId="166" fontId="1" fillId="0" borderId="59" xfId="0" applyNumberFormat="1" applyFont="1" applyBorder="1" applyAlignment="1" quotePrefix="1">
      <alignment horizontal="center" vertical="center"/>
    </xf>
    <xf numFmtId="0" fontId="2" fillId="0" borderId="20" xfId="0" applyNumberFormat="1" applyFont="1" applyBorder="1" applyAlignment="1" quotePrefix="1">
      <alignment horizontal="center" vertical="center"/>
    </xf>
    <xf numFmtId="0" fontId="2" fillId="0" borderId="20" xfId="0" applyFont="1" applyBorder="1" applyAlignment="1">
      <alignment horizontal="center" vertical="center"/>
    </xf>
    <xf numFmtId="166" fontId="1" fillId="0" borderId="22" xfId="0" applyNumberFormat="1" applyFont="1" applyBorder="1" applyAlignment="1">
      <alignment horizontal="right" vertical="center"/>
    </xf>
    <xf numFmtId="166" fontId="1" fillId="0" borderId="41" xfId="0" applyNumberFormat="1" applyFont="1" applyBorder="1" applyAlignment="1">
      <alignment vertical="center"/>
    </xf>
    <xf numFmtId="0" fontId="2" fillId="0" borderId="60" xfId="0" applyFont="1" applyBorder="1" applyAlignment="1" applyProtection="1">
      <alignment horizontal="center" vertical="center"/>
      <protection/>
    </xf>
    <xf numFmtId="0" fontId="1" fillId="0" borderId="61" xfId="0" applyFont="1" applyBorder="1" applyAlignment="1">
      <alignment horizontal="center" vertical="center"/>
    </xf>
    <xf numFmtId="0" fontId="2" fillId="0" borderId="20" xfId="0" applyFont="1" applyBorder="1" applyAlignment="1" quotePrefix="1">
      <alignment horizontal="center" vertical="center"/>
    </xf>
    <xf numFmtId="166" fontId="1" fillId="0" borderId="22" xfId="0" applyNumberFormat="1" applyFont="1" applyBorder="1" applyAlignment="1" applyProtection="1">
      <alignment horizontal="center" vertical="center"/>
      <protection/>
    </xf>
    <xf numFmtId="166" fontId="1" fillId="0" borderId="22" xfId="0" applyNumberFormat="1" applyFont="1" applyBorder="1" applyAlignment="1">
      <alignment horizontal="center" vertical="center"/>
    </xf>
    <xf numFmtId="166" fontId="1" fillId="0" borderId="22" xfId="0" applyNumberFormat="1" applyFont="1" applyBorder="1" applyAlignment="1">
      <alignment vertical="center"/>
    </xf>
    <xf numFmtId="2" fontId="49" fillId="0" borderId="0" xfId="0" applyNumberFormat="1" applyFont="1" applyBorder="1" applyAlignment="1">
      <alignment horizontal="center"/>
    </xf>
    <xf numFmtId="2" fontId="51" fillId="0" borderId="0" xfId="0" applyNumberFormat="1" applyFont="1" applyBorder="1" applyAlignment="1">
      <alignment horizontal="center"/>
    </xf>
    <xf numFmtId="0" fontId="49" fillId="0" borderId="4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50" fillId="0" borderId="4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2" fontId="51" fillId="0" borderId="4" xfId="0" applyNumberFormat="1" applyFont="1" applyBorder="1" applyAlignment="1">
      <alignment horizontal="center"/>
    </xf>
    <xf numFmtId="2" fontId="49" fillId="0" borderId="4" xfId="0" applyNumberFormat="1" applyFont="1" applyBorder="1" applyAlignment="1">
      <alignment horizontal="center"/>
    </xf>
    <xf numFmtId="0" fontId="51" fillId="0" borderId="4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9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Hrubý domáci produkt
</a:t>
            </a: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v stálych cenách, rozklad medziročného prírastku na príspevok domáceho dopytu a salda zahraničného obchodu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7875"/>
          <c:w val="0.90375"/>
          <c:h val="0.72125"/>
        </c:manualLayout>
      </c:layout>
      <c:barChart>
        <c:barDir val="col"/>
        <c:grouping val="clustered"/>
        <c:varyColors val="0"/>
        <c:ser>
          <c:idx val="0"/>
          <c:order val="0"/>
          <c:tx>
            <c:v>príspevok domáceho dopytu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'HDP-tab'!$D$3:$N$3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'HDP-tab'!$D$24:$N$24</c:f>
              <c:numCache>
                <c:ptCount val="11"/>
                <c:pt idx="0">
                  <c:v>-5.229696472518457</c:v>
                </c:pt>
                <c:pt idx="1">
                  <c:v>10.06645817044565</c:v>
                </c:pt>
                <c:pt idx="2">
                  <c:v>15.769230769230774</c:v>
                </c:pt>
                <c:pt idx="3">
                  <c:v>4.638730815657868</c:v>
                </c:pt>
                <c:pt idx="4">
                  <c:v>9.985387238188018</c:v>
                </c:pt>
                <c:pt idx="5">
                  <c:v>-5.100608329433775</c:v>
                </c:pt>
                <c:pt idx="6">
                  <c:v>-1.3470075003826831</c:v>
                </c:pt>
                <c:pt idx="7">
                  <c:v>4.223453646847393</c:v>
                </c:pt>
                <c:pt idx="8">
                  <c:v>2.93860925225488</c:v>
                </c:pt>
                <c:pt idx="9">
                  <c:v>3.4686139587136537</c:v>
                </c:pt>
                <c:pt idx="10">
                  <c:v>4.169477803265413</c:v>
                </c:pt>
              </c:numCache>
            </c:numRef>
          </c:val>
        </c:ser>
        <c:ser>
          <c:idx val="1"/>
          <c:order val="1"/>
          <c:tx>
            <c:v>príspevok salda zahraničného obchodu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'HDP-tab'!$D$3:$N$3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'HDP-tab'!$D$27:$N$27</c:f>
              <c:numCache>
                <c:ptCount val="11"/>
                <c:pt idx="0">
                  <c:v>10.151763740771123</c:v>
                </c:pt>
                <c:pt idx="1">
                  <c:v>-3.342455043002346</c:v>
                </c:pt>
                <c:pt idx="2">
                  <c:v>-9.560439560439562</c:v>
                </c:pt>
                <c:pt idx="3">
                  <c:v>1.5692360751853773</c:v>
                </c:pt>
                <c:pt idx="4">
                  <c:v>-5.893813930832929</c:v>
                </c:pt>
                <c:pt idx="5">
                  <c:v>7.003587583840274</c:v>
                </c:pt>
                <c:pt idx="6">
                  <c:v>3.5512015919179554</c:v>
                </c:pt>
                <c:pt idx="7">
                  <c:v>-1.2730268084469072</c:v>
                </c:pt>
                <c:pt idx="8">
                  <c:v>0.6546406750072737</c:v>
                </c:pt>
                <c:pt idx="9">
                  <c:v>0.6038477741890184</c:v>
                </c:pt>
                <c:pt idx="10">
                  <c:v>0.5397382269599243</c:v>
                </c:pt>
              </c:numCache>
            </c:numRef>
          </c:val>
        </c:ser>
        <c:axId val="10148843"/>
        <c:axId val="24230724"/>
      </c:barChart>
      <c:lineChart>
        <c:grouping val="standard"/>
        <c:varyColors val="0"/>
        <c:ser>
          <c:idx val="2"/>
          <c:order val="2"/>
          <c:tx>
            <c:v>prírastok HDP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'HDP-graf'!$AA$3:$AK$3</c:f>
              <c:numCache/>
            </c:numRef>
          </c:val>
          <c:smooth val="0"/>
        </c:ser>
        <c:axId val="10148843"/>
        <c:axId val="24230724"/>
      </c:lineChart>
      <c:catAx>
        <c:axId val="101488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4230724"/>
        <c:crosses val="autoZero"/>
        <c:auto val="1"/>
        <c:lblOffset val="100"/>
        <c:noMultiLvlLbl val="0"/>
      </c:catAx>
      <c:valAx>
        <c:axId val="24230724"/>
        <c:scaling>
          <c:orientation val="minMax"/>
          <c:max val="18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percentuálne body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0148843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7"/>
          <c:y val="0.92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5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Miera úspor a investícií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podiel tvorby hrubého fixného kapitálu na HDP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 a I-tab'!$C$3:$N$3</c:f>
              <c:numCache>
                <c:ptCount val="12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</c:numCache>
            </c:numRef>
          </c:cat>
          <c:val>
            <c:numRef>
              <c:f>'S a I-tab'!$C$14:$N$14</c:f>
              <c:numCache>
                <c:ptCount val="12"/>
                <c:pt idx="0">
                  <c:v>31.59242191500256</c:v>
                </c:pt>
                <c:pt idx="1">
                  <c:v>28.271128271128276</c:v>
                </c:pt>
                <c:pt idx="2">
                  <c:v>26.410256410256412</c:v>
                </c:pt>
                <c:pt idx="3">
                  <c:v>34.235274707144036</c:v>
                </c:pt>
                <c:pt idx="4">
                  <c:v>35.927707331292815</c:v>
                </c:pt>
                <c:pt idx="5">
                  <c:v>37.99946723494939</c:v>
                </c:pt>
                <c:pt idx="6">
                  <c:v>30.786213663682084</c:v>
                </c:pt>
                <c:pt idx="7">
                  <c:v>29.970694319206487</c:v>
                </c:pt>
                <c:pt idx="8">
                  <c:v>31.21785640814647</c:v>
                </c:pt>
                <c:pt idx="9">
                  <c:v>32.0486012998022</c:v>
                </c:pt>
                <c:pt idx="10">
                  <c:v>33.12403234130398</c:v>
                </c:pt>
                <c:pt idx="11">
                  <c:v>34.60785081877302</c:v>
                </c:pt>
              </c:numCache>
            </c:numRef>
          </c:val>
        </c:ser>
        <c:ser>
          <c:idx val="1"/>
          <c:order val="1"/>
          <c:tx>
            <c:v>podiel hrubých národných úspor na HDP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 a I-tab'!$C$3:$N$3</c:f>
              <c:numCache>
                <c:ptCount val="12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</c:numCache>
            </c:numRef>
          </c:cat>
          <c:val>
            <c:numRef>
              <c:f>'S a I-tab'!$C$13:$N$13</c:f>
              <c:numCache>
                <c:ptCount val="12"/>
                <c:pt idx="0">
                  <c:v>22.332104454685098</c:v>
                </c:pt>
                <c:pt idx="1">
                  <c:v>27.56413556413556</c:v>
                </c:pt>
                <c:pt idx="2">
                  <c:v>30.124908424908426</c:v>
                </c:pt>
                <c:pt idx="3">
                  <c:v>27.230819996700212</c:v>
                </c:pt>
                <c:pt idx="4">
                  <c:v>27.660982364086866</c:v>
                </c:pt>
                <c:pt idx="5">
                  <c:v>26.831513052743745</c:v>
                </c:pt>
                <c:pt idx="6">
                  <c:v>26.88899791487796</c:v>
                </c:pt>
                <c:pt idx="7">
                  <c:v>26.3755522993688</c:v>
                </c:pt>
                <c:pt idx="8">
                  <c:v>27.196050195433035</c:v>
                </c:pt>
                <c:pt idx="9">
                  <c:v>26.796646887067908</c:v>
                </c:pt>
                <c:pt idx="10">
                  <c:v>27.52451402029933</c:v>
                </c:pt>
                <c:pt idx="11">
                  <c:v>28.410248374206688</c:v>
                </c:pt>
              </c:numCache>
            </c:numRef>
          </c:val>
        </c:ser>
        <c:axId val="36895203"/>
        <c:axId val="63621372"/>
      </c:barChart>
      <c:catAx>
        <c:axId val="368952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3621372"/>
        <c:crosses val="autoZero"/>
        <c:auto val="1"/>
        <c:lblOffset val="100"/>
        <c:noMultiLvlLbl val="0"/>
      </c:catAx>
      <c:valAx>
        <c:axId val="636213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68952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Podiely hrubých národných úspor a konečnej spotreby
(domácností a verejného sektora) na HDP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hrubé národné úspory / HDP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 a I-tab'!$C$3:$N$3</c:f>
              <c:numCache>
                <c:ptCount val="12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</c:numCache>
            </c:numRef>
          </c:cat>
          <c:val>
            <c:numRef>
              <c:f>'S a I-tab'!$C$13:$N$13</c:f>
              <c:numCache>
                <c:ptCount val="12"/>
                <c:pt idx="0">
                  <c:v>22.332104454685098</c:v>
                </c:pt>
                <c:pt idx="1">
                  <c:v>27.56413556413556</c:v>
                </c:pt>
                <c:pt idx="2">
                  <c:v>30.124908424908426</c:v>
                </c:pt>
                <c:pt idx="3">
                  <c:v>27.230819996700212</c:v>
                </c:pt>
                <c:pt idx="4">
                  <c:v>27.660982364086866</c:v>
                </c:pt>
                <c:pt idx="5">
                  <c:v>26.831513052743745</c:v>
                </c:pt>
                <c:pt idx="6">
                  <c:v>26.88899791487796</c:v>
                </c:pt>
                <c:pt idx="7">
                  <c:v>26.3755522993688</c:v>
                </c:pt>
                <c:pt idx="8">
                  <c:v>27.196050195433035</c:v>
                </c:pt>
                <c:pt idx="9">
                  <c:v>26.796646887067908</c:v>
                </c:pt>
                <c:pt idx="10">
                  <c:v>27.52451402029933</c:v>
                </c:pt>
                <c:pt idx="11">
                  <c:v>28.410248374206688</c:v>
                </c:pt>
              </c:numCache>
            </c:numRef>
          </c:val>
          <c:smooth val="0"/>
        </c:ser>
        <c:axId val="35721437"/>
        <c:axId val="53057478"/>
      </c:lineChart>
      <c:lineChart>
        <c:grouping val="standard"/>
        <c:varyColors val="0"/>
        <c:ser>
          <c:idx val="1"/>
          <c:order val="1"/>
          <c:tx>
            <c:v>spotreba / HDP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 a I-tab'!$C$3:$N$3</c:f>
              <c:numCache>
                <c:ptCount val="12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</c:numCache>
            </c:numRef>
          </c:cat>
          <c:val>
            <c:numRef>
              <c:f>'S a I-tab'!$C$15:$N$15</c:f>
              <c:numCache>
                <c:ptCount val="12"/>
                <c:pt idx="0">
                  <c:v>78.69943676395287</c:v>
                </c:pt>
                <c:pt idx="1">
                  <c:v>72.84427284427285</c:v>
                </c:pt>
                <c:pt idx="2">
                  <c:v>70.87912087912088</c:v>
                </c:pt>
                <c:pt idx="3">
                  <c:v>74.42666226695265</c:v>
                </c:pt>
                <c:pt idx="4">
                  <c:v>73.21090220084537</c:v>
                </c:pt>
                <c:pt idx="5">
                  <c:v>74.82685135855087</c:v>
                </c:pt>
                <c:pt idx="6">
                  <c:v>73.48215380841407</c:v>
                </c:pt>
                <c:pt idx="7">
                  <c:v>72.39630297565374</c:v>
                </c:pt>
                <c:pt idx="8">
                  <c:v>72.25879448673112</c:v>
                </c:pt>
                <c:pt idx="9">
                  <c:v>72.35565602335876</c:v>
                </c:pt>
                <c:pt idx="10">
                  <c:v>71.95940134182007</c:v>
                </c:pt>
                <c:pt idx="11">
                  <c:v>71.3546971715114</c:v>
                </c:pt>
              </c:numCache>
            </c:numRef>
          </c:val>
          <c:smooth val="0"/>
        </c:ser>
        <c:axId val="7755255"/>
        <c:axId val="2688432"/>
      </c:lineChart>
      <c:catAx>
        <c:axId val="35721437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3057478"/>
        <c:crosses val="autoZero"/>
        <c:auto val="1"/>
        <c:lblOffset val="100"/>
        <c:noMultiLvlLbl val="0"/>
      </c:catAx>
      <c:valAx>
        <c:axId val="53057478"/>
        <c:scaling>
          <c:orientation val="minMax"/>
          <c:max val="34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hrubé národné úspory / HDP v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5721437"/>
        <c:crossesAt val="1"/>
        <c:crossBetween val="between"/>
        <c:dispUnits/>
        <c:majorUnit val="1"/>
      </c:valAx>
      <c:catAx>
        <c:axId val="7755255"/>
        <c:scaling>
          <c:orientation val="minMax"/>
        </c:scaling>
        <c:axPos val="b"/>
        <c:delete val="1"/>
        <c:majorTickMark val="in"/>
        <c:minorTickMark val="none"/>
        <c:tickLblPos val="nextTo"/>
        <c:crossAx val="2688432"/>
        <c:crosses val="autoZero"/>
        <c:auto val="1"/>
        <c:lblOffset val="100"/>
        <c:noMultiLvlLbl val="0"/>
      </c:catAx>
      <c:valAx>
        <c:axId val="2688432"/>
        <c:scaling>
          <c:orientation val="minMax"/>
          <c:max val="82"/>
          <c:min val="6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konečná spotreba / HDP v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7755255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Spotrebiteľské ceny
</a:t>
            </a:r>
            <a:r>
              <a:rPr lang="en-US" cap="none" sz="800" b="0" i="0" u="none" baseline="0"/>
              <a:t>rozklad zvýšenia spotrebiteľských cien (oproti predchádzajúcemu roku)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v>príspevok regulovaných cien</c:v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'Ceny-tab'!$C$33:$E$33</c:f>
              <c:numCache>
                <c:ptCount val="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</c:numCache>
            </c:numRef>
          </c:cat>
          <c:val>
            <c:numRef>
              <c:f>'Ceny-tab'!$C$36:$E$36</c:f>
              <c:numCache>
                <c:ptCount val="3"/>
                <c:pt idx="0">
                  <c:v>1.3</c:v>
                </c:pt>
                <c:pt idx="1">
                  <c:v>4.88</c:v>
                </c:pt>
                <c:pt idx="2">
                  <c:v>6.62</c:v>
                </c:pt>
              </c:numCache>
            </c:numRef>
          </c:val>
        </c:ser>
        <c:ser>
          <c:idx val="0"/>
          <c:order val="1"/>
          <c:tx>
            <c:v>príspevok vplyvu zmeny nepriamych daní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'Ceny-tab'!$C$33:$E$33</c:f>
              <c:numCache>
                <c:ptCount val="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</c:numCache>
            </c:numRef>
          </c:cat>
          <c:val>
            <c:numRef>
              <c:f>'Ceny-tab'!$C$37:$E$37</c:f>
              <c:numCache>
                <c:ptCount val="3"/>
                <c:pt idx="0">
                  <c:v>0.36</c:v>
                </c:pt>
                <c:pt idx="1">
                  <c:v>0.7</c:v>
                </c:pt>
                <c:pt idx="2">
                  <c:v>1.03</c:v>
                </c:pt>
              </c:numCache>
            </c:numRef>
          </c:val>
        </c:ser>
        <c:ser>
          <c:idx val="2"/>
          <c:order val="2"/>
          <c:tx>
            <c:v>príspevok jadrovej inflácie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'Ceny-tab'!$C$33:$E$33</c:f>
              <c:numCache>
                <c:ptCount val="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</c:numCache>
            </c:numRef>
          </c:cat>
          <c:val>
            <c:numRef>
              <c:f>'Ceny-tab'!$C$38:$E$38</c:f>
              <c:numCache>
                <c:ptCount val="3"/>
                <c:pt idx="0">
                  <c:v>4.99</c:v>
                </c:pt>
                <c:pt idx="1">
                  <c:v>4.91</c:v>
                </c:pt>
                <c:pt idx="2">
                  <c:v>4.51</c:v>
                </c:pt>
              </c:numCache>
            </c:numRef>
          </c:val>
        </c:ser>
        <c:overlap val="100"/>
        <c:axId val="24195889"/>
        <c:axId val="16436410"/>
      </c:barChart>
      <c:lineChart>
        <c:grouping val="standard"/>
        <c:varyColors val="0"/>
        <c:ser>
          <c:idx val="3"/>
          <c:order val="3"/>
          <c:tx>
            <c:v>celková miera inflácie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1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1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'Ceny-tab'!$C$33:$E$33</c:f>
              <c:numCache>
                <c:ptCount val="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</c:numCache>
            </c:numRef>
          </c:cat>
          <c:val>
            <c:numRef>
              <c:f>'Ceny-tab'!$C$35:$E$35</c:f>
              <c:numCache>
                <c:ptCount val="3"/>
                <c:pt idx="0">
                  <c:v>6.7</c:v>
                </c:pt>
                <c:pt idx="1">
                  <c:v>10.6</c:v>
                </c:pt>
                <c:pt idx="2">
                  <c:v>12</c:v>
                </c:pt>
              </c:numCache>
            </c:numRef>
          </c:val>
          <c:smooth val="0"/>
        </c:ser>
        <c:axId val="24195889"/>
        <c:axId val="16436410"/>
      </c:lineChart>
      <c:catAx>
        <c:axId val="241958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436410"/>
        <c:crosses val="autoZero"/>
        <c:auto val="0"/>
        <c:lblOffset val="100"/>
        <c:noMultiLvlLbl val="0"/>
      </c:catAx>
      <c:valAx>
        <c:axId val="164364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percentuálne body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41958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Ceny</a:t>
            </a:r>
            <a:r>
              <a:rPr lang="en-US" cap="none" sz="2000" b="1" i="0" u="none" baseline="0">
                <a:latin typeface="Arial CE"/>
                <a:ea typeface="Arial CE"/>
                <a:cs typeface="Arial CE"/>
              </a:rPr>
              <a:t>
</a:t>
            </a: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medziročné prírastky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spotrebiteľské ceny (CPI)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'Ceny-tab'!$C$3:$N$3</c:f>
              <c:numCache>
                <c:ptCount val="12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</c:numCache>
            </c:numRef>
          </c:cat>
          <c:val>
            <c:numRef>
              <c:f>'Ceny-tab'!$C$7:$N$7</c:f>
              <c:numCache>
                <c:ptCount val="12"/>
                <c:pt idx="0">
                  <c:v>23.1</c:v>
                </c:pt>
                <c:pt idx="1">
                  <c:v>13.5</c:v>
                </c:pt>
                <c:pt idx="2">
                  <c:v>9.9</c:v>
                </c:pt>
                <c:pt idx="3">
                  <c:v>5.8</c:v>
                </c:pt>
                <c:pt idx="4">
                  <c:v>6.1</c:v>
                </c:pt>
                <c:pt idx="5">
                  <c:v>6.7</c:v>
                </c:pt>
                <c:pt idx="6">
                  <c:v>10.6</c:v>
                </c:pt>
                <c:pt idx="7">
                  <c:v>12</c:v>
                </c:pt>
                <c:pt idx="8">
                  <c:v>7.6</c:v>
                </c:pt>
                <c:pt idx="9">
                  <c:v>6.7</c:v>
                </c:pt>
                <c:pt idx="10">
                  <c:v>6.2</c:v>
                </c:pt>
                <c:pt idx="11">
                  <c:v>5.4</c:v>
                </c:pt>
              </c:numCache>
            </c:numRef>
          </c:val>
          <c:smooth val="0"/>
        </c:ser>
        <c:ser>
          <c:idx val="1"/>
          <c:order val="1"/>
          <c:tx>
            <c:v>ceny priemyselných výrobcov (PPI)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'Ceny-tab'!$C$3:$N$3</c:f>
              <c:numCache>
                <c:ptCount val="12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</c:numCache>
            </c:numRef>
          </c:cat>
          <c:val>
            <c:numRef>
              <c:f>'Ceny-graf'!$AC$3:$AN$3</c:f>
              <c:numCache/>
            </c:numRef>
          </c:val>
          <c:smooth val="0"/>
        </c:ser>
        <c:ser>
          <c:idx val="2"/>
          <c:order val="2"/>
          <c:tx>
            <c:v>deflátor HDP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'Ceny-tab'!$C$3:$N$3</c:f>
              <c:numCache>
                <c:ptCount val="12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</c:numCache>
            </c:numRef>
          </c:cat>
          <c:val>
            <c:numRef>
              <c:f>'Ceny-graf'!$AC$5:$AN$5</c:f>
              <c:numCache/>
            </c:numRef>
          </c:val>
          <c:smooth val="0"/>
        </c:ser>
        <c:axId val="13709963"/>
        <c:axId val="56280804"/>
      </c:lineChart>
      <c:catAx>
        <c:axId val="13709963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6280804"/>
        <c:crosses val="autoZero"/>
        <c:auto val="1"/>
        <c:lblOffset val="100"/>
        <c:noMultiLvlLbl val="0"/>
      </c:catAx>
      <c:valAx>
        <c:axId val="56280804"/>
        <c:scaling>
          <c:orientation val="minMax"/>
          <c:max val="2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3709963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 CE"/>
                <a:ea typeface="Arial CE"/>
                <a:cs typeface="Arial CE"/>
              </a:rPr>
              <a:t>Výmenné relácie (TT index)</a:t>
            </a:r>
            <a:r>
              <a:rPr lang="en-US" cap="none" sz="2225" b="1" i="0" u="none" baseline="0">
                <a:latin typeface="Arial CE"/>
                <a:ea typeface="Arial CE"/>
                <a:cs typeface="Arial CE"/>
              </a:rPr>
              <a:t>
</a:t>
            </a: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podiel deflátorov vývozu a dovozu výrobkov a služieb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deflátor vývozu výrobkov a služieb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'Ceny-tab'!$C$3:$N$3</c:f>
              <c:numCache>
                <c:ptCount val="12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</c:numCache>
            </c:numRef>
          </c:cat>
          <c:val>
            <c:numRef>
              <c:f>'Ceny-tab'!$C$23:$N$23</c:f>
              <c:numCache>
                <c:ptCount val="12"/>
                <c:pt idx="0">
                  <c:v>82.3</c:v>
                </c:pt>
                <c:pt idx="1">
                  <c:v>90.69</c:v>
                </c:pt>
                <c:pt idx="2">
                  <c:v>100</c:v>
                </c:pt>
                <c:pt idx="3">
                  <c:v>101.86</c:v>
                </c:pt>
                <c:pt idx="4">
                  <c:v>102.98</c:v>
                </c:pt>
                <c:pt idx="5">
                  <c:v>106.05</c:v>
                </c:pt>
                <c:pt idx="6">
                  <c:v>111.99</c:v>
                </c:pt>
                <c:pt idx="7">
                  <c:v>125.65</c:v>
                </c:pt>
                <c:pt idx="8">
                  <c:v>132.16</c:v>
                </c:pt>
                <c:pt idx="9">
                  <c:v>137.92</c:v>
                </c:pt>
                <c:pt idx="10">
                  <c:v>143.87</c:v>
                </c:pt>
                <c:pt idx="11">
                  <c:v>150.1</c:v>
                </c:pt>
              </c:numCache>
            </c:numRef>
          </c:val>
          <c:smooth val="0"/>
        </c:ser>
        <c:ser>
          <c:idx val="1"/>
          <c:order val="1"/>
          <c:tx>
            <c:v>deflátor dovozu výrobkov a služieb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'Ceny-tab'!$C$3:$N$3</c:f>
              <c:numCache>
                <c:ptCount val="12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</c:numCache>
            </c:numRef>
          </c:cat>
          <c:val>
            <c:numRef>
              <c:f>'Ceny-tab'!$C$25:$N$25</c:f>
              <c:numCache>
                <c:ptCount val="12"/>
                <c:pt idx="0">
                  <c:v>82.87</c:v>
                </c:pt>
                <c:pt idx="1">
                  <c:v>91.34</c:v>
                </c:pt>
                <c:pt idx="2">
                  <c:v>100</c:v>
                </c:pt>
                <c:pt idx="3">
                  <c:v>109.08</c:v>
                </c:pt>
                <c:pt idx="4">
                  <c:v>110.84</c:v>
                </c:pt>
                <c:pt idx="5">
                  <c:v>107.71</c:v>
                </c:pt>
                <c:pt idx="6">
                  <c:v>115.33</c:v>
                </c:pt>
                <c:pt idx="7">
                  <c:v>129.51</c:v>
                </c:pt>
                <c:pt idx="8">
                  <c:v>138.4</c:v>
                </c:pt>
                <c:pt idx="9">
                  <c:v>144.9</c:v>
                </c:pt>
                <c:pt idx="10">
                  <c:v>152.6</c:v>
                </c:pt>
                <c:pt idx="11">
                  <c:v>160.2</c:v>
                </c:pt>
              </c:numCache>
            </c:numRef>
          </c:val>
          <c:smooth val="0"/>
        </c:ser>
        <c:ser>
          <c:idx val="2"/>
          <c:order val="2"/>
          <c:tx>
            <c:v>TT index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'Ceny-tab'!$C$3:$N$3</c:f>
              <c:numCache>
                <c:ptCount val="12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</c:numCache>
            </c:numRef>
          </c:cat>
          <c:val>
            <c:numRef>
              <c:f>'Ceny-tab'!$C$27:$N$27</c:f>
              <c:numCache>
                <c:ptCount val="12"/>
                <c:pt idx="0">
                  <c:v>99.31217569687462</c:v>
                </c:pt>
                <c:pt idx="1">
                  <c:v>99.2883731114517</c:v>
                </c:pt>
                <c:pt idx="2">
                  <c:v>100</c:v>
                </c:pt>
                <c:pt idx="3">
                  <c:v>93.38100476714338</c:v>
                </c:pt>
                <c:pt idx="4">
                  <c:v>92.90869722121977</c:v>
                </c:pt>
                <c:pt idx="5">
                  <c:v>98.45882462166931</c:v>
                </c:pt>
                <c:pt idx="6">
                  <c:v>97.10396254227001</c:v>
                </c:pt>
                <c:pt idx="7">
                  <c:v>97.01953517102928</c:v>
                </c:pt>
                <c:pt idx="8">
                  <c:v>95.49132947976878</c:v>
                </c:pt>
                <c:pt idx="9">
                  <c:v>95.18288474810213</c:v>
                </c:pt>
                <c:pt idx="10">
                  <c:v>94.27916120576671</c:v>
                </c:pt>
                <c:pt idx="11">
                  <c:v>93.69538077403247</c:v>
                </c:pt>
              </c:numCache>
            </c:numRef>
          </c:val>
          <c:smooth val="0"/>
        </c:ser>
        <c:axId val="36765189"/>
        <c:axId val="62451246"/>
      </c:lineChart>
      <c:catAx>
        <c:axId val="36765189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2451246"/>
        <c:crosses val="autoZero"/>
        <c:auto val="1"/>
        <c:lblOffset val="100"/>
        <c:noMultiLvlLbl val="0"/>
      </c:catAx>
      <c:valAx>
        <c:axId val="62451246"/>
        <c:scaling>
          <c:orientation val="minMax"/>
          <c:max val="17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E"/>
                    <a:ea typeface="Arial CE"/>
                    <a:cs typeface="Arial CE"/>
                  </a:rPr>
                  <a:t>1995 = 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6765189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Pracovná sila</a:t>
            </a:r>
            <a:r>
              <a:rPr lang="en-US" cap="none" sz="2025" b="1" i="0" u="none" baseline="0">
                <a:latin typeface="Arial CE"/>
                <a:ea typeface="Arial CE"/>
                <a:cs typeface="Arial CE"/>
              </a:rPr>
              <a:t>
</a:t>
            </a: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podľa metodiky výberového zisťovania pracovných síl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pracovná sila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'Trh práce-tab'!$D$3:$N$3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'Trh práce-tab'!$D$10:$N$10</c:f>
              <c:numCache>
                <c:ptCount val="11"/>
                <c:pt idx="0">
                  <c:v>2443.7</c:v>
                </c:pt>
                <c:pt idx="1">
                  <c:v>2470.5</c:v>
                </c:pt>
                <c:pt idx="2">
                  <c:v>2509.1</c:v>
                </c:pt>
                <c:pt idx="3">
                  <c:v>2521.9</c:v>
                </c:pt>
                <c:pt idx="4">
                  <c:v>2544.8</c:v>
                </c:pt>
                <c:pt idx="5">
                  <c:v>2573</c:v>
                </c:pt>
                <c:pt idx="6">
                  <c:v>2610.3</c:v>
                </c:pt>
                <c:pt idx="7">
                  <c:v>2611.2</c:v>
                </c:pt>
                <c:pt idx="8">
                  <c:v>2618.5</c:v>
                </c:pt>
                <c:pt idx="9">
                  <c:v>2619</c:v>
                </c:pt>
                <c:pt idx="10">
                  <c:v>2625.9</c:v>
                </c:pt>
              </c:numCache>
            </c:numRef>
          </c:val>
          <c:smooth val="0"/>
        </c:ser>
        <c:ser>
          <c:idx val="1"/>
          <c:order val="1"/>
          <c:tx>
            <c:v>zamestnaní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'Trh práce-tab'!$D$3:$N$3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'Trh práce-tab'!$D$7:$N$7</c:f>
              <c:numCache>
                <c:ptCount val="11"/>
                <c:pt idx="0">
                  <c:v>2110.2</c:v>
                </c:pt>
                <c:pt idx="1">
                  <c:v>2146.8</c:v>
                </c:pt>
                <c:pt idx="2">
                  <c:v>2224.9</c:v>
                </c:pt>
                <c:pt idx="3">
                  <c:v>2205.9</c:v>
                </c:pt>
                <c:pt idx="4">
                  <c:v>2198.6</c:v>
                </c:pt>
                <c:pt idx="5">
                  <c:v>2132.1</c:v>
                </c:pt>
                <c:pt idx="6">
                  <c:v>2101.7</c:v>
                </c:pt>
                <c:pt idx="7">
                  <c:v>2092.3</c:v>
                </c:pt>
                <c:pt idx="8">
                  <c:v>2103.8</c:v>
                </c:pt>
                <c:pt idx="9">
                  <c:v>2119.2</c:v>
                </c:pt>
                <c:pt idx="10">
                  <c:v>2141.2</c:v>
                </c:pt>
              </c:numCache>
            </c:numRef>
          </c:val>
          <c:smooth val="0"/>
        </c:ser>
        <c:axId val="25190303"/>
        <c:axId val="25386136"/>
      </c:lineChart>
      <c:lineChart>
        <c:grouping val="standard"/>
        <c:varyColors val="0"/>
        <c:ser>
          <c:idx val="2"/>
          <c:order val="2"/>
          <c:tx>
            <c:v>nezamestnaní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'Trh práce-tab'!$D$3:$N$3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'Trh práce-tab'!$D$9:$N$9</c:f>
              <c:numCache>
                <c:ptCount val="11"/>
                <c:pt idx="0">
                  <c:v>333.5</c:v>
                </c:pt>
                <c:pt idx="1">
                  <c:v>323.7</c:v>
                </c:pt>
                <c:pt idx="2">
                  <c:v>284.2</c:v>
                </c:pt>
                <c:pt idx="3">
                  <c:v>297.5</c:v>
                </c:pt>
                <c:pt idx="4">
                  <c:v>317.1</c:v>
                </c:pt>
                <c:pt idx="5">
                  <c:v>416.8</c:v>
                </c:pt>
                <c:pt idx="6">
                  <c:v>485.2</c:v>
                </c:pt>
                <c:pt idx="7">
                  <c:v>494.8</c:v>
                </c:pt>
                <c:pt idx="8">
                  <c:v>490.6</c:v>
                </c:pt>
                <c:pt idx="9">
                  <c:v>475.6</c:v>
                </c:pt>
                <c:pt idx="10">
                  <c:v>460.6</c:v>
                </c:pt>
              </c:numCache>
            </c:numRef>
          </c:val>
          <c:smooth val="0"/>
        </c:ser>
        <c:axId val="27148633"/>
        <c:axId val="43011106"/>
      </c:lineChart>
      <c:catAx>
        <c:axId val="25190303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5386136"/>
        <c:crosses val="autoZero"/>
        <c:auto val="1"/>
        <c:lblOffset val="100"/>
        <c:noMultiLvlLbl val="0"/>
      </c:catAx>
      <c:valAx>
        <c:axId val="25386136"/>
        <c:scaling>
          <c:orientation val="minMax"/>
          <c:max val="27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prac. sila, zam., tis. osôb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5190303"/>
        <c:crossesAt val="1"/>
        <c:crossBetween val="between"/>
        <c:dispUnits/>
        <c:majorUnit val="100"/>
      </c:valAx>
      <c:catAx>
        <c:axId val="27148633"/>
        <c:scaling>
          <c:orientation val="minMax"/>
        </c:scaling>
        <c:axPos val="b"/>
        <c:delete val="1"/>
        <c:majorTickMark val="in"/>
        <c:minorTickMark val="none"/>
        <c:tickLblPos val="nextTo"/>
        <c:crossAx val="43011106"/>
        <c:crosses val="autoZero"/>
        <c:auto val="1"/>
        <c:lblOffset val="100"/>
        <c:noMultiLvlLbl val="0"/>
      </c:catAx>
      <c:valAx>
        <c:axId val="43011106"/>
        <c:scaling>
          <c:orientation val="minMax"/>
          <c:max val="9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nezam., tis. osôb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714863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Miera nezamestnanosti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výberové zisťovanie pracovných síl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3175">
                <a:noFill/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7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'Trh práce-tab'!$C$3:$N$3</c:f>
              <c:numCache>
                <c:ptCount val="12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</c:numCache>
            </c:numRef>
          </c:cat>
          <c:val>
            <c:numRef>
              <c:f>'Trh práce-tab'!$C$6:$N$6</c:f>
              <c:numCache>
                <c:ptCount val="12"/>
                <c:pt idx="0">
                  <c:v>0</c:v>
                </c:pt>
                <c:pt idx="1">
                  <c:v>13.7</c:v>
                </c:pt>
                <c:pt idx="2">
                  <c:v>13.1</c:v>
                </c:pt>
                <c:pt idx="3">
                  <c:v>11.3</c:v>
                </c:pt>
                <c:pt idx="4">
                  <c:v>11.8</c:v>
                </c:pt>
                <c:pt idx="5">
                  <c:v>12.5</c:v>
                </c:pt>
                <c:pt idx="6">
                  <c:v>16.2</c:v>
                </c:pt>
                <c:pt idx="7">
                  <c:v>18.6</c:v>
                </c:pt>
                <c:pt idx="8">
                  <c:v>18.9</c:v>
                </c:pt>
                <c:pt idx="9">
                  <c:v>18.7</c:v>
                </c:pt>
                <c:pt idx="10">
                  <c:v>18.2</c:v>
                </c:pt>
                <c:pt idx="11">
                  <c:v>17.5</c:v>
                </c:pt>
              </c:numCache>
            </c:numRef>
          </c:val>
          <c:smooth val="0"/>
        </c:ser>
        <c:ser>
          <c:idx val="1"/>
          <c:order val="1"/>
          <c:tx>
            <c:v>evidovaná - štatistické zisťovanie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7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'Trh práce-tab'!$C$3:$N$3</c:f>
              <c:numCache>
                <c:ptCount val="12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</c:numCache>
            </c:numRef>
          </c:cat>
          <c:val>
            <c:numRef>
              <c:f>'Trh práce-tab'!$C$13:$N$13</c:f>
              <c:numCache>
                <c:ptCount val="12"/>
                <c:pt idx="0">
                  <c:v>12.7</c:v>
                </c:pt>
                <c:pt idx="1">
                  <c:v>14.4</c:v>
                </c:pt>
                <c:pt idx="2">
                  <c:v>13.8</c:v>
                </c:pt>
                <c:pt idx="3">
                  <c:v>12.6</c:v>
                </c:pt>
                <c:pt idx="4">
                  <c:v>12.9</c:v>
                </c:pt>
                <c:pt idx="5">
                  <c:v>14.6</c:v>
                </c:pt>
                <c:pt idx="6">
                  <c:v>18.2</c:v>
                </c:pt>
                <c:pt idx="7">
                  <c:v>19.3</c:v>
                </c:pt>
                <c:pt idx="8">
                  <c:v>19.8</c:v>
                </c:pt>
                <c:pt idx="9">
                  <c:v>19.5</c:v>
                </c:pt>
                <c:pt idx="10">
                  <c:v>18.9</c:v>
                </c:pt>
                <c:pt idx="11">
                  <c:v>18.3</c:v>
                </c:pt>
              </c:numCache>
            </c:numRef>
          </c:val>
          <c:smooth val="0"/>
        </c:ser>
        <c:marker val="1"/>
        <c:axId val="51555635"/>
        <c:axId val="61347532"/>
      </c:lineChart>
      <c:catAx>
        <c:axId val="515556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1347532"/>
        <c:crosses val="autoZero"/>
        <c:auto val="1"/>
        <c:lblOffset val="100"/>
        <c:noMultiLvlLbl val="0"/>
      </c:catAx>
      <c:valAx>
        <c:axId val="61347532"/>
        <c:scaling>
          <c:orientation val="minMax"/>
          <c:max val="23"/>
          <c:min val="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15556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 CE"/>
                <a:ea typeface="Arial CE"/>
                <a:cs typeface="Arial CE"/>
              </a:rPr>
              <a:t>Vývoj produktivity práce a miezd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priemerná reálna mzda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'Trh práce-tab'!$C$3:$N$3</c:f>
              <c:numCache>
                <c:ptCount val="12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</c:numCache>
            </c:numRef>
          </c:cat>
          <c:val>
            <c:numRef>
              <c:f>'Trh práce-tab'!$C$23:$N$23</c:f>
              <c:numCache>
                <c:ptCount val="12"/>
                <c:pt idx="0">
                  <c:v>96.18196588139725</c:v>
                </c:pt>
                <c:pt idx="1">
                  <c:v>103.08370044052863</c:v>
                </c:pt>
                <c:pt idx="2">
                  <c:v>104.00363967242947</c:v>
                </c:pt>
                <c:pt idx="3">
                  <c:v>107.08884688090737</c:v>
                </c:pt>
                <c:pt idx="4">
                  <c:v>106.59754948162113</c:v>
                </c:pt>
                <c:pt idx="5">
                  <c:v>102.71790065604497</c:v>
                </c:pt>
                <c:pt idx="6">
                  <c:v>96.92585895117541</c:v>
                </c:pt>
                <c:pt idx="7">
                  <c:v>95.08928571428571</c:v>
                </c:pt>
                <c:pt idx="8">
                  <c:v>100.8364312267658</c:v>
                </c:pt>
                <c:pt idx="9">
                  <c:v>102.34301780693534</c:v>
                </c:pt>
                <c:pt idx="10">
                  <c:v>102.82485875706216</c:v>
                </c:pt>
                <c:pt idx="11">
                  <c:v>103.60531309297913</c:v>
                </c:pt>
              </c:numCache>
            </c:numRef>
          </c:val>
          <c:smooth val="0"/>
        </c:ser>
        <c:ser>
          <c:idx val="1"/>
          <c:order val="1"/>
          <c:tx>
            <c:v>reálna produktivita práce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cat>
            <c:numRef>
              <c:f>'Trh práce-tab'!$C$3:$N$3</c:f>
              <c:numCache>
                <c:ptCount val="12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</c:numCache>
            </c:numRef>
          </c:cat>
          <c:val>
            <c:numRef>
              <c:f>'Trh práce-tab'!$C$26:$N$26</c:f>
              <c:numCache>
                <c:ptCount val="12"/>
                <c:pt idx="0">
                  <c:v>0</c:v>
                </c:pt>
                <c:pt idx="1">
                  <c:v>106.80088824113756</c:v>
                </c:pt>
                <c:pt idx="2">
                  <c:v>104.45721446808729</c:v>
                </c:pt>
                <c:pt idx="3">
                  <c:v>105.34301536216681</c:v>
                </c:pt>
                <c:pt idx="4">
                  <c:v>105.97378792518653</c:v>
                </c:pt>
                <c:pt idx="5">
                  <c:v>104.54234140198861</c:v>
                </c:pt>
                <c:pt idx="6">
                  <c:v>104.1530249184586</c:v>
                </c:pt>
                <c:pt idx="7">
                  <c:v>102.7831961015632</c:v>
                </c:pt>
                <c:pt idx="8">
                  <c:v>103.19575818055962</c:v>
                </c:pt>
                <c:pt idx="9">
                  <c:v>102.93046187986859</c:v>
                </c:pt>
                <c:pt idx="10">
                  <c:v>103.14236184523034</c:v>
                </c:pt>
                <c:pt idx="11">
                  <c:v>103.57980979225077</c:v>
                </c:pt>
              </c:numCache>
            </c:numRef>
          </c:val>
          <c:smooth val="0"/>
        </c:ser>
        <c:marker val="1"/>
        <c:axId val="15256877"/>
        <c:axId val="3094166"/>
      </c:lineChart>
      <c:catAx>
        <c:axId val="152568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094166"/>
        <c:crosses val="autoZero"/>
        <c:auto val="1"/>
        <c:lblOffset val="100"/>
        <c:noMultiLvlLbl val="0"/>
      </c:catAx>
      <c:valAx>
        <c:axId val="3094166"/>
        <c:scaling>
          <c:orientation val="minMax"/>
          <c:min val="9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E"/>
                    <a:ea typeface="Arial CE"/>
                    <a:cs typeface="Arial CE"/>
                  </a:rPr>
                  <a:t>predchádzajúci rok = 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52568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Platobná bilancia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bežný účet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'PB-tab'!$C$3:$N$3</c:f>
              <c:numCache>
                <c:ptCount val="12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</c:numCache>
            </c:numRef>
          </c:cat>
          <c:val>
            <c:numRef>
              <c:f>'PB-tab'!$C$20:$N$20</c:f>
              <c:numCache>
                <c:ptCount val="12"/>
                <c:pt idx="0">
                  <c:v>-0.5317</c:v>
                </c:pt>
                <c:pt idx="1">
                  <c:v>0.7586</c:v>
                </c:pt>
                <c:pt idx="2">
                  <c:v>0.5106</c:v>
                </c:pt>
                <c:pt idx="3">
                  <c:v>-1.9595</c:v>
                </c:pt>
                <c:pt idx="4">
                  <c:v>-1.827</c:v>
                </c:pt>
                <c:pt idx="5">
                  <c:v>-1.982</c:v>
                </c:pt>
                <c:pt idx="6">
                  <c:v>-0.9796</c:v>
                </c:pt>
                <c:pt idx="7">
                  <c:v>-0.7142</c:v>
                </c:pt>
                <c:pt idx="8">
                  <c:v>-1.1561181434599155</c:v>
                </c:pt>
                <c:pt idx="9">
                  <c:v>-1.2349272349272344</c:v>
                </c:pt>
                <c:pt idx="10">
                  <c:v>-1.3223819301848068</c:v>
                </c:pt>
                <c:pt idx="11">
                  <c:v>-1.3853955375253542</c:v>
                </c:pt>
              </c:numCache>
            </c:numRef>
          </c:val>
        </c:ser>
        <c:ser>
          <c:idx val="1"/>
          <c:order val="1"/>
          <c:tx>
            <c:v>kapitálový a finančný účet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'PB-tab'!$C$3:$N$3</c:f>
              <c:numCache>
                <c:ptCount val="12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</c:numCache>
            </c:numRef>
          </c:cat>
          <c:val>
            <c:numRef>
              <c:f>'PB-tab'!$C$22:$N$22</c:f>
              <c:numCache>
                <c:ptCount val="12"/>
                <c:pt idx="0">
                  <c:v>0.58</c:v>
                </c:pt>
                <c:pt idx="1">
                  <c:v>0.215</c:v>
                </c:pt>
                <c:pt idx="2">
                  <c:v>1.1658</c:v>
                </c:pt>
                <c:pt idx="3">
                  <c:v>2.2158</c:v>
                </c:pt>
                <c:pt idx="4">
                  <c:v>1.86203</c:v>
                </c:pt>
                <c:pt idx="5">
                  <c:v>2.05298</c:v>
                </c:pt>
                <c:pt idx="6">
                  <c:v>1.9241</c:v>
                </c:pt>
                <c:pt idx="7">
                  <c:v>1.4871</c:v>
                </c:pt>
                <c:pt idx="8">
                  <c:v>1.4767932489451476</c:v>
                </c:pt>
                <c:pt idx="9">
                  <c:v>1.4553014553014552</c:v>
                </c:pt>
                <c:pt idx="10">
                  <c:v>1.4373716632443532</c:v>
                </c:pt>
                <c:pt idx="11">
                  <c:v>1.4198782961460448</c:v>
                </c:pt>
              </c:numCache>
            </c:numRef>
          </c:val>
        </c:ser>
        <c:axId val="27847495"/>
        <c:axId val="49300864"/>
      </c:barChart>
      <c:lineChart>
        <c:grouping val="standard"/>
        <c:varyColors val="0"/>
        <c:ser>
          <c:idx val="3"/>
          <c:order val="2"/>
          <c:tx>
            <c:v>zmena devízových rezerv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'PB-tab'!$C$37:$J$37</c:f>
              <c:numCache>
                <c:ptCount val="8"/>
                <c:pt idx="0">
                  <c:v>0.0549</c:v>
                </c:pt>
                <c:pt idx="1">
                  <c:v>1.2899</c:v>
                </c:pt>
                <c:pt idx="2">
                  <c:v>1.579</c:v>
                </c:pt>
                <c:pt idx="3">
                  <c:v>0.2371</c:v>
                </c:pt>
                <c:pt idx="4">
                  <c:v>0.0461</c:v>
                </c:pt>
                <c:pt idx="5">
                  <c:v>-0.5499</c:v>
                </c:pt>
                <c:pt idx="6">
                  <c:v>0.7205</c:v>
                </c:pt>
                <c:pt idx="7">
                  <c:v>0.8237</c:v>
                </c:pt>
              </c:numCache>
            </c:numRef>
          </c:val>
          <c:smooth val="0"/>
        </c:ser>
        <c:axId val="27847495"/>
        <c:axId val="49300864"/>
      </c:lineChart>
      <c:catAx>
        <c:axId val="27847495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9300864"/>
        <c:crosses val="autoZero"/>
        <c:auto val="1"/>
        <c:lblOffset val="100"/>
        <c:noMultiLvlLbl val="0"/>
      </c:catAx>
      <c:valAx>
        <c:axId val="49300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mld USD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78474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Bežný účet platobnej bilancie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obchodná bilancia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'PB-tab'!$C$3:$N$3</c:f>
              <c:numCache>
                <c:ptCount val="12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</c:numCache>
            </c:numRef>
          </c:cat>
          <c:val>
            <c:numRef>
              <c:f>'PB-tab'!$C$5:$N$5</c:f>
              <c:numCache>
                <c:ptCount val="12"/>
                <c:pt idx="0">
                  <c:v>-27.27600000000001</c:v>
                </c:pt>
                <c:pt idx="1">
                  <c:v>2.5749999999999886</c:v>
                </c:pt>
                <c:pt idx="2">
                  <c:v>-5.704000000000008</c:v>
                </c:pt>
                <c:pt idx="3">
                  <c:v>-70.26000000000005</c:v>
                </c:pt>
                <c:pt idx="4">
                  <c:v>-69.95600000000002</c:v>
                </c:pt>
                <c:pt idx="5">
                  <c:v>-82.929</c:v>
                </c:pt>
                <c:pt idx="6">
                  <c:v>-45.244</c:v>
                </c:pt>
                <c:pt idx="7">
                  <c:v>-42.356</c:v>
                </c:pt>
                <c:pt idx="8">
                  <c:v>-69</c:v>
                </c:pt>
                <c:pt idx="9">
                  <c:v>-72</c:v>
                </c:pt>
                <c:pt idx="10">
                  <c:v>-82</c:v>
                </c:pt>
                <c:pt idx="11">
                  <c:v>-91.29999999999995</c:v>
                </c:pt>
              </c:numCache>
            </c:numRef>
          </c:val>
        </c:ser>
        <c:ser>
          <c:idx val="1"/>
          <c:order val="1"/>
          <c:tx>
            <c:v>bilancia služieb</c:v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'PB-tab'!$C$3:$N$3</c:f>
              <c:numCache>
                <c:ptCount val="12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</c:numCache>
            </c:numRef>
          </c:cat>
          <c:val>
            <c:numRef>
              <c:f>'PB-tab'!$C$10:$N$10</c:f>
              <c:numCache>
                <c:ptCount val="12"/>
                <c:pt idx="0">
                  <c:v>10.4182</c:v>
                </c:pt>
                <c:pt idx="1">
                  <c:v>24.038</c:v>
                </c:pt>
                <c:pt idx="2">
                  <c:v>19.614</c:v>
                </c:pt>
                <c:pt idx="3">
                  <c:v>5.358</c:v>
                </c:pt>
                <c:pt idx="4">
                  <c:v>6.748</c:v>
                </c:pt>
                <c:pt idx="5">
                  <c:v>5.686</c:v>
                </c:pt>
                <c:pt idx="6">
                  <c:v>9.041</c:v>
                </c:pt>
                <c:pt idx="7">
                  <c:v>20.2436</c:v>
                </c:pt>
                <c:pt idx="8">
                  <c:v>19.5</c:v>
                </c:pt>
                <c:pt idx="9">
                  <c:v>21.600000000000023</c:v>
                </c:pt>
                <c:pt idx="10">
                  <c:v>23.59999999999991</c:v>
                </c:pt>
                <c:pt idx="11">
                  <c:v>26</c:v>
                </c:pt>
              </c:numCache>
            </c:numRef>
          </c:val>
        </c:ser>
        <c:ser>
          <c:idx val="2"/>
          <c:order val="2"/>
          <c:tx>
            <c:v>bilancia výnosov a bežných transferov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'PB-tab'!$C$3:$N$3</c:f>
              <c:numCache>
                <c:ptCount val="12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</c:numCache>
            </c:numRef>
          </c:cat>
          <c:val>
            <c:numRef>
              <c:f>'PB-graf'!$AA$2:$AL$2</c:f>
              <c:numCache/>
            </c:numRef>
          </c:val>
        </c:ser>
        <c:axId val="41054593"/>
        <c:axId val="33947018"/>
      </c:barChart>
      <c:lineChart>
        <c:grouping val="standard"/>
        <c:varyColors val="0"/>
        <c:ser>
          <c:idx val="3"/>
          <c:order val="3"/>
          <c:tx>
            <c:v>bežný účet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'PB-tab'!$C$3:$N$3</c:f>
              <c:numCache>
                <c:ptCount val="12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</c:numCache>
            </c:numRef>
          </c:cat>
          <c:val>
            <c:numRef>
              <c:f>'PB-tab'!$C$19:$N$19</c:f>
              <c:numCache>
                <c:ptCount val="12"/>
                <c:pt idx="0">
                  <c:v>-16.3708</c:v>
                </c:pt>
                <c:pt idx="1">
                  <c:v>24.304</c:v>
                </c:pt>
                <c:pt idx="2">
                  <c:v>15.182</c:v>
                </c:pt>
                <c:pt idx="3">
                  <c:v>-60.054</c:v>
                </c:pt>
                <c:pt idx="4">
                  <c:v>-61.418</c:v>
                </c:pt>
                <c:pt idx="5">
                  <c:v>-69.849</c:v>
                </c:pt>
                <c:pt idx="6">
                  <c:v>-40.574</c:v>
                </c:pt>
                <c:pt idx="7">
                  <c:v>-32.9961</c:v>
                </c:pt>
                <c:pt idx="8">
                  <c:v>-54.8</c:v>
                </c:pt>
                <c:pt idx="9">
                  <c:v>-59.39999999999998</c:v>
                </c:pt>
                <c:pt idx="10">
                  <c:v>-64.40000000000009</c:v>
                </c:pt>
                <c:pt idx="11">
                  <c:v>-68.29999999999995</c:v>
                </c:pt>
              </c:numCache>
            </c:numRef>
          </c:val>
          <c:smooth val="0"/>
        </c:ser>
        <c:axId val="41054593"/>
        <c:axId val="33947018"/>
      </c:lineChart>
      <c:catAx>
        <c:axId val="41054593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3947018"/>
        <c:crosses val="autoZero"/>
        <c:auto val="1"/>
        <c:lblOffset val="100"/>
        <c:noMultiLvlLbl val="0"/>
      </c:catAx>
      <c:valAx>
        <c:axId val="339470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mld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10545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 CE"/>
                <a:ea typeface="Arial CE"/>
                <a:cs typeface="Arial CE"/>
              </a:rPr>
              <a:t>Hrubý domáci produkt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335"/>
          <c:w val="0.9755"/>
          <c:h val="0.7855"/>
        </c:manualLayout>
      </c:layout>
      <c:barChart>
        <c:barDir val="col"/>
        <c:grouping val="clustered"/>
        <c:varyColors val="0"/>
        <c:ser>
          <c:idx val="0"/>
          <c:order val="0"/>
          <c:tx>
            <c:v>mld Sk b.c.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7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'HDP-tab'!$D$3:$N$3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'HDP-tab'!$D$38:$N$38</c:f>
              <c:numCache>
                <c:ptCount val="11"/>
                <c:pt idx="0">
                  <c:v>466.2</c:v>
                </c:pt>
                <c:pt idx="1">
                  <c:v>546</c:v>
                </c:pt>
                <c:pt idx="2">
                  <c:v>606.1</c:v>
                </c:pt>
                <c:pt idx="3">
                  <c:v>686.1</c:v>
                </c:pt>
                <c:pt idx="4">
                  <c:v>750.8</c:v>
                </c:pt>
                <c:pt idx="5">
                  <c:v>815.3</c:v>
                </c:pt>
                <c:pt idx="6">
                  <c:v>887.2</c:v>
                </c:pt>
                <c:pt idx="7">
                  <c:v>972.2</c:v>
                </c:pt>
                <c:pt idx="8">
                  <c:v>1061.7</c:v>
                </c:pt>
                <c:pt idx="9">
                  <c:v>1162.6</c:v>
                </c:pt>
                <c:pt idx="10">
                  <c:v>1276.3</c:v>
                </c:pt>
              </c:numCache>
            </c:numRef>
          </c:val>
        </c:ser>
        <c:ser>
          <c:idx val="1"/>
          <c:order val="1"/>
          <c:tx>
            <c:v>mld Sk s.c.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7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'HDP-tab'!$D$3:$N$3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'HDP-tab'!$D$5:$N$5</c:f>
              <c:numCache>
                <c:ptCount val="11"/>
                <c:pt idx="0">
                  <c:v>511.6</c:v>
                </c:pt>
                <c:pt idx="1">
                  <c:v>546</c:v>
                </c:pt>
                <c:pt idx="2">
                  <c:v>579.9</c:v>
                </c:pt>
                <c:pt idx="3">
                  <c:v>615.9</c:v>
                </c:pt>
                <c:pt idx="4">
                  <c:v>641.1</c:v>
                </c:pt>
                <c:pt idx="5">
                  <c:v>653.3</c:v>
                </c:pt>
                <c:pt idx="6">
                  <c:v>667.7</c:v>
                </c:pt>
                <c:pt idx="7">
                  <c:v>687.4</c:v>
                </c:pt>
                <c:pt idx="8">
                  <c:v>712.1</c:v>
                </c:pt>
                <c:pt idx="9">
                  <c:v>741.1</c:v>
                </c:pt>
                <c:pt idx="10">
                  <c:v>776.1</c:v>
                </c:pt>
              </c:numCache>
            </c:numRef>
          </c:val>
        </c:ser>
        <c:axId val="16749925"/>
        <c:axId val="16531598"/>
      </c:barChart>
      <c:lineChart>
        <c:grouping val="standard"/>
        <c:varyColors val="0"/>
        <c:ser>
          <c:idx val="2"/>
          <c:order val="2"/>
          <c:tx>
            <c:v>deflátor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7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'HDP-tab'!$D$3:$N$3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'HDP-graf'!$AA$4:$AK$4</c:f>
              <c:numCache/>
            </c:numRef>
          </c:val>
          <c:smooth val="0"/>
        </c:ser>
        <c:axId val="14566655"/>
        <c:axId val="63991032"/>
      </c:lineChart>
      <c:catAx>
        <c:axId val="167499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6531598"/>
        <c:crosses val="autoZero"/>
        <c:auto val="1"/>
        <c:lblOffset val="100"/>
        <c:noMultiLvlLbl val="0"/>
      </c:catAx>
      <c:valAx>
        <c:axId val="16531598"/>
        <c:scaling>
          <c:orientation val="minMax"/>
          <c:max val="250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6749925"/>
        <c:crossesAt val="1"/>
        <c:crossBetween val="between"/>
        <c:dispUnits/>
        <c:majorUnit val="500"/>
      </c:valAx>
      <c:catAx>
        <c:axId val="14566655"/>
        <c:scaling>
          <c:orientation val="minMax"/>
        </c:scaling>
        <c:axPos val="b"/>
        <c:delete val="1"/>
        <c:majorTickMark val="out"/>
        <c:minorTickMark val="none"/>
        <c:tickLblPos val="nextTo"/>
        <c:crossAx val="63991032"/>
        <c:crosses val="autoZero"/>
        <c:auto val="1"/>
        <c:lblOffset val="100"/>
        <c:noMultiLvlLbl val="0"/>
      </c:catAx>
      <c:valAx>
        <c:axId val="63991032"/>
        <c:scaling>
          <c:orientation val="minMax"/>
          <c:max val="115"/>
          <c:min val="8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4566655"/>
        <c:crosses val="max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275"/>
          <c:y val="0.943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Vývoz a dovoz tovarov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dovoz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'PB-tab'!$D$3:$N$3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'PB-tab'!$D$9:$N$9</c:f>
              <c:numCache>
                <c:ptCount val="11"/>
                <c:pt idx="0">
                  <c:v>108.61538461538463</c:v>
                </c:pt>
                <c:pt idx="1">
                  <c:v>123.1350330500472</c:v>
                </c:pt>
                <c:pt idx="2">
                  <c:v>130.71434049079755</c:v>
                </c:pt>
                <c:pt idx="3">
                  <c:v>115.56747813894275</c:v>
                </c:pt>
                <c:pt idx="4">
                  <c:v>116.94608513781401</c:v>
                </c:pt>
                <c:pt idx="5">
                  <c:v>101.77021114043616</c:v>
                </c:pt>
                <c:pt idx="6">
                  <c:v>125.98380863823651</c:v>
                </c:pt>
                <c:pt idx="7">
                  <c:v>119.03955796914995</c:v>
                </c:pt>
                <c:pt idx="8">
                  <c:v>110.49488054607508</c:v>
                </c:pt>
                <c:pt idx="9">
                  <c:v>111.00386100386099</c:v>
                </c:pt>
                <c:pt idx="10">
                  <c:v>108.49855072463768</c:v>
                </c:pt>
              </c:numCache>
            </c:numRef>
          </c:val>
          <c:smooth val="0"/>
        </c:ser>
        <c:ser>
          <c:idx val="1"/>
          <c:order val="1"/>
          <c:tx>
            <c:v>vývoz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'PB-tab'!$D$3:$N$3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'PB-tab'!$D$7:$N$7</c:f>
              <c:numCache>
                <c:ptCount val="11"/>
                <c:pt idx="0">
                  <c:v>127.81414705110778</c:v>
                </c:pt>
                <c:pt idx="1">
                  <c:v>118.99521865889213</c:v>
                </c:pt>
                <c:pt idx="2">
                  <c:v>106.09456831937779</c:v>
                </c:pt>
                <c:pt idx="3">
                  <c:v>119.72118251719056</c:v>
                </c:pt>
                <c:pt idx="4">
                  <c:v>116.60098081273513</c:v>
                </c:pt>
                <c:pt idx="5">
                  <c:v>112.13344379537699</c:v>
                </c:pt>
                <c:pt idx="6">
                  <c:v>129.44047888813353</c:v>
                </c:pt>
                <c:pt idx="7">
                  <c:v>115.6514191096555</c:v>
                </c:pt>
                <c:pt idx="8">
                  <c:v>111.16367076631977</c:v>
                </c:pt>
                <c:pt idx="9">
                  <c:v>110.70921985815603</c:v>
                </c:pt>
                <c:pt idx="10">
                  <c:v>108.19987187700193</c:v>
                </c:pt>
              </c:numCache>
            </c:numRef>
          </c:val>
          <c:smooth val="0"/>
        </c:ser>
        <c:axId val="37087707"/>
        <c:axId val="65353908"/>
      </c:lineChart>
      <c:lineChart>
        <c:grouping val="standard"/>
        <c:varyColors val="0"/>
        <c:ser>
          <c:idx val="2"/>
          <c:order val="2"/>
          <c:tx>
            <c:v>kurz Sk / USD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'PB-tab'!$D$3:$N$3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'PB-graf'!$AB$4:$AL$4</c:f>
              <c:numCache/>
            </c:numRef>
          </c:val>
          <c:smooth val="0"/>
        </c:ser>
        <c:axId val="51314261"/>
        <c:axId val="59175166"/>
      </c:lineChart>
      <c:catAx>
        <c:axId val="37087707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5353908"/>
        <c:crossesAt val="100"/>
        <c:auto val="1"/>
        <c:lblOffset val="100"/>
        <c:noMultiLvlLbl val="0"/>
      </c:catAx>
      <c:valAx>
        <c:axId val="65353908"/>
        <c:scaling>
          <c:orientation val="minMax"/>
          <c:max val="135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E"/>
                    <a:ea typeface="Arial CE"/>
                    <a:cs typeface="Arial CE"/>
                  </a:rPr>
                  <a:t>dovoz, vývoz, predchádzajúci rok = 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7087707"/>
        <c:crossesAt val="1"/>
        <c:crossBetween val="between"/>
        <c:dispUnits/>
        <c:majorUnit val="5"/>
      </c:valAx>
      <c:catAx>
        <c:axId val="51314261"/>
        <c:scaling>
          <c:orientation val="minMax"/>
        </c:scaling>
        <c:axPos val="t"/>
        <c:delete val="1"/>
        <c:majorTickMark val="in"/>
        <c:minorTickMark val="none"/>
        <c:tickLblPos val="nextTo"/>
        <c:crossAx val="59175166"/>
        <c:crosses val="autoZero"/>
        <c:auto val="1"/>
        <c:lblOffset val="100"/>
        <c:noMultiLvlLbl val="0"/>
      </c:catAx>
      <c:valAx>
        <c:axId val="59175166"/>
        <c:scaling>
          <c:orientation val="maxMin"/>
          <c:max val="12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E"/>
                    <a:ea typeface="Arial CE"/>
                    <a:cs typeface="Arial CE"/>
                  </a:rPr>
                  <a:t>kurz Sk / USD, predchádzajúci rok = 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1314261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 CE"/>
                <a:ea typeface="Arial CE"/>
                <a:cs typeface="Arial CE"/>
              </a:rPr>
              <a:t>Devízové rezervy NBS a zahraničná zadlženosť
</a:t>
            </a: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stav ku koncu roka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devízové rezervy NBS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0.0" sourceLinked="0"/>
            <c:txPr>
              <a:bodyPr vert="horz" rot="0" anchor="ctr"/>
              <a:lstStyle/>
              <a:p>
                <a:pPr algn="ctr" rtl="1">
                  <a:defRPr lang="en-US" cap="none" sz="77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'PB-tab'!$C$3:$J$3</c:f>
              <c:numCache>
                <c:ptCount val="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</c:numCache>
            </c:numRef>
          </c:cat>
          <c:val>
            <c:numRef>
              <c:f>'PB-graf'!$AA$6:$AH$6</c:f>
              <c:numCache/>
            </c:numRef>
          </c:val>
          <c:smooth val="0"/>
        </c:ser>
        <c:ser>
          <c:idx val="1"/>
          <c:order val="1"/>
          <c:tx>
            <c:v>zahraničná zadlženosť SR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77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'PB-tab'!$C$3:$J$3</c:f>
              <c:numCache>
                <c:ptCount val="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</c:numCache>
            </c:numRef>
          </c:cat>
          <c:val>
            <c:numRef>
              <c:f>'PB-tab'!$C$39:$J$39</c:f>
              <c:numCache>
                <c:ptCount val="8"/>
                <c:pt idx="0">
                  <c:v>3.7</c:v>
                </c:pt>
                <c:pt idx="1">
                  <c:v>4.7</c:v>
                </c:pt>
                <c:pt idx="2">
                  <c:v>5.678</c:v>
                </c:pt>
                <c:pt idx="3">
                  <c:v>7.667</c:v>
                </c:pt>
                <c:pt idx="4">
                  <c:v>9.768</c:v>
                </c:pt>
                <c:pt idx="5">
                  <c:v>11.902</c:v>
                </c:pt>
                <c:pt idx="6">
                  <c:v>10.518</c:v>
                </c:pt>
                <c:pt idx="7">
                  <c:v>10.8042</c:v>
                </c:pt>
              </c:numCache>
            </c:numRef>
          </c:val>
          <c:smooth val="0"/>
        </c:ser>
        <c:marker val="1"/>
        <c:axId val="62814447"/>
        <c:axId val="28459112"/>
      </c:lineChart>
      <c:catAx>
        <c:axId val="62814447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8459112"/>
        <c:crosses val="autoZero"/>
        <c:auto val="1"/>
        <c:lblOffset val="100"/>
        <c:noMultiLvlLbl val="0"/>
      </c:catAx>
      <c:valAx>
        <c:axId val="284591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E"/>
                    <a:ea typeface="Arial CE"/>
                    <a:cs typeface="Arial CE"/>
                  </a:rPr>
                  <a:t>mld USD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28144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Nominálne výmenné kurzy
</a:t>
            </a: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priemery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Sk / EUR (ECU)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'Kurzy-tab'!$C$3:$J$3</c:f>
              <c:numCache>
                <c:ptCount val="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</c:numCache>
            </c:numRef>
          </c:cat>
          <c:val>
            <c:numRef>
              <c:f>'Kurzy-tab'!$C$8:$J$8</c:f>
              <c:numCache>
                <c:ptCount val="8"/>
                <c:pt idx="0">
                  <c:v>35.97</c:v>
                </c:pt>
                <c:pt idx="1">
                  <c:v>37.923</c:v>
                </c:pt>
                <c:pt idx="2">
                  <c:v>38.448</c:v>
                </c:pt>
                <c:pt idx="3">
                  <c:v>38.408</c:v>
                </c:pt>
                <c:pt idx="4">
                  <c:v>38.018</c:v>
                </c:pt>
                <c:pt idx="5">
                  <c:v>39.583</c:v>
                </c:pt>
                <c:pt idx="6">
                  <c:v>44.115</c:v>
                </c:pt>
                <c:pt idx="7">
                  <c:v>42.589</c:v>
                </c:pt>
              </c:numCache>
            </c:numRef>
          </c:val>
          <c:smooth val="0"/>
        </c:ser>
        <c:ser>
          <c:idx val="1"/>
          <c:order val="1"/>
          <c:tx>
            <c:v>Sk / USD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'Kurzy-tab'!$C$3:$J$3</c:f>
              <c:numCache>
                <c:ptCount val="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</c:numCache>
            </c:numRef>
          </c:cat>
          <c:val>
            <c:numRef>
              <c:f>'Kurzy-tab'!$C$6:$J$6</c:f>
              <c:numCache>
                <c:ptCount val="8"/>
                <c:pt idx="0">
                  <c:v>30.79</c:v>
                </c:pt>
                <c:pt idx="1">
                  <c:v>32.039</c:v>
                </c:pt>
                <c:pt idx="2">
                  <c:v>29.735</c:v>
                </c:pt>
                <c:pt idx="3">
                  <c:v>30.65</c:v>
                </c:pt>
                <c:pt idx="4">
                  <c:v>33.616</c:v>
                </c:pt>
                <c:pt idx="5">
                  <c:v>35.242</c:v>
                </c:pt>
                <c:pt idx="6">
                  <c:v>41.417</c:v>
                </c:pt>
                <c:pt idx="7">
                  <c:v>46.2</c:v>
                </c:pt>
              </c:numCache>
            </c:numRef>
          </c:val>
          <c:smooth val="0"/>
        </c:ser>
        <c:axId val="54805417"/>
        <c:axId val="23486706"/>
      </c:lineChart>
      <c:catAx>
        <c:axId val="54805417"/>
        <c:scaling>
          <c:orientation val="minMax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high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3486706"/>
        <c:crosses val="autoZero"/>
        <c:auto val="1"/>
        <c:lblOffset val="100"/>
        <c:noMultiLvlLbl val="0"/>
      </c:catAx>
      <c:valAx>
        <c:axId val="23486706"/>
        <c:scaling>
          <c:orientation val="maxMin"/>
          <c:max val="49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4805417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Priemerné úrokové miery </a:t>
            </a: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(čerpané úvery)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145"/>
          <c:w val="0.94075"/>
          <c:h val="0.7775"/>
        </c:manualLayout>
      </c:layout>
      <c:barChart>
        <c:barDir val="col"/>
        <c:grouping val="clustered"/>
        <c:varyColors val="0"/>
        <c:ser>
          <c:idx val="3"/>
          <c:order val="2"/>
          <c:tx>
            <c:v>kvázimarža</c:v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'Úrok. miery-tab'!$D$3:$N$3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'Úrok. miery-tab'!$D$30:$N$30</c:f>
              <c:numCache>
                <c:ptCount val="11"/>
                <c:pt idx="0">
                  <c:v>9.8</c:v>
                </c:pt>
                <c:pt idx="1">
                  <c:v>8.030000000000001</c:v>
                </c:pt>
                <c:pt idx="2">
                  <c:v>6.6499999999999995</c:v>
                </c:pt>
                <c:pt idx="3">
                  <c:v>10.399999999999999</c:v>
                </c:pt>
                <c:pt idx="4">
                  <c:v>9.16333333333333</c:v>
                </c:pt>
                <c:pt idx="5">
                  <c:v>6.440000000000001</c:v>
                </c:pt>
                <c:pt idx="6">
                  <c:v>4.609999999999999</c:v>
                </c:pt>
                <c:pt idx="7">
                  <c:v>4.85</c:v>
                </c:pt>
                <c:pt idx="8">
                  <c:v>4.499999999999999</c:v>
                </c:pt>
                <c:pt idx="9">
                  <c:v>3.9499999999999993</c:v>
                </c:pt>
                <c:pt idx="10">
                  <c:v>3.4000000000000004</c:v>
                </c:pt>
              </c:numCache>
            </c:numRef>
          </c:val>
        </c:ser>
        <c:axId val="10053763"/>
        <c:axId val="23375004"/>
      </c:barChart>
      <c:lineChart>
        <c:grouping val="standard"/>
        <c:varyColors val="0"/>
        <c:ser>
          <c:idx val="0"/>
          <c:order val="0"/>
          <c:tx>
            <c:v>čerpané úvery spolu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'Úrok. miery-tab'!$D$3:$N$3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'Úrok. miery-tab'!$D$20:$N$20</c:f>
              <c:numCache>
                <c:ptCount val="11"/>
                <c:pt idx="0">
                  <c:v>19.09</c:v>
                </c:pt>
                <c:pt idx="1">
                  <c:v>16.32</c:v>
                </c:pt>
                <c:pt idx="2">
                  <c:v>13.35</c:v>
                </c:pt>
                <c:pt idx="3">
                  <c:v>18.4</c:v>
                </c:pt>
                <c:pt idx="4">
                  <c:v>19.32333333333333</c:v>
                </c:pt>
                <c:pt idx="5">
                  <c:v>16.89</c:v>
                </c:pt>
                <c:pt idx="6">
                  <c:v>11.84</c:v>
                </c:pt>
                <c:pt idx="7">
                  <c:v>10.1</c:v>
                </c:pt>
                <c:pt idx="8">
                  <c:v>9.7</c:v>
                </c:pt>
                <c:pt idx="9">
                  <c:v>9.1</c:v>
                </c:pt>
                <c:pt idx="10">
                  <c:v>8.5</c:v>
                </c:pt>
              </c:numCache>
            </c:numRef>
          </c:val>
          <c:smooth val="0"/>
        </c:ser>
        <c:ser>
          <c:idx val="1"/>
          <c:order val="1"/>
          <c:tx>
            <c:v>vklady spolu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'Úrok. miery-tab'!$D$3:$N$3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'Úrok. miery-tab'!$D$16:$N$16</c:f>
              <c:numCache>
                <c:ptCount val="11"/>
                <c:pt idx="0">
                  <c:v>9.29</c:v>
                </c:pt>
                <c:pt idx="1">
                  <c:v>8.29</c:v>
                </c:pt>
                <c:pt idx="2">
                  <c:v>6.7</c:v>
                </c:pt>
                <c:pt idx="3">
                  <c:v>8</c:v>
                </c:pt>
                <c:pt idx="4">
                  <c:v>10.16</c:v>
                </c:pt>
                <c:pt idx="5">
                  <c:v>10.45</c:v>
                </c:pt>
                <c:pt idx="6">
                  <c:v>7.23</c:v>
                </c:pt>
                <c:pt idx="7">
                  <c:v>5.25</c:v>
                </c:pt>
                <c:pt idx="8">
                  <c:v>5.2</c:v>
                </c:pt>
                <c:pt idx="9">
                  <c:v>5.15</c:v>
                </c:pt>
                <c:pt idx="10">
                  <c:v>5.1</c:v>
                </c:pt>
              </c:numCache>
            </c:numRef>
          </c:val>
          <c:smooth val="0"/>
        </c:ser>
        <c:axId val="10053763"/>
        <c:axId val="23375004"/>
      </c:lineChart>
      <c:catAx>
        <c:axId val="100537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3375004"/>
        <c:crosses val="autoZero"/>
        <c:auto val="1"/>
        <c:lblOffset val="100"/>
        <c:noMultiLvlLbl val="0"/>
      </c:catAx>
      <c:valAx>
        <c:axId val="23375004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0053763"/>
        <c:crossesAt val="1"/>
        <c:crossBetween val="between"/>
        <c:dispUnits/>
        <c:majorUnit val="2"/>
      </c:valAx>
      <c:spPr>
        <a:noFill/>
      </c:spPr>
    </c:plotArea>
    <c:legend>
      <c:legendPos val="b"/>
      <c:layout>
        <c:manualLayout>
          <c:xMode val="edge"/>
          <c:yMode val="edge"/>
          <c:x val="0.29875"/>
          <c:y val="0.937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 CE"/>
                <a:ea typeface="Arial CE"/>
                <a:cs typeface="Arial CE"/>
              </a:rPr>
              <a:t>Priemerné reálne a nominálne úrokové miery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reálna z úverov spolu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'Úrok. miery-tab'!$C$3:$J$3</c:f>
              <c:numCache>
                <c:ptCount val="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</c:numCache>
            </c:numRef>
          </c:cat>
          <c:val>
            <c:numRef>
              <c:f>'Úrok. miery-tab'!$C$32:$J$32</c:f>
              <c:numCache>
                <c:ptCount val="8"/>
                <c:pt idx="0">
                  <c:v>-2.7900000000000027</c:v>
                </c:pt>
                <c:pt idx="1">
                  <c:v>4.5600000000000005</c:v>
                </c:pt>
                <c:pt idx="2">
                  <c:v>6.630000000000001</c:v>
                </c:pt>
                <c:pt idx="3">
                  <c:v>9.620000000000006</c:v>
                </c:pt>
                <c:pt idx="4">
                  <c:v>10.44</c:v>
                </c:pt>
                <c:pt idx="5">
                  <c:v>13.360000000000003</c:v>
                </c:pt>
                <c:pt idx="6">
                  <c:v>11.760000000000003</c:v>
                </c:pt>
                <c:pt idx="7">
                  <c:v>1.8633333333333368</c:v>
                </c:pt>
              </c:numCache>
            </c:numRef>
          </c:val>
        </c:ser>
        <c:ser>
          <c:idx val="1"/>
          <c:order val="1"/>
          <c:tx>
            <c:v>reálna z termínovaných vkladov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'Úrok. miery-tab'!$C$3:$J$3</c:f>
              <c:numCache>
                <c:ptCount val="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</c:numCache>
            </c:numRef>
          </c:cat>
          <c:val>
            <c:numRef>
              <c:f>'Úrok. miery-tab'!$C$33:$J$33</c:f>
              <c:numCache>
                <c:ptCount val="8"/>
                <c:pt idx="0">
                  <c:v>0</c:v>
                </c:pt>
                <c:pt idx="1">
                  <c:v>0.7200000000000006</c:v>
                </c:pt>
                <c:pt idx="2">
                  <c:v>2.2699999999999996</c:v>
                </c:pt>
                <c:pt idx="3">
                  <c:v>3.2700000000000005</c:v>
                </c:pt>
                <c:pt idx="4">
                  <c:v>4.43</c:v>
                </c:pt>
                <c:pt idx="5">
                  <c:v>6.2700000000000005</c:v>
                </c:pt>
                <c:pt idx="6">
                  <c:v>2.17</c:v>
                </c:pt>
                <c:pt idx="7">
                  <c:v>-3.51</c:v>
                </c:pt>
              </c:numCache>
            </c:numRef>
          </c:val>
        </c:ser>
        <c:axId val="9048445"/>
        <c:axId val="14327142"/>
      </c:barChart>
      <c:lineChart>
        <c:grouping val="standard"/>
        <c:varyColors val="0"/>
        <c:ser>
          <c:idx val="2"/>
          <c:order val="2"/>
          <c:tx>
            <c:v>nominálna z úverov spolu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'Úrok. miery-tab'!$C$3:$J$3</c:f>
              <c:numCache>
                <c:ptCount val="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</c:numCache>
            </c:numRef>
          </c:cat>
          <c:val>
            <c:numRef>
              <c:f>'Úrok. miery-tab'!$C$6:$J$6</c:f>
              <c:numCache>
                <c:ptCount val="8"/>
                <c:pt idx="0">
                  <c:v>14.41</c:v>
                </c:pt>
                <c:pt idx="1">
                  <c:v>14.56</c:v>
                </c:pt>
                <c:pt idx="2">
                  <c:v>15.63</c:v>
                </c:pt>
                <c:pt idx="3">
                  <c:v>13.72</c:v>
                </c:pt>
                <c:pt idx="4">
                  <c:v>14.94</c:v>
                </c:pt>
                <c:pt idx="5">
                  <c:v>16.66</c:v>
                </c:pt>
                <c:pt idx="6">
                  <c:v>15.56</c:v>
                </c:pt>
                <c:pt idx="7">
                  <c:v>11.663333333333334</c:v>
                </c:pt>
              </c:numCache>
            </c:numRef>
          </c:val>
          <c:smooth val="0"/>
        </c:ser>
        <c:ser>
          <c:idx val="3"/>
          <c:order val="3"/>
          <c:tx>
            <c:v>nominálna z termínovaných vkladov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cat>
            <c:numRef>
              <c:f>'Úrok. miery-tab'!$C$3:$J$3</c:f>
              <c:numCache>
                <c:ptCount val="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</c:numCache>
            </c:numRef>
          </c:cat>
          <c:val>
            <c:numRef>
              <c:f>'Úrok. miery-tab'!$C$17:$J$17</c:f>
              <c:numCache>
                <c:ptCount val="8"/>
                <c:pt idx="0">
                  <c:v>0</c:v>
                </c:pt>
                <c:pt idx="1">
                  <c:v>14.22</c:v>
                </c:pt>
                <c:pt idx="2">
                  <c:v>12.17</c:v>
                </c:pt>
                <c:pt idx="3">
                  <c:v>9.07</c:v>
                </c:pt>
                <c:pt idx="4">
                  <c:v>10.53</c:v>
                </c:pt>
                <c:pt idx="5">
                  <c:v>12.97</c:v>
                </c:pt>
                <c:pt idx="6">
                  <c:v>12.77</c:v>
                </c:pt>
                <c:pt idx="7">
                  <c:v>8.49</c:v>
                </c:pt>
              </c:numCache>
            </c:numRef>
          </c:val>
          <c:smooth val="0"/>
        </c:ser>
        <c:axId val="9048445"/>
        <c:axId val="14327142"/>
      </c:lineChart>
      <c:catAx>
        <c:axId val="90484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4327142"/>
        <c:crosses val="autoZero"/>
        <c:auto val="1"/>
        <c:lblOffset val="100"/>
        <c:noMultiLvlLbl val="0"/>
      </c:catAx>
      <c:valAx>
        <c:axId val="14327142"/>
        <c:scaling>
          <c:orientation val="minMax"/>
          <c:max val="17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E"/>
                    <a:ea typeface="Arial CE"/>
                    <a:cs typeface="Arial CE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9048445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 CE"/>
                <a:ea typeface="Arial CE"/>
                <a:cs typeface="Arial CE"/>
              </a:rPr>
              <a:t>Priemerné úrokové miery štátnych cenných papierov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štátne dlhopisy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'Úrok. miery-tab'!$C$72:$J$72</c:f>
              <c:numCache>
                <c:ptCount val="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</c:numCache>
            </c:numRef>
          </c:cat>
          <c:val>
            <c:numRef>
              <c:f>'Úrok. miery-tab'!$C$74:$J$74</c:f>
              <c:numCache>
                <c:ptCount val="8"/>
                <c:pt idx="0">
                  <c:v>14.649</c:v>
                </c:pt>
                <c:pt idx="1">
                  <c:v>13.208</c:v>
                </c:pt>
                <c:pt idx="2">
                  <c:v>10.213</c:v>
                </c:pt>
                <c:pt idx="3">
                  <c:v>8.644</c:v>
                </c:pt>
                <c:pt idx="4">
                  <c:v>21.595</c:v>
                </c:pt>
                <c:pt idx="5">
                  <c:v>23.894</c:v>
                </c:pt>
                <c:pt idx="6">
                  <c:v>16.994</c:v>
                </c:pt>
                <c:pt idx="7">
                  <c:v>9.486</c:v>
                </c:pt>
              </c:numCache>
            </c:numRef>
          </c:val>
          <c:smooth val="0"/>
        </c:ser>
        <c:ser>
          <c:idx val="1"/>
          <c:order val="1"/>
          <c:tx>
            <c:v>štátne pokladničné poukážky</c:v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'Úrok. miery-tab'!$C$72:$J$72</c:f>
              <c:numCache>
                <c:ptCount val="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</c:numCache>
            </c:numRef>
          </c:cat>
          <c:val>
            <c:numRef>
              <c:f>'Úrok. miery-tab'!$C$75:$J$75</c:f>
              <c:numCache>
                <c:ptCount val="8"/>
                <c:pt idx="0">
                  <c:v>14.624</c:v>
                </c:pt>
                <c:pt idx="1">
                  <c:v>10.423</c:v>
                </c:pt>
                <c:pt idx="2">
                  <c:v>5.894</c:v>
                </c:pt>
                <c:pt idx="3">
                  <c:v>9.522</c:v>
                </c:pt>
                <c:pt idx="4">
                  <c:v>21.985</c:v>
                </c:pt>
                <c:pt idx="5">
                  <c:v>14.579</c:v>
                </c:pt>
                <c:pt idx="6">
                  <c:v>13.951</c:v>
                </c:pt>
                <c:pt idx="7">
                  <c:v>7.362</c:v>
                </c:pt>
              </c:numCache>
            </c:numRef>
          </c:val>
          <c:smooth val="0"/>
        </c:ser>
        <c:ser>
          <c:idx val="3"/>
          <c:order val="2"/>
          <c:tx>
            <c:v>čerpané úvery spolu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val>
            <c:numRef>
              <c:f>'Úrok. miery-tab'!$C$20:$J$20</c:f>
              <c:numCache>
                <c:ptCount val="8"/>
                <c:pt idx="0">
                  <c:v>0</c:v>
                </c:pt>
                <c:pt idx="1">
                  <c:v>19.09</c:v>
                </c:pt>
                <c:pt idx="2">
                  <c:v>16.32</c:v>
                </c:pt>
                <c:pt idx="3">
                  <c:v>13.35</c:v>
                </c:pt>
                <c:pt idx="4">
                  <c:v>18.4</c:v>
                </c:pt>
                <c:pt idx="5">
                  <c:v>19.32333333333333</c:v>
                </c:pt>
                <c:pt idx="6">
                  <c:v>16.89</c:v>
                </c:pt>
                <c:pt idx="7">
                  <c:v>11.84</c:v>
                </c:pt>
              </c:numCache>
            </c:numRef>
          </c:val>
          <c:smooth val="0"/>
        </c:ser>
        <c:axId val="61835415"/>
        <c:axId val="19647824"/>
      </c:lineChart>
      <c:catAx>
        <c:axId val="61835415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9647824"/>
        <c:crosses val="autoZero"/>
        <c:auto val="1"/>
        <c:lblOffset val="100"/>
        <c:noMultiLvlLbl val="0"/>
      </c:catAx>
      <c:valAx>
        <c:axId val="19647824"/>
        <c:scaling>
          <c:orientation val="minMax"/>
          <c:max val="2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E"/>
                    <a:ea typeface="Arial CE"/>
                    <a:cs typeface="Arial CE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1835415"/>
        <c:crossesAt val="1"/>
        <c:crossBetween val="between"/>
        <c:dispUnits/>
        <c:majorUnit val="2.5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Priemerné úrokové miery </a:t>
            </a:r>
            <a:r>
              <a:rPr lang="en-US" cap="none" sz="800" b="1" i="0" u="none" baseline="0"/>
              <a:t>(úvery spolu)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marža</c:v>
          </c:tx>
          <c:spPr>
            <a:pattFill prst="pct9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'Úrok. miery-tab'!$C$3:$J$3</c:f>
              <c:numCache>
                <c:ptCount val="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</c:numCache>
            </c:numRef>
          </c:cat>
          <c:val>
            <c:numRef>
              <c:f>'Úrok. miery-tab'!$C$19:$J$19</c:f>
              <c:numCache>
                <c:ptCount val="8"/>
                <c:pt idx="0">
                  <c:v>5.800000000000001</c:v>
                </c:pt>
                <c:pt idx="1">
                  <c:v>5.270000000000001</c:v>
                </c:pt>
                <c:pt idx="2">
                  <c:v>7.340000000000002</c:v>
                </c:pt>
                <c:pt idx="3">
                  <c:v>7.0200000000000005</c:v>
                </c:pt>
                <c:pt idx="4">
                  <c:v>6.9399999999999995</c:v>
                </c:pt>
                <c:pt idx="5">
                  <c:v>6.5</c:v>
                </c:pt>
                <c:pt idx="6">
                  <c:v>5.110000000000001</c:v>
                </c:pt>
                <c:pt idx="7">
                  <c:v>4.433333333333334</c:v>
                </c:pt>
              </c:numCache>
            </c:numRef>
          </c:val>
        </c:ser>
        <c:axId val="42612689"/>
        <c:axId val="47969882"/>
      </c:barChart>
      <c:lineChart>
        <c:grouping val="standard"/>
        <c:varyColors val="0"/>
        <c:ser>
          <c:idx val="2"/>
          <c:order val="2"/>
          <c:tx>
            <c:v>vklady spolu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'Úrok. miery-tab'!$C$3:$J$3</c:f>
              <c:numCache>
                <c:ptCount val="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</c:numCache>
            </c:numRef>
          </c:cat>
          <c:val>
            <c:numRef>
              <c:f>'Úrok. miery-tab'!$C$16:$J$16</c:f>
              <c:numCache>
                <c:ptCount val="8"/>
                <c:pt idx="0">
                  <c:v>8.61</c:v>
                </c:pt>
                <c:pt idx="1">
                  <c:v>9.29</c:v>
                </c:pt>
                <c:pt idx="2">
                  <c:v>8.29</c:v>
                </c:pt>
                <c:pt idx="3">
                  <c:v>6.7</c:v>
                </c:pt>
                <c:pt idx="4">
                  <c:v>8</c:v>
                </c:pt>
                <c:pt idx="5">
                  <c:v>10.16</c:v>
                </c:pt>
                <c:pt idx="6">
                  <c:v>10.45</c:v>
                </c:pt>
                <c:pt idx="7">
                  <c:v>7.23</c:v>
                </c:pt>
              </c:numCache>
            </c:numRef>
          </c:val>
          <c:smooth val="0"/>
        </c:ser>
        <c:axId val="29075755"/>
        <c:axId val="60355204"/>
      </c:lineChart>
      <c:lineChart>
        <c:grouping val="standard"/>
        <c:varyColors val="0"/>
        <c:ser>
          <c:idx val="0"/>
          <c:order val="1"/>
          <c:tx>
            <c:v>úvery spolu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'Úrok. miery-tab'!$C$3:$J$3</c:f>
              <c:numCache>
                <c:ptCount val="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</c:numCache>
            </c:numRef>
          </c:cat>
          <c:val>
            <c:numRef>
              <c:f>'Úrok. miery-tab'!$C$6:$J$6</c:f>
              <c:numCache>
                <c:ptCount val="8"/>
                <c:pt idx="0">
                  <c:v>14.41</c:v>
                </c:pt>
                <c:pt idx="1">
                  <c:v>14.56</c:v>
                </c:pt>
                <c:pt idx="2">
                  <c:v>15.63</c:v>
                </c:pt>
                <c:pt idx="3">
                  <c:v>13.72</c:v>
                </c:pt>
                <c:pt idx="4">
                  <c:v>14.94</c:v>
                </c:pt>
                <c:pt idx="5">
                  <c:v>16.66</c:v>
                </c:pt>
                <c:pt idx="6">
                  <c:v>15.56</c:v>
                </c:pt>
                <c:pt idx="7">
                  <c:v>11.663333333333334</c:v>
                </c:pt>
              </c:numCache>
            </c:numRef>
          </c:val>
          <c:smooth val="0"/>
        </c:ser>
        <c:axId val="42612689"/>
        <c:axId val="47969882"/>
      </c:lineChart>
      <c:catAx>
        <c:axId val="426126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969882"/>
        <c:crosses val="autoZero"/>
        <c:auto val="0"/>
        <c:lblOffset val="100"/>
        <c:noMultiLvlLbl val="0"/>
      </c:catAx>
      <c:valAx>
        <c:axId val="47969882"/>
        <c:scaling>
          <c:orientation val="minMax"/>
          <c:max val="1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612689"/>
        <c:crossesAt val="1"/>
        <c:crossBetween val="between"/>
        <c:dispUnits/>
        <c:majorUnit val="1"/>
      </c:valAx>
      <c:catAx>
        <c:axId val="29075755"/>
        <c:scaling>
          <c:orientation val="minMax"/>
        </c:scaling>
        <c:axPos val="b"/>
        <c:delete val="1"/>
        <c:majorTickMark val="in"/>
        <c:minorTickMark val="none"/>
        <c:tickLblPos val="nextTo"/>
        <c:crossAx val="60355204"/>
        <c:crosses val="autoZero"/>
        <c:auto val="0"/>
        <c:lblOffset val="100"/>
        <c:noMultiLvlLbl val="0"/>
      </c:catAx>
      <c:valAx>
        <c:axId val="60355204"/>
        <c:scaling>
          <c:orientation val="minMax"/>
        </c:scaling>
        <c:axPos val="l"/>
        <c:delete val="1"/>
        <c:majorTickMark val="in"/>
        <c:minorTickMark val="none"/>
        <c:tickLblPos val="nextTo"/>
        <c:crossAx val="290757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 CE"/>
                <a:ea typeface="Arial CE"/>
                <a:cs typeface="Arial CE"/>
              </a:rPr>
              <a:t>Hrubý domáci produkt</a:t>
            </a: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
</a:t>
            </a: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indexy rastu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085"/>
          <c:w val="0.97275"/>
          <c:h val="0.809"/>
        </c:manualLayout>
      </c:layout>
      <c:lineChart>
        <c:grouping val="standard"/>
        <c:varyColors val="0"/>
        <c:ser>
          <c:idx val="0"/>
          <c:order val="0"/>
          <c:tx>
            <c:v>predchádzajúci rok = 100 b.c.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7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77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'HDP-tab'!$D$3:$N$3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'HDP-tab'!$D$39:$N$39</c:f>
              <c:numCache>
                <c:ptCount val="11"/>
                <c:pt idx="0">
                  <c:v>119.35483870967741</c:v>
                </c:pt>
                <c:pt idx="1">
                  <c:v>117.11711711711712</c:v>
                </c:pt>
                <c:pt idx="2">
                  <c:v>111.00732600732601</c:v>
                </c:pt>
                <c:pt idx="3">
                  <c:v>113.19914205576637</c:v>
                </c:pt>
                <c:pt idx="4">
                  <c:v>109.4301122285381</c:v>
                </c:pt>
                <c:pt idx="5">
                  <c:v>108.59083644112945</c:v>
                </c:pt>
                <c:pt idx="6">
                  <c:v>108.81883969091133</c:v>
                </c:pt>
                <c:pt idx="7">
                  <c:v>109.58070333633904</c:v>
                </c:pt>
                <c:pt idx="8">
                  <c:v>109.20592470685044</c:v>
                </c:pt>
                <c:pt idx="9">
                  <c:v>109.50362625977206</c:v>
                </c:pt>
                <c:pt idx="10">
                  <c:v>109.77980388783762</c:v>
                </c:pt>
              </c:numCache>
            </c:numRef>
          </c:val>
          <c:smooth val="0"/>
        </c:ser>
        <c:ser>
          <c:idx val="1"/>
          <c:order val="1"/>
          <c:tx>
            <c:v>predchádzajúci rok = 100 s.c.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7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77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'HDP-tab'!$D$3:$N$3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'HDP-tab'!$D$6:$N$6</c:f>
              <c:numCache>
                <c:ptCount val="11"/>
                <c:pt idx="0">
                  <c:v>104.9</c:v>
                </c:pt>
                <c:pt idx="1">
                  <c:v>106.7</c:v>
                </c:pt>
                <c:pt idx="2">
                  <c:v>106.2</c:v>
                </c:pt>
                <c:pt idx="3">
                  <c:v>106.2</c:v>
                </c:pt>
                <c:pt idx="4">
                  <c:v>104.1</c:v>
                </c:pt>
                <c:pt idx="5">
                  <c:v>101.9</c:v>
                </c:pt>
                <c:pt idx="6">
                  <c:v>102.2</c:v>
                </c:pt>
                <c:pt idx="7">
                  <c:v>103</c:v>
                </c:pt>
                <c:pt idx="8">
                  <c:v>103.6</c:v>
                </c:pt>
                <c:pt idx="9">
                  <c:v>104.1</c:v>
                </c:pt>
                <c:pt idx="10">
                  <c:v>104.7</c:v>
                </c:pt>
              </c:numCache>
            </c:numRef>
          </c:val>
          <c:smooth val="0"/>
        </c:ser>
        <c:ser>
          <c:idx val="2"/>
          <c:order val="2"/>
          <c:tx>
            <c:v>deflátor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 rtl="1">
                    <a:defRPr lang="en-US" cap="none" sz="7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 rtl="1">
                    <a:defRPr lang="en-US" cap="none" sz="7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 rtl="1">
                    <a:defRPr lang="en-US" cap="none" sz="7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/>
              <a:lstStyle/>
              <a:p>
                <a:pPr algn="ctr" rtl="1">
                  <a:defRPr lang="en-US" cap="none" sz="77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'HDP-tab'!$D$3:$N$3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'HDP-graf'!$AA$4:$AK$4</c:f>
              <c:numCache/>
            </c:numRef>
          </c:val>
          <c:smooth val="0"/>
        </c:ser>
        <c:marker val="1"/>
        <c:axId val="39048377"/>
        <c:axId val="15891074"/>
      </c:lineChart>
      <c:catAx>
        <c:axId val="390483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5891074"/>
        <c:crosses val="autoZero"/>
        <c:auto val="1"/>
        <c:lblOffset val="100"/>
        <c:noMultiLvlLbl val="0"/>
      </c:catAx>
      <c:valAx>
        <c:axId val="15891074"/>
        <c:scaling>
          <c:orientation val="minMax"/>
          <c:max val="120"/>
          <c:min val="10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9048377"/>
        <c:crossesAt val="1"/>
        <c:crossBetween val="between"/>
        <c:dispUnits/>
        <c:majorUnit val="2.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35"/>
          <c:y val="0.941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E"/>
                <a:ea typeface="Arial CE"/>
                <a:cs typeface="Arial CE"/>
              </a:rPr>
              <a:t>Nerovnováha vývoja domáceho dopytu a HDP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'HDP-tab'!$C$5:$N$5</c:f>
              <c:numCache>
                <c:ptCount val="12"/>
                <c:pt idx="0">
                  <c:v>487.6</c:v>
                </c:pt>
                <c:pt idx="1">
                  <c:v>511.6</c:v>
                </c:pt>
                <c:pt idx="2">
                  <c:v>546</c:v>
                </c:pt>
                <c:pt idx="3">
                  <c:v>579.9</c:v>
                </c:pt>
                <c:pt idx="4">
                  <c:v>615.9</c:v>
                </c:pt>
                <c:pt idx="5">
                  <c:v>641.1</c:v>
                </c:pt>
                <c:pt idx="6">
                  <c:v>653.3</c:v>
                </c:pt>
                <c:pt idx="7">
                  <c:v>667.7</c:v>
                </c:pt>
                <c:pt idx="8">
                  <c:v>687.4</c:v>
                </c:pt>
                <c:pt idx="9">
                  <c:v>712.1</c:v>
                </c:pt>
                <c:pt idx="10">
                  <c:v>741.1</c:v>
                </c:pt>
                <c:pt idx="11">
                  <c:v>776.1</c:v>
                </c:pt>
              </c:numCache>
            </c:numRef>
          </c:xVal>
          <c:yVal>
            <c:numRef>
              <c:f>'HDP-tab'!$C$21:$N$21</c:f>
              <c:numCache>
                <c:ptCount val="12"/>
                <c:pt idx="0">
                  <c:v>510.3</c:v>
                </c:pt>
                <c:pt idx="1">
                  <c:v>484.8</c:v>
                </c:pt>
                <c:pt idx="2">
                  <c:v>536.3</c:v>
                </c:pt>
                <c:pt idx="3">
                  <c:v>622.4</c:v>
                </c:pt>
                <c:pt idx="4">
                  <c:v>649.3</c:v>
                </c:pt>
                <c:pt idx="5">
                  <c:v>710.8</c:v>
                </c:pt>
                <c:pt idx="6">
                  <c:v>678.1</c:v>
                </c:pt>
                <c:pt idx="7">
                  <c:v>669.3</c:v>
                </c:pt>
                <c:pt idx="8">
                  <c:v>697.5</c:v>
                </c:pt>
                <c:pt idx="9">
                  <c:v>717.7</c:v>
                </c:pt>
                <c:pt idx="10">
                  <c:v>742.4</c:v>
                </c:pt>
                <c:pt idx="11">
                  <c:v>773.3</c:v>
                </c:pt>
              </c:numCache>
            </c:numRef>
          </c:yVal>
          <c:smooth val="0"/>
        </c:ser>
        <c:axId val="8801939"/>
        <c:axId val="12108588"/>
      </c:scatterChart>
      <c:valAx>
        <c:axId val="8801939"/>
        <c:scaling>
          <c:orientation val="minMax"/>
          <c:max val="790"/>
          <c:min val="4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 CE"/>
                    <a:ea typeface="Arial CE"/>
                    <a:cs typeface="Arial CE"/>
                  </a:rPr>
                  <a:t>HDP s.c. v mld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2108588"/>
        <c:crossesAt val="0"/>
        <c:crossBetween val="midCat"/>
        <c:dispUnits/>
        <c:majorUnit val="20"/>
        <c:minorUnit val="5"/>
      </c:valAx>
      <c:valAx>
        <c:axId val="12108588"/>
        <c:scaling>
          <c:orientation val="minMax"/>
          <c:max val="790"/>
          <c:min val="4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 CE"/>
                    <a:ea typeface="Arial CE"/>
                    <a:cs typeface="Arial CE"/>
                  </a:rPr>
                  <a:t>domáci dopyt s.c. v mld 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8801939"/>
        <c:crossesAt val="0"/>
        <c:crossBetween val="midCat"/>
        <c:dispUnits/>
        <c:majorUnit val="20"/>
        <c:min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Konečná spotreba domácností </a:t>
            </a: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(vrátane neziskových inštitúcií slúžiacich domácnostiam)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mld Sk b.c.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 rtl="1">
                  <a:defRPr lang="en-US" cap="none" sz="7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'HDP-tab'!$D$3:$N$3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'HDP-tab'!$D$40:$N$40</c:f>
              <c:numCache>
                <c:ptCount val="11"/>
                <c:pt idx="0">
                  <c:v>246.5</c:v>
                </c:pt>
                <c:pt idx="1">
                  <c:v>280.8</c:v>
                </c:pt>
                <c:pt idx="2">
                  <c:v>319</c:v>
                </c:pt>
                <c:pt idx="3">
                  <c:v>356.6</c:v>
                </c:pt>
                <c:pt idx="4">
                  <c:v>400.4</c:v>
                </c:pt>
                <c:pt idx="5">
                  <c:v>440.4</c:v>
                </c:pt>
                <c:pt idx="6">
                  <c:v>473.6</c:v>
                </c:pt>
                <c:pt idx="7">
                  <c:v>521</c:v>
                </c:pt>
                <c:pt idx="8">
                  <c:v>573.5</c:v>
                </c:pt>
                <c:pt idx="9">
                  <c:v>628.3</c:v>
                </c:pt>
                <c:pt idx="10">
                  <c:v>687.9</c:v>
                </c:pt>
              </c:numCache>
            </c:numRef>
          </c:val>
        </c:ser>
        <c:ser>
          <c:idx val="1"/>
          <c:order val="1"/>
          <c:tx>
            <c:v>mld Sk s.c.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 rtl="1">
                  <a:defRPr lang="en-US" cap="none" sz="7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'HDP-tab'!$D$3:$N$3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'HDP-tab'!$D$7:$N$7</c:f>
              <c:numCache>
                <c:ptCount val="11"/>
                <c:pt idx="0">
                  <c:v>271.6</c:v>
                </c:pt>
                <c:pt idx="1">
                  <c:v>280.8</c:v>
                </c:pt>
                <c:pt idx="2">
                  <c:v>303.2</c:v>
                </c:pt>
                <c:pt idx="3">
                  <c:v>319.7</c:v>
                </c:pt>
                <c:pt idx="4">
                  <c:v>338.3</c:v>
                </c:pt>
                <c:pt idx="5">
                  <c:v>337.6</c:v>
                </c:pt>
                <c:pt idx="6">
                  <c:v>326.2</c:v>
                </c:pt>
                <c:pt idx="7">
                  <c:v>336.9</c:v>
                </c:pt>
                <c:pt idx="8">
                  <c:v>349.6</c:v>
                </c:pt>
                <c:pt idx="9">
                  <c:v>367.1</c:v>
                </c:pt>
                <c:pt idx="10">
                  <c:v>389.6</c:v>
                </c:pt>
              </c:numCache>
            </c:numRef>
          </c:val>
        </c:ser>
        <c:axId val="41868429"/>
        <c:axId val="41271542"/>
      </c:barChart>
      <c:lineChart>
        <c:grouping val="standard"/>
        <c:varyColors val="0"/>
        <c:ser>
          <c:idx val="2"/>
          <c:order val="2"/>
          <c:tx>
            <c:v>deflátor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7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'HDP-tab'!$D$3:$N$3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'C,I,X-graf'!$AB$3:$AL$3</c:f>
              <c:numCache/>
            </c:numRef>
          </c:val>
          <c:smooth val="0"/>
        </c:ser>
        <c:axId val="35899559"/>
        <c:axId val="54660576"/>
      </c:lineChart>
      <c:catAx>
        <c:axId val="418684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1271542"/>
        <c:crosses val="autoZero"/>
        <c:auto val="1"/>
        <c:lblOffset val="100"/>
        <c:noMultiLvlLbl val="0"/>
      </c:catAx>
      <c:valAx>
        <c:axId val="41271542"/>
        <c:scaling>
          <c:orientation val="minMax"/>
          <c:max val="150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1868429"/>
        <c:crossesAt val="1"/>
        <c:crossBetween val="between"/>
        <c:dispUnits/>
      </c:valAx>
      <c:catAx>
        <c:axId val="35899559"/>
        <c:scaling>
          <c:orientation val="minMax"/>
        </c:scaling>
        <c:axPos val="b"/>
        <c:delete val="1"/>
        <c:majorTickMark val="out"/>
        <c:minorTickMark val="none"/>
        <c:tickLblPos val="nextTo"/>
        <c:crossAx val="54660576"/>
        <c:crosses val="autoZero"/>
        <c:auto val="1"/>
        <c:lblOffset val="100"/>
        <c:noMultiLvlLbl val="0"/>
      </c:catAx>
      <c:valAx>
        <c:axId val="54660576"/>
        <c:scaling>
          <c:orientation val="minMax"/>
          <c:min val="8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589955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Konečná spotreba domácností </a:t>
            </a: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(vrátane neziskových inštitúcií slúžiacich domácnostiam)</a:t>
            </a: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 </a:t>
            </a: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
</a:t>
            </a: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indexy rastu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9875"/>
          <c:w val="0.97225"/>
          <c:h val="0.80625"/>
        </c:manualLayout>
      </c:layout>
      <c:lineChart>
        <c:grouping val="standard"/>
        <c:varyColors val="0"/>
        <c:ser>
          <c:idx val="0"/>
          <c:order val="0"/>
          <c:tx>
            <c:v>predchádzajúci rok = 100 b.c.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'HDP-tab'!$D$3:$N$3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'HDP-tab'!$D$41:$N$41</c:f>
              <c:numCache>
                <c:ptCount val="11"/>
                <c:pt idx="0">
                  <c:v>114.22613531047266</c:v>
                </c:pt>
                <c:pt idx="1">
                  <c:v>113.91480730223125</c:v>
                </c:pt>
                <c:pt idx="2">
                  <c:v>113.6039886039886</c:v>
                </c:pt>
                <c:pt idx="3">
                  <c:v>111.78683385579937</c:v>
                </c:pt>
                <c:pt idx="4">
                  <c:v>112.28266965787996</c:v>
                </c:pt>
                <c:pt idx="5">
                  <c:v>109.99000999000998</c:v>
                </c:pt>
                <c:pt idx="6">
                  <c:v>107.53860127157131</c:v>
                </c:pt>
                <c:pt idx="7">
                  <c:v>110.00844594594594</c:v>
                </c:pt>
                <c:pt idx="8">
                  <c:v>110.0767754318618</c:v>
                </c:pt>
                <c:pt idx="9">
                  <c:v>109.55536181342632</c:v>
                </c:pt>
                <c:pt idx="10">
                  <c:v>109.48591437211523</c:v>
                </c:pt>
              </c:numCache>
            </c:numRef>
          </c:val>
          <c:smooth val="0"/>
        </c:ser>
        <c:ser>
          <c:idx val="1"/>
          <c:order val="1"/>
          <c:tx>
            <c:v>predchádzajúci rok = 100 s.c.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'HDP-tab'!$D$3:$N$3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'HDP-tab'!$D$8:$N$8</c:f>
              <c:numCache>
                <c:ptCount val="11"/>
                <c:pt idx="0">
                  <c:v>101.04166666666667</c:v>
                </c:pt>
                <c:pt idx="1">
                  <c:v>103.38733431516935</c:v>
                </c:pt>
                <c:pt idx="2">
                  <c:v>107.97720797720798</c:v>
                </c:pt>
                <c:pt idx="3">
                  <c:v>105.44195250659631</c:v>
                </c:pt>
                <c:pt idx="4">
                  <c:v>105.81795433218643</c:v>
                </c:pt>
                <c:pt idx="5">
                  <c:v>99.79308306237068</c:v>
                </c:pt>
                <c:pt idx="6">
                  <c:v>96.62322274881515</c:v>
                </c:pt>
                <c:pt idx="7">
                  <c:v>103.28019619865114</c:v>
                </c:pt>
                <c:pt idx="8">
                  <c:v>103.7696645888988</c:v>
                </c:pt>
                <c:pt idx="9">
                  <c:v>105.00572082379863</c:v>
                </c:pt>
                <c:pt idx="10">
                  <c:v>106.12912013075457</c:v>
                </c:pt>
              </c:numCache>
            </c:numRef>
          </c:val>
          <c:smooth val="0"/>
        </c:ser>
        <c:ser>
          <c:idx val="2"/>
          <c:order val="2"/>
          <c:tx>
            <c:v>deflátor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'HDP-tab'!$D$3:$N$3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'C,I,X-graf'!$AB$3:$AL$3</c:f>
              <c:numCache/>
            </c:numRef>
          </c:val>
          <c:smooth val="0"/>
        </c:ser>
        <c:marker val="1"/>
        <c:axId val="22183137"/>
        <c:axId val="65430506"/>
      </c:lineChart>
      <c:catAx>
        <c:axId val="221831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5430506"/>
        <c:crosses val="autoZero"/>
        <c:auto val="1"/>
        <c:lblOffset val="100"/>
        <c:noMultiLvlLbl val="0"/>
      </c:catAx>
      <c:valAx>
        <c:axId val="654305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21831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7"/>
          <c:y val="0.93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Tvorba hrubého fixného kapitálu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mld Sk b.c.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 rtl="1">
                  <a:defRPr lang="en-US" cap="none" sz="77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'HDP-tab'!$D$3:$N$3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'HDP-tab'!$D$46:$N$46</c:f>
              <c:numCache>
                <c:ptCount val="11"/>
                <c:pt idx="0">
                  <c:v>131.8</c:v>
                </c:pt>
                <c:pt idx="1">
                  <c:v>144.2</c:v>
                </c:pt>
                <c:pt idx="2">
                  <c:v>207.5</c:v>
                </c:pt>
                <c:pt idx="3">
                  <c:v>246.5</c:v>
                </c:pt>
                <c:pt idx="4">
                  <c:v>285.3</c:v>
                </c:pt>
                <c:pt idx="5">
                  <c:v>251</c:v>
                </c:pt>
                <c:pt idx="6">
                  <c:v>265.9</c:v>
                </c:pt>
                <c:pt idx="7">
                  <c:v>303.5</c:v>
                </c:pt>
                <c:pt idx="8">
                  <c:v>340.26</c:v>
                </c:pt>
                <c:pt idx="9">
                  <c:v>385.1</c:v>
                </c:pt>
                <c:pt idx="10">
                  <c:v>441.7</c:v>
                </c:pt>
              </c:numCache>
            </c:numRef>
          </c:val>
        </c:ser>
        <c:ser>
          <c:idx val="1"/>
          <c:order val="1"/>
          <c:tx>
            <c:v>mld Sk s.c.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 rtl="1">
                  <a:defRPr lang="en-US" cap="none" sz="77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'HDP-tab'!$D$3:$N$3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'HDP-tab'!$D$13:$N$13</c:f>
              <c:numCache>
                <c:ptCount val="11"/>
                <c:pt idx="0">
                  <c:v>136.9</c:v>
                </c:pt>
                <c:pt idx="1">
                  <c:v>144.2</c:v>
                </c:pt>
                <c:pt idx="2">
                  <c:v>190.3</c:v>
                </c:pt>
                <c:pt idx="3">
                  <c:v>213.1</c:v>
                </c:pt>
                <c:pt idx="4">
                  <c:v>236.8</c:v>
                </c:pt>
                <c:pt idx="5">
                  <c:v>192.2</c:v>
                </c:pt>
                <c:pt idx="6">
                  <c:v>190.9</c:v>
                </c:pt>
                <c:pt idx="7">
                  <c:v>202.3</c:v>
                </c:pt>
                <c:pt idx="8">
                  <c:v>213.8</c:v>
                </c:pt>
                <c:pt idx="9">
                  <c:v>226.2</c:v>
                </c:pt>
                <c:pt idx="10">
                  <c:v>240.5</c:v>
                </c:pt>
              </c:numCache>
            </c:numRef>
          </c:val>
        </c:ser>
        <c:axId val="52003643"/>
        <c:axId val="65379604"/>
      </c:barChart>
      <c:lineChart>
        <c:grouping val="standard"/>
        <c:varyColors val="0"/>
        <c:ser>
          <c:idx val="2"/>
          <c:order val="2"/>
          <c:tx>
            <c:v>deflátor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77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'HDP-tab'!$D$3:$N$3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'C,I,X-graf'!$AB$5:$AL$5</c:f>
              <c:numCache/>
            </c:numRef>
          </c:val>
          <c:smooth val="0"/>
        </c:ser>
        <c:axId val="51545525"/>
        <c:axId val="61256542"/>
      </c:lineChart>
      <c:catAx>
        <c:axId val="520036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5379604"/>
        <c:crosses val="autoZero"/>
        <c:auto val="1"/>
        <c:lblOffset val="100"/>
        <c:noMultiLvlLbl val="0"/>
      </c:catAx>
      <c:valAx>
        <c:axId val="65379604"/>
        <c:scaling>
          <c:orientation val="minMax"/>
          <c:max val="100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2003643"/>
        <c:crossesAt val="1"/>
        <c:crossBetween val="between"/>
        <c:dispUnits/>
        <c:majorUnit val="100"/>
      </c:valAx>
      <c:catAx>
        <c:axId val="51545525"/>
        <c:scaling>
          <c:orientation val="minMax"/>
        </c:scaling>
        <c:axPos val="b"/>
        <c:delete val="1"/>
        <c:majorTickMark val="out"/>
        <c:minorTickMark val="none"/>
        <c:tickLblPos val="nextTo"/>
        <c:crossAx val="61256542"/>
        <c:crosses val="autoZero"/>
        <c:auto val="1"/>
        <c:lblOffset val="100"/>
        <c:noMultiLvlLbl val="0"/>
      </c:catAx>
      <c:valAx>
        <c:axId val="61256542"/>
        <c:scaling>
          <c:orientation val="minMax"/>
          <c:max val="115"/>
          <c:min val="8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154552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 CE"/>
                <a:ea typeface="Arial CE"/>
                <a:cs typeface="Arial CE"/>
              </a:rPr>
              <a:t>Tvorba hrubého fixného kapitálu
</a:t>
            </a: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indexy rastu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predchádzajúci rok = 100 b.c.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7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'HDP-tab'!$D$3:$N$3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'HDP-tab'!$D$47:$N$47</c:f>
              <c:numCache>
                <c:ptCount val="11"/>
                <c:pt idx="0">
                  <c:v>106.80713128038899</c:v>
                </c:pt>
                <c:pt idx="1">
                  <c:v>109.4081942336874</c:v>
                </c:pt>
                <c:pt idx="2">
                  <c:v>143.8973647711512</c:v>
                </c:pt>
                <c:pt idx="3">
                  <c:v>118.79518072289157</c:v>
                </c:pt>
                <c:pt idx="4">
                  <c:v>115.74036511156187</c:v>
                </c:pt>
                <c:pt idx="5">
                  <c:v>87.9775674728356</c:v>
                </c:pt>
                <c:pt idx="6">
                  <c:v>105.93625498007968</c:v>
                </c:pt>
                <c:pt idx="7">
                  <c:v>114.14065438134638</c:v>
                </c:pt>
                <c:pt idx="8">
                  <c:v>112.11202635914333</c:v>
                </c:pt>
                <c:pt idx="9">
                  <c:v>113.17815787926881</c:v>
                </c:pt>
                <c:pt idx="10">
                  <c:v>114.69748117372109</c:v>
                </c:pt>
              </c:numCache>
            </c:numRef>
          </c:val>
          <c:smooth val="0"/>
        </c:ser>
        <c:ser>
          <c:idx val="1"/>
          <c:order val="1"/>
          <c:tx>
            <c:v>predchádzajúci rok = 100 s.c.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7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'HDP-tab'!$D$3:$N$3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'HDP-tab'!$D$14:$N$14</c:f>
              <c:numCache>
                <c:ptCount val="11"/>
                <c:pt idx="0">
                  <c:v>95.00346981263013</c:v>
                </c:pt>
                <c:pt idx="1">
                  <c:v>105.33235938641343</c:v>
                </c:pt>
                <c:pt idx="2">
                  <c:v>131.96948682385576</c:v>
                </c:pt>
                <c:pt idx="3">
                  <c:v>111.98108250131371</c:v>
                </c:pt>
                <c:pt idx="4">
                  <c:v>111.12153918348193</c:v>
                </c:pt>
                <c:pt idx="5">
                  <c:v>81.16554054054053</c:v>
                </c:pt>
                <c:pt idx="6">
                  <c:v>99.32362122788763</c:v>
                </c:pt>
                <c:pt idx="7">
                  <c:v>105.97171293871138</c:v>
                </c:pt>
                <c:pt idx="8">
                  <c:v>105.68462679189324</c:v>
                </c:pt>
                <c:pt idx="9">
                  <c:v>105.79981290926096</c:v>
                </c:pt>
                <c:pt idx="10">
                  <c:v>106.32183908045978</c:v>
                </c:pt>
              </c:numCache>
            </c:numRef>
          </c:val>
          <c:smooth val="0"/>
        </c:ser>
        <c:ser>
          <c:idx val="2"/>
          <c:order val="2"/>
          <c:tx>
            <c:v>deflátor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7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'HDP-tab'!$D$3:$N$3</c:f>
              <c:numCache>
                <c:ptCount val="1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</c:numCache>
            </c:numRef>
          </c:cat>
          <c:val>
            <c:numRef>
              <c:f>'C,I,X-graf'!$AB$5:$AL$5</c:f>
              <c:numCache/>
            </c:numRef>
          </c:val>
          <c:smooth val="0"/>
        </c:ser>
        <c:marker val="1"/>
        <c:axId val="14437967"/>
        <c:axId val="62832840"/>
      </c:lineChart>
      <c:catAx>
        <c:axId val="144379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2832840"/>
        <c:crosses val="autoZero"/>
        <c:auto val="1"/>
        <c:lblOffset val="100"/>
        <c:noMultiLvlLbl val="0"/>
      </c:catAx>
      <c:valAx>
        <c:axId val="62832840"/>
        <c:scaling>
          <c:orientation val="minMax"/>
          <c:min val="6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4437967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 CE"/>
                <a:ea typeface="Arial CE"/>
                <a:cs typeface="Arial CE"/>
              </a:rPr>
              <a:t>Saldo zahraničného obchodu s tovarmi a službami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mld Sk b.c.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'HDP-tab'!$C$3:$N$3</c:f>
              <c:numCache>
                <c:ptCount val="12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</c:numCache>
            </c:numRef>
          </c:cat>
          <c:val>
            <c:numRef>
              <c:f>'HDP-tab'!$C$49:$N$49</c:f>
              <c:numCache>
                <c:ptCount val="12"/>
                <c:pt idx="0">
                  <c:v>-20.4</c:v>
                </c:pt>
                <c:pt idx="1">
                  <c:v>22.4</c:v>
                </c:pt>
                <c:pt idx="2">
                  <c:v>9.7</c:v>
                </c:pt>
                <c:pt idx="3">
                  <c:v>-70.1</c:v>
                </c:pt>
                <c:pt idx="4">
                  <c:v>-67.4</c:v>
                </c:pt>
                <c:pt idx="5">
                  <c:v>-82.3</c:v>
                </c:pt>
                <c:pt idx="6">
                  <c:v>-43.6</c:v>
                </c:pt>
                <c:pt idx="7">
                  <c:v>-22.1</c:v>
                </c:pt>
                <c:pt idx="8">
                  <c:v>-49.5</c:v>
                </c:pt>
                <c:pt idx="9">
                  <c:v>-50.4</c:v>
                </c:pt>
                <c:pt idx="10">
                  <c:v>-58.4</c:v>
                </c:pt>
                <c:pt idx="11">
                  <c:v>-65.3</c:v>
                </c:pt>
              </c:numCache>
            </c:numRef>
          </c:val>
          <c:smooth val="0"/>
        </c:ser>
        <c:ser>
          <c:idx val="1"/>
          <c:order val="1"/>
          <c:tx>
            <c:v>mld Sk s.c.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'HDP-tab'!$C$3:$N$3</c:f>
              <c:numCache>
                <c:ptCount val="12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</c:numCache>
            </c:numRef>
          </c:cat>
          <c:val>
            <c:numRef>
              <c:f>'HDP-tab'!$C$16:$N$16</c:f>
              <c:numCache>
                <c:ptCount val="12"/>
                <c:pt idx="0">
                  <c:v>-22.7</c:v>
                </c:pt>
                <c:pt idx="1">
                  <c:v>26.8</c:v>
                </c:pt>
                <c:pt idx="2">
                  <c:v>9.7</c:v>
                </c:pt>
                <c:pt idx="3">
                  <c:v>-42.5</c:v>
                </c:pt>
                <c:pt idx="4">
                  <c:v>-33.4</c:v>
                </c:pt>
                <c:pt idx="5">
                  <c:v>-69.7</c:v>
                </c:pt>
                <c:pt idx="6">
                  <c:v>-24.8</c:v>
                </c:pt>
                <c:pt idx="7">
                  <c:v>-1.6</c:v>
                </c:pt>
                <c:pt idx="8">
                  <c:v>-10.1</c:v>
                </c:pt>
                <c:pt idx="9">
                  <c:v>-5.6</c:v>
                </c:pt>
                <c:pt idx="10">
                  <c:v>-1.3</c:v>
                </c:pt>
                <c:pt idx="11">
                  <c:v>2.7</c:v>
                </c:pt>
              </c:numCache>
            </c:numRef>
          </c:val>
          <c:smooth val="0"/>
        </c:ser>
        <c:axId val="28624649"/>
        <c:axId val="56295250"/>
      </c:lineChart>
      <c:catAx>
        <c:axId val="28624649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6295250"/>
        <c:crosses val="autoZero"/>
        <c:auto val="1"/>
        <c:lblOffset val="100"/>
        <c:noMultiLvlLbl val="0"/>
      </c:catAx>
      <c:valAx>
        <c:axId val="5629525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86246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Relationship Id="rId4" Type="http://schemas.openxmlformats.org/officeDocument/2006/relationships/chart" Target="/xl/charts/chart2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Relationship Id="rId4" Type="http://schemas.openxmlformats.org/officeDocument/2006/relationships/chart" Target="/xl/charts/chart2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0.669</cdr:x>
      <cdr:y>0.208</cdr:y>
    </cdr:from>
    <cdr:to>
      <cdr:x>0.669</cdr:x>
      <cdr:y>0.8175</cdr:y>
    </cdr:to>
    <cdr:sp>
      <cdr:nvSpPr>
        <cdr:cNvPr id="1" name="Line 2"/>
        <cdr:cNvSpPr>
          <a:spLocks/>
        </cdr:cNvSpPr>
      </cdr:nvSpPr>
      <cdr:spPr>
        <a:xfrm flipV="1">
          <a:off x="4476750" y="704850"/>
          <a:ext cx="0" cy="2076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0.669</cdr:x>
      <cdr:y>0.3715</cdr:y>
    </cdr:from>
    <cdr:to>
      <cdr:x>0.819</cdr:x>
      <cdr:y>0.3715</cdr:y>
    </cdr:to>
    <cdr:sp>
      <cdr:nvSpPr>
        <cdr:cNvPr id="2" name="Line 5"/>
        <cdr:cNvSpPr>
          <a:spLocks/>
        </cdr:cNvSpPr>
      </cdr:nvSpPr>
      <cdr:spPr>
        <a:xfrm>
          <a:off x="4476750" y="12573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9525</xdr:rowOff>
    </xdr:from>
    <xdr:to>
      <xdr:col>9</xdr:col>
      <xdr:colOff>619125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28575" y="171450"/>
        <a:ext cx="684847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</xdr:colOff>
      <xdr:row>6</xdr:row>
      <xdr:rowOff>104775</xdr:rowOff>
    </xdr:from>
    <xdr:to>
      <xdr:col>6</xdr:col>
      <xdr:colOff>57150</xdr:colOff>
      <xdr:row>18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4229100" y="1076325"/>
          <a:ext cx="0" cy="1838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57150</xdr:colOff>
      <xdr:row>12</xdr:row>
      <xdr:rowOff>85725</xdr:rowOff>
    </xdr:from>
    <xdr:to>
      <xdr:col>7</xdr:col>
      <xdr:colOff>476250</xdr:colOff>
      <xdr:row>12</xdr:row>
      <xdr:rowOff>85725</xdr:rowOff>
    </xdr:to>
    <xdr:sp>
      <xdr:nvSpPr>
        <xdr:cNvPr id="3" name="Line 4"/>
        <xdr:cNvSpPr>
          <a:spLocks/>
        </xdr:cNvSpPr>
      </xdr:nvSpPr>
      <xdr:spPr>
        <a:xfrm>
          <a:off x="4229100" y="202882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161925</xdr:colOff>
      <xdr:row>11</xdr:row>
      <xdr:rowOff>9525</xdr:rowOff>
    </xdr:from>
    <xdr:to>
      <xdr:col>7</xdr:col>
      <xdr:colOff>123825</xdr:colOff>
      <xdr:row>12</xdr:row>
      <xdr:rowOff>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4333875" y="1790700"/>
          <a:ext cx="6572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Predikcia</a:t>
          </a:r>
        </a:p>
      </xdr:txBody>
    </xdr:sp>
    <xdr:clientData/>
  </xdr:twoCellAnchor>
  <xdr:twoCellAnchor>
    <xdr:from>
      <xdr:col>0</xdr:col>
      <xdr:colOff>28575</xdr:colOff>
      <xdr:row>23</xdr:row>
      <xdr:rowOff>19050</xdr:rowOff>
    </xdr:from>
    <xdr:to>
      <xdr:col>9</xdr:col>
      <xdr:colOff>619125</xdr:colOff>
      <xdr:row>43</xdr:row>
      <xdr:rowOff>114300</xdr:rowOff>
    </xdr:to>
    <xdr:graphicFrame>
      <xdr:nvGraphicFramePr>
        <xdr:cNvPr id="5" name="Chart 6"/>
        <xdr:cNvGraphicFramePr/>
      </xdr:nvGraphicFramePr>
      <xdr:xfrm>
        <a:off x="28575" y="3743325"/>
        <a:ext cx="6848475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533400</xdr:colOff>
      <xdr:row>26</xdr:row>
      <xdr:rowOff>114300</xdr:rowOff>
    </xdr:from>
    <xdr:to>
      <xdr:col>6</xdr:col>
      <xdr:colOff>533400</xdr:colOff>
      <xdr:row>39</xdr:row>
      <xdr:rowOff>142875</xdr:rowOff>
    </xdr:to>
    <xdr:sp>
      <xdr:nvSpPr>
        <xdr:cNvPr id="6" name="Line 7"/>
        <xdr:cNvSpPr>
          <a:spLocks/>
        </xdr:cNvSpPr>
      </xdr:nvSpPr>
      <xdr:spPr>
        <a:xfrm flipV="1">
          <a:off x="4705350" y="4324350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533400</xdr:colOff>
      <xdr:row>35</xdr:row>
      <xdr:rowOff>123825</xdr:rowOff>
    </xdr:from>
    <xdr:to>
      <xdr:col>8</xdr:col>
      <xdr:colOff>276225</xdr:colOff>
      <xdr:row>35</xdr:row>
      <xdr:rowOff>123825</xdr:rowOff>
    </xdr:to>
    <xdr:sp>
      <xdr:nvSpPr>
        <xdr:cNvPr id="7" name="Line 8"/>
        <xdr:cNvSpPr>
          <a:spLocks/>
        </xdr:cNvSpPr>
      </xdr:nvSpPr>
      <xdr:spPr>
        <a:xfrm>
          <a:off x="4705350" y="579120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28575</xdr:colOff>
      <xdr:row>34</xdr:row>
      <xdr:rowOff>95250</xdr:rowOff>
    </xdr:from>
    <xdr:to>
      <xdr:col>8</xdr:col>
      <xdr:colOff>76200</xdr:colOff>
      <xdr:row>35</xdr:row>
      <xdr:rowOff>57150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4895850" y="5600700"/>
          <a:ext cx="7429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Predikcia</a:t>
          </a:r>
        </a:p>
      </xdr:txBody>
    </xdr:sp>
    <xdr:clientData/>
  </xdr:twoCellAnchor>
  <xdr:twoCellAnchor>
    <xdr:from>
      <xdr:col>0</xdr:col>
      <xdr:colOff>66675</xdr:colOff>
      <xdr:row>45</xdr:row>
      <xdr:rowOff>19050</xdr:rowOff>
    </xdr:from>
    <xdr:to>
      <xdr:col>9</xdr:col>
      <xdr:colOff>628650</xdr:colOff>
      <xdr:row>65</xdr:row>
      <xdr:rowOff>123825</xdr:rowOff>
    </xdr:to>
    <xdr:graphicFrame>
      <xdr:nvGraphicFramePr>
        <xdr:cNvPr id="9" name="Chart 14"/>
        <xdr:cNvGraphicFramePr/>
      </xdr:nvGraphicFramePr>
      <xdr:xfrm>
        <a:off x="66675" y="7305675"/>
        <a:ext cx="6819900" cy="3343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609600</xdr:colOff>
      <xdr:row>48</xdr:row>
      <xdr:rowOff>114300</xdr:rowOff>
    </xdr:from>
    <xdr:to>
      <xdr:col>6</xdr:col>
      <xdr:colOff>609600</xdr:colOff>
      <xdr:row>61</xdr:row>
      <xdr:rowOff>133350</xdr:rowOff>
    </xdr:to>
    <xdr:sp>
      <xdr:nvSpPr>
        <xdr:cNvPr id="10" name="Line 17"/>
        <xdr:cNvSpPr>
          <a:spLocks/>
        </xdr:cNvSpPr>
      </xdr:nvSpPr>
      <xdr:spPr>
        <a:xfrm flipV="1">
          <a:off x="4781550" y="7886700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619125</xdr:colOff>
      <xdr:row>51</xdr:row>
      <xdr:rowOff>104775</xdr:rowOff>
    </xdr:from>
    <xdr:to>
      <xdr:col>8</xdr:col>
      <xdr:colOff>400050</xdr:colOff>
      <xdr:row>51</xdr:row>
      <xdr:rowOff>104775</xdr:rowOff>
    </xdr:to>
    <xdr:sp>
      <xdr:nvSpPr>
        <xdr:cNvPr id="11" name="Line 18"/>
        <xdr:cNvSpPr>
          <a:spLocks/>
        </xdr:cNvSpPr>
      </xdr:nvSpPr>
      <xdr:spPr>
        <a:xfrm>
          <a:off x="4791075" y="83629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85725</xdr:colOff>
      <xdr:row>50</xdr:row>
      <xdr:rowOff>47625</xdr:rowOff>
    </xdr:from>
    <xdr:to>
      <xdr:col>8</xdr:col>
      <xdr:colOff>95250</xdr:colOff>
      <xdr:row>51</xdr:row>
      <xdr:rowOff>47625</xdr:rowOff>
    </xdr:to>
    <xdr:sp>
      <xdr:nvSpPr>
        <xdr:cNvPr id="12" name="TextBox 19"/>
        <xdr:cNvSpPr txBox="1">
          <a:spLocks noChangeArrowheads="1"/>
        </xdr:cNvSpPr>
      </xdr:nvSpPr>
      <xdr:spPr>
        <a:xfrm>
          <a:off x="4953000" y="8143875"/>
          <a:ext cx="7048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Predikcia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28575</xdr:rowOff>
    </xdr:from>
    <xdr:to>
      <xdr:col>9</xdr:col>
      <xdr:colOff>619125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47625" y="190500"/>
        <a:ext cx="674370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571500</xdr:colOff>
      <xdr:row>4</xdr:row>
      <xdr:rowOff>133350</xdr:rowOff>
    </xdr:from>
    <xdr:to>
      <xdr:col>6</xdr:col>
      <xdr:colOff>571500</xdr:colOff>
      <xdr:row>17</xdr:row>
      <xdr:rowOff>104775</xdr:rowOff>
    </xdr:to>
    <xdr:sp>
      <xdr:nvSpPr>
        <xdr:cNvPr id="2" name="Line 2"/>
        <xdr:cNvSpPr>
          <a:spLocks/>
        </xdr:cNvSpPr>
      </xdr:nvSpPr>
      <xdr:spPr>
        <a:xfrm flipV="1">
          <a:off x="4686300" y="781050"/>
          <a:ext cx="0" cy="2076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571500</xdr:colOff>
      <xdr:row>6</xdr:row>
      <xdr:rowOff>142875</xdr:rowOff>
    </xdr:from>
    <xdr:to>
      <xdr:col>8</xdr:col>
      <xdr:colOff>247650</xdr:colOff>
      <xdr:row>6</xdr:row>
      <xdr:rowOff>142875</xdr:rowOff>
    </xdr:to>
    <xdr:sp>
      <xdr:nvSpPr>
        <xdr:cNvPr id="3" name="Line 3"/>
        <xdr:cNvSpPr>
          <a:spLocks/>
        </xdr:cNvSpPr>
      </xdr:nvSpPr>
      <xdr:spPr>
        <a:xfrm>
          <a:off x="4686300" y="111442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85725</xdr:colOff>
      <xdr:row>5</xdr:row>
      <xdr:rowOff>123825</xdr:rowOff>
    </xdr:from>
    <xdr:to>
      <xdr:col>8</xdr:col>
      <xdr:colOff>28575</xdr:colOff>
      <xdr:row>6</xdr:row>
      <xdr:rowOff>114300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886325" y="933450"/>
          <a:ext cx="6286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Predikcia</a:t>
          </a:r>
        </a:p>
      </xdr:txBody>
    </xdr:sp>
    <xdr:clientData/>
  </xdr:twoCellAnchor>
  <xdr:twoCellAnchor>
    <xdr:from>
      <xdr:col>0</xdr:col>
      <xdr:colOff>28575</xdr:colOff>
      <xdr:row>23</xdr:row>
      <xdr:rowOff>9525</xdr:rowOff>
    </xdr:from>
    <xdr:to>
      <xdr:col>9</xdr:col>
      <xdr:colOff>600075</xdr:colOff>
      <xdr:row>43</xdr:row>
      <xdr:rowOff>95250</xdr:rowOff>
    </xdr:to>
    <xdr:graphicFrame>
      <xdr:nvGraphicFramePr>
        <xdr:cNvPr id="5" name="Chart 5"/>
        <xdr:cNvGraphicFramePr/>
      </xdr:nvGraphicFramePr>
      <xdr:xfrm>
        <a:off x="28575" y="3733800"/>
        <a:ext cx="674370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561975</xdr:colOff>
      <xdr:row>26</xdr:row>
      <xdr:rowOff>114300</xdr:rowOff>
    </xdr:from>
    <xdr:to>
      <xdr:col>6</xdr:col>
      <xdr:colOff>561975</xdr:colOff>
      <xdr:row>39</xdr:row>
      <xdr:rowOff>85725</xdr:rowOff>
    </xdr:to>
    <xdr:sp>
      <xdr:nvSpPr>
        <xdr:cNvPr id="6" name="Line 6"/>
        <xdr:cNvSpPr>
          <a:spLocks/>
        </xdr:cNvSpPr>
      </xdr:nvSpPr>
      <xdr:spPr>
        <a:xfrm flipV="1">
          <a:off x="4676775" y="4324350"/>
          <a:ext cx="0" cy="2076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561975</xdr:colOff>
      <xdr:row>28</xdr:row>
      <xdr:rowOff>28575</xdr:rowOff>
    </xdr:from>
    <xdr:to>
      <xdr:col>8</xdr:col>
      <xdr:colOff>323850</xdr:colOff>
      <xdr:row>28</xdr:row>
      <xdr:rowOff>28575</xdr:rowOff>
    </xdr:to>
    <xdr:sp>
      <xdr:nvSpPr>
        <xdr:cNvPr id="7" name="Line 7"/>
        <xdr:cNvSpPr>
          <a:spLocks/>
        </xdr:cNvSpPr>
      </xdr:nvSpPr>
      <xdr:spPr>
        <a:xfrm>
          <a:off x="4676775" y="4562475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28575</xdr:colOff>
      <xdr:row>27</xdr:row>
      <xdr:rowOff>28575</xdr:rowOff>
    </xdr:from>
    <xdr:to>
      <xdr:col>8</xdr:col>
      <xdr:colOff>19050</xdr:colOff>
      <xdr:row>28</xdr:row>
      <xdr:rowOff>28575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4829175" y="4400550"/>
          <a:ext cx="6762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Predikcia</a:t>
          </a:r>
        </a:p>
      </xdr:txBody>
    </xdr:sp>
    <xdr:clientData/>
  </xdr:twoCellAnchor>
  <xdr:twoCellAnchor>
    <xdr:from>
      <xdr:col>0</xdr:col>
      <xdr:colOff>57150</xdr:colOff>
      <xdr:row>45</xdr:row>
      <xdr:rowOff>19050</xdr:rowOff>
    </xdr:from>
    <xdr:to>
      <xdr:col>9</xdr:col>
      <xdr:colOff>657225</xdr:colOff>
      <xdr:row>65</xdr:row>
      <xdr:rowOff>133350</xdr:rowOff>
    </xdr:to>
    <xdr:graphicFrame>
      <xdr:nvGraphicFramePr>
        <xdr:cNvPr id="9" name="Chart 9"/>
        <xdr:cNvGraphicFramePr/>
      </xdr:nvGraphicFramePr>
      <xdr:xfrm>
        <a:off x="57150" y="7305675"/>
        <a:ext cx="6772275" cy="3352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66675</xdr:colOff>
      <xdr:row>48</xdr:row>
      <xdr:rowOff>123825</xdr:rowOff>
    </xdr:from>
    <xdr:to>
      <xdr:col>6</xdr:col>
      <xdr:colOff>66675</xdr:colOff>
      <xdr:row>61</xdr:row>
      <xdr:rowOff>142875</xdr:rowOff>
    </xdr:to>
    <xdr:sp>
      <xdr:nvSpPr>
        <xdr:cNvPr id="10" name="Line 11"/>
        <xdr:cNvSpPr>
          <a:spLocks/>
        </xdr:cNvSpPr>
      </xdr:nvSpPr>
      <xdr:spPr>
        <a:xfrm flipV="1">
          <a:off x="4181475" y="7896225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85725</xdr:colOff>
      <xdr:row>50</xdr:row>
      <xdr:rowOff>104775</xdr:rowOff>
    </xdr:from>
    <xdr:to>
      <xdr:col>7</xdr:col>
      <xdr:colOff>476250</xdr:colOff>
      <xdr:row>50</xdr:row>
      <xdr:rowOff>104775</xdr:rowOff>
    </xdr:to>
    <xdr:sp>
      <xdr:nvSpPr>
        <xdr:cNvPr id="11" name="Line 12"/>
        <xdr:cNvSpPr>
          <a:spLocks/>
        </xdr:cNvSpPr>
      </xdr:nvSpPr>
      <xdr:spPr>
        <a:xfrm>
          <a:off x="4200525" y="820102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257175</xdr:colOff>
      <xdr:row>49</xdr:row>
      <xdr:rowOff>57150</xdr:rowOff>
    </xdr:from>
    <xdr:to>
      <xdr:col>7</xdr:col>
      <xdr:colOff>247650</xdr:colOff>
      <xdr:row>50</xdr:row>
      <xdr:rowOff>66675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4371975" y="7991475"/>
          <a:ext cx="6762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Predikcia</a:t>
          </a:r>
        </a:p>
      </xdr:txBody>
    </xdr:sp>
    <xdr:clientData/>
  </xdr:twoCellAnchor>
  <xdr:twoCellAnchor>
    <xdr:from>
      <xdr:col>0</xdr:col>
      <xdr:colOff>66675</xdr:colOff>
      <xdr:row>67</xdr:row>
      <xdr:rowOff>28575</xdr:rowOff>
    </xdr:from>
    <xdr:to>
      <xdr:col>9</xdr:col>
      <xdr:colOff>657225</xdr:colOff>
      <xdr:row>87</xdr:row>
      <xdr:rowOff>114300</xdr:rowOff>
    </xdr:to>
    <xdr:graphicFrame>
      <xdr:nvGraphicFramePr>
        <xdr:cNvPr id="13" name="Chart 14"/>
        <xdr:cNvGraphicFramePr/>
      </xdr:nvGraphicFramePr>
      <xdr:xfrm>
        <a:off x="66675" y="10877550"/>
        <a:ext cx="6762750" cy="3324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76200</xdr:rowOff>
    </xdr:from>
    <xdr:to>
      <xdr:col>9</xdr:col>
      <xdr:colOff>676275</xdr:colOff>
      <xdr:row>20</xdr:row>
      <xdr:rowOff>152400</xdr:rowOff>
    </xdr:to>
    <xdr:graphicFrame>
      <xdr:nvGraphicFramePr>
        <xdr:cNvPr id="1" name="Chart 5"/>
        <xdr:cNvGraphicFramePr/>
      </xdr:nvGraphicFramePr>
      <xdr:xfrm>
        <a:off x="95250" y="76200"/>
        <a:ext cx="68389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23</xdr:row>
      <xdr:rowOff>38100</xdr:rowOff>
    </xdr:from>
    <xdr:to>
      <xdr:col>9</xdr:col>
      <xdr:colOff>619125</xdr:colOff>
      <xdr:row>43</xdr:row>
      <xdr:rowOff>104775</xdr:rowOff>
    </xdr:to>
    <xdr:graphicFrame>
      <xdr:nvGraphicFramePr>
        <xdr:cNvPr id="1" name="Chart 5"/>
        <xdr:cNvGraphicFramePr/>
      </xdr:nvGraphicFramePr>
      <xdr:xfrm>
        <a:off x="57150" y="3762375"/>
        <a:ext cx="681990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371475</xdr:colOff>
      <xdr:row>26</xdr:row>
      <xdr:rowOff>104775</xdr:rowOff>
    </xdr:from>
    <xdr:to>
      <xdr:col>6</xdr:col>
      <xdr:colOff>371475</xdr:colOff>
      <xdr:row>39</xdr:row>
      <xdr:rowOff>85725</xdr:rowOff>
    </xdr:to>
    <xdr:sp>
      <xdr:nvSpPr>
        <xdr:cNvPr id="2" name="Line 6"/>
        <xdr:cNvSpPr>
          <a:spLocks/>
        </xdr:cNvSpPr>
      </xdr:nvSpPr>
      <xdr:spPr>
        <a:xfrm flipV="1">
          <a:off x="4543425" y="4314825"/>
          <a:ext cx="0" cy="2085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361950</xdr:colOff>
      <xdr:row>31</xdr:row>
      <xdr:rowOff>47625</xdr:rowOff>
    </xdr:from>
    <xdr:to>
      <xdr:col>8</xdr:col>
      <xdr:colOff>28575</xdr:colOff>
      <xdr:row>31</xdr:row>
      <xdr:rowOff>47625</xdr:rowOff>
    </xdr:to>
    <xdr:sp>
      <xdr:nvSpPr>
        <xdr:cNvPr id="3" name="Line 7"/>
        <xdr:cNvSpPr>
          <a:spLocks/>
        </xdr:cNvSpPr>
      </xdr:nvSpPr>
      <xdr:spPr>
        <a:xfrm>
          <a:off x="4533900" y="50673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533400</xdr:colOff>
      <xdr:row>30</xdr:row>
      <xdr:rowOff>9525</xdr:rowOff>
    </xdr:from>
    <xdr:to>
      <xdr:col>7</xdr:col>
      <xdr:colOff>523875</xdr:colOff>
      <xdr:row>31</xdr:row>
      <xdr:rowOff>9525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4705350" y="4867275"/>
          <a:ext cx="6858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Predikcia</a:t>
          </a:r>
        </a:p>
      </xdr:txBody>
    </xdr:sp>
    <xdr:clientData/>
  </xdr:twoCellAnchor>
  <xdr:twoCellAnchor>
    <xdr:from>
      <xdr:col>0</xdr:col>
      <xdr:colOff>47625</xdr:colOff>
      <xdr:row>45</xdr:row>
      <xdr:rowOff>38100</xdr:rowOff>
    </xdr:from>
    <xdr:to>
      <xdr:col>9</xdr:col>
      <xdr:colOff>609600</xdr:colOff>
      <xdr:row>65</xdr:row>
      <xdr:rowOff>142875</xdr:rowOff>
    </xdr:to>
    <xdr:graphicFrame>
      <xdr:nvGraphicFramePr>
        <xdr:cNvPr id="5" name="Chart 9"/>
        <xdr:cNvGraphicFramePr/>
      </xdr:nvGraphicFramePr>
      <xdr:xfrm>
        <a:off x="47625" y="7324725"/>
        <a:ext cx="6819900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67</xdr:row>
      <xdr:rowOff>38100</xdr:rowOff>
    </xdr:from>
    <xdr:to>
      <xdr:col>9</xdr:col>
      <xdr:colOff>628650</xdr:colOff>
      <xdr:row>87</xdr:row>
      <xdr:rowOff>114300</xdr:rowOff>
    </xdr:to>
    <xdr:graphicFrame>
      <xdr:nvGraphicFramePr>
        <xdr:cNvPr id="6" name="Chart 10"/>
        <xdr:cNvGraphicFramePr/>
      </xdr:nvGraphicFramePr>
      <xdr:xfrm>
        <a:off x="47625" y="10887075"/>
        <a:ext cx="6838950" cy="3314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1</xdr:row>
      <xdr:rowOff>38100</xdr:rowOff>
    </xdr:from>
    <xdr:to>
      <xdr:col>9</xdr:col>
      <xdr:colOff>609600</xdr:colOff>
      <xdr:row>21</xdr:row>
      <xdr:rowOff>114300</xdr:rowOff>
    </xdr:to>
    <xdr:graphicFrame>
      <xdr:nvGraphicFramePr>
        <xdr:cNvPr id="7" name="Chart 11"/>
        <xdr:cNvGraphicFramePr/>
      </xdr:nvGraphicFramePr>
      <xdr:xfrm>
        <a:off x="47625" y="200025"/>
        <a:ext cx="6819900" cy="3314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0.617</cdr:x>
      <cdr:y>0.16625</cdr:y>
    </cdr:from>
    <cdr:to>
      <cdr:x>0.617</cdr:x>
      <cdr:y>0.83425</cdr:y>
    </cdr:to>
    <cdr:sp>
      <cdr:nvSpPr>
        <cdr:cNvPr id="1" name="Line 1"/>
        <cdr:cNvSpPr>
          <a:spLocks/>
        </cdr:cNvSpPr>
      </cdr:nvSpPr>
      <cdr:spPr>
        <a:xfrm flipV="1">
          <a:off x="4076700" y="571500"/>
          <a:ext cx="0" cy="2295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9</xdr:col>
      <xdr:colOff>666750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228600" y="161925"/>
        <a:ext cx="66960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647700</xdr:colOff>
      <xdr:row>7</xdr:row>
      <xdr:rowOff>95250</xdr:rowOff>
    </xdr:from>
    <xdr:to>
      <xdr:col>7</xdr:col>
      <xdr:colOff>628650</xdr:colOff>
      <xdr:row>8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819650" y="1228725"/>
          <a:ext cx="6762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Predikcia</a:t>
          </a:r>
        </a:p>
      </xdr:txBody>
    </xdr:sp>
    <xdr:clientData/>
  </xdr:twoCellAnchor>
  <xdr:twoCellAnchor>
    <xdr:from>
      <xdr:col>0</xdr:col>
      <xdr:colOff>133350</xdr:colOff>
      <xdr:row>24</xdr:row>
      <xdr:rowOff>19050</xdr:rowOff>
    </xdr:from>
    <xdr:to>
      <xdr:col>9</xdr:col>
      <xdr:colOff>495300</xdr:colOff>
      <xdr:row>45</xdr:row>
      <xdr:rowOff>57150</xdr:rowOff>
    </xdr:to>
    <xdr:graphicFrame>
      <xdr:nvGraphicFramePr>
        <xdr:cNvPr id="3" name="Chart 3"/>
        <xdr:cNvGraphicFramePr/>
      </xdr:nvGraphicFramePr>
      <xdr:xfrm>
        <a:off x="133350" y="3905250"/>
        <a:ext cx="6619875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57150</xdr:colOff>
      <xdr:row>29</xdr:row>
      <xdr:rowOff>85725</xdr:rowOff>
    </xdr:from>
    <xdr:to>
      <xdr:col>7</xdr:col>
      <xdr:colOff>323850</xdr:colOff>
      <xdr:row>29</xdr:row>
      <xdr:rowOff>85725</xdr:rowOff>
    </xdr:to>
    <xdr:sp>
      <xdr:nvSpPr>
        <xdr:cNvPr id="4" name="Line 4"/>
        <xdr:cNvSpPr>
          <a:spLocks/>
        </xdr:cNvSpPr>
      </xdr:nvSpPr>
      <xdr:spPr>
        <a:xfrm>
          <a:off x="4229100" y="47815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142875</xdr:colOff>
      <xdr:row>28</xdr:row>
      <xdr:rowOff>28575</xdr:rowOff>
    </xdr:from>
    <xdr:to>
      <xdr:col>7</xdr:col>
      <xdr:colOff>180975</xdr:colOff>
      <xdr:row>29</xdr:row>
      <xdr:rowOff>9525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314825" y="4562475"/>
          <a:ext cx="7334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Predikcia</a:t>
          </a:r>
        </a:p>
      </xdr:txBody>
    </xdr:sp>
    <xdr:clientData/>
  </xdr:twoCellAnchor>
  <xdr:twoCellAnchor>
    <xdr:from>
      <xdr:col>0</xdr:col>
      <xdr:colOff>95250</xdr:colOff>
      <xdr:row>46</xdr:row>
      <xdr:rowOff>28575</xdr:rowOff>
    </xdr:from>
    <xdr:to>
      <xdr:col>9</xdr:col>
      <xdr:colOff>495300</xdr:colOff>
      <xdr:row>66</xdr:row>
      <xdr:rowOff>104775</xdr:rowOff>
    </xdr:to>
    <xdr:graphicFrame>
      <xdr:nvGraphicFramePr>
        <xdr:cNvPr id="6" name="Chart 6"/>
        <xdr:cNvGraphicFramePr/>
      </xdr:nvGraphicFramePr>
      <xdr:xfrm>
        <a:off x="95250" y="7477125"/>
        <a:ext cx="6657975" cy="3314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314325</xdr:colOff>
      <xdr:row>53</xdr:row>
      <xdr:rowOff>152400</xdr:rowOff>
    </xdr:from>
    <xdr:to>
      <xdr:col>7</xdr:col>
      <xdr:colOff>647700</xdr:colOff>
      <xdr:row>53</xdr:row>
      <xdr:rowOff>152400</xdr:rowOff>
    </xdr:to>
    <xdr:sp>
      <xdr:nvSpPr>
        <xdr:cNvPr id="7" name="Line 8"/>
        <xdr:cNvSpPr>
          <a:spLocks/>
        </xdr:cNvSpPr>
      </xdr:nvSpPr>
      <xdr:spPr>
        <a:xfrm>
          <a:off x="4486275" y="8734425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419100</xdr:colOff>
      <xdr:row>52</xdr:row>
      <xdr:rowOff>95250</xdr:rowOff>
    </xdr:from>
    <xdr:to>
      <xdr:col>7</xdr:col>
      <xdr:colOff>495300</xdr:colOff>
      <xdr:row>53</xdr:row>
      <xdr:rowOff>76200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4591050" y="8515350"/>
          <a:ext cx="7715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Predikcia</a:t>
          </a:r>
        </a:p>
      </xdr:txBody>
    </xdr:sp>
    <xdr:clientData/>
  </xdr:twoCellAnchor>
  <xdr:twoCellAnchor>
    <xdr:from>
      <xdr:col>0</xdr:col>
      <xdr:colOff>161925</xdr:colOff>
      <xdr:row>66</xdr:row>
      <xdr:rowOff>0</xdr:rowOff>
    </xdr:from>
    <xdr:to>
      <xdr:col>9</xdr:col>
      <xdr:colOff>571500</xdr:colOff>
      <xdr:row>66</xdr:row>
      <xdr:rowOff>0</xdr:rowOff>
    </xdr:to>
    <xdr:graphicFrame>
      <xdr:nvGraphicFramePr>
        <xdr:cNvPr id="9" name="Chart 10"/>
        <xdr:cNvGraphicFramePr/>
      </xdr:nvGraphicFramePr>
      <xdr:xfrm>
        <a:off x="161925" y="10687050"/>
        <a:ext cx="6667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666750</xdr:colOff>
      <xdr:row>66</xdr:row>
      <xdr:rowOff>0</xdr:rowOff>
    </xdr:from>
    <xdr:to>
      <xdr:col>2</xdr:col>
      <xdr:colOff>247650</xdr:colOff>
      <xdr:row>66</xdr:row>
      <xdr:rowOff>0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1362075" y="10687050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1993</a:t>
          </a:r>
        </a:p>
      </xdr:txBody>
    </xdr:sp>
    <xdr:clientData/>
  </xdr:twoCellAnchor>
  <xdr:twoCellAnchor>
    <xdr:from>
      <xdr:col>2</xdr:col>
      <xdr:colOff>561975</xdr:colOff>
      <xdr:row>66</xdr:row>
      <xdr:rowOff>0</xdr:rowOff>
    </xdr:from>
    <xdr:to>
      <xdr:col>3</xdr:col>
      <xdr:colOff>180975</xdr:colOff>
      <xdr:row>66</xdr:row>
      <xdr:rowOff>0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1952625" y="10687050"/>
          <a:ext cx="31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1994</a:t>
          </a:r>
        </a:p>
      </xdr:txBody>
    </xdr:sp>
    <xdr:clientData/>
  </xdr:twoCellAnchor>
  <xdr:twoCellAnchor>
    <xdr:from>
      <xdr:col>3</xdr:col>
      <xdr:colOff>447675</xdr:colOff>
      <xdr:row>66</xdr:row>
      <xdr:rowOff>0</xdr:rowOff>
    </xdr:from>
    <xdr:to>
      <xdr:col>4</xdr:col>
      <xdr:colOff>76200</xdr:colOff>
      <xdr:row>66</xdr:row>
      <xdr:rowOff>0</xdr:rowOff>
    </xdr:to>
    <xdr:sp>
      <xdr:nvSpPr>
        <xdr:cNvPr id="12" name="TextBox 14"/>
        <xdr:cNvSpPr txBox="1">
          <a:spLocks noChangeArrowheads="1"/>
        </xdr:cNvSpPr>
      </xdr:nvSpPr>
      <xdr:spPr>
        <a:xfrm>
          <a:off x="2533650" y="10687050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1995</a:t>
          </a:r>
        </a:p>
      </xdr:txBody>
    </xdr:sp>
    <xdr:clientData/>
  </xdr:twoCellAnchor>
  <xdr:twoCellAnchor>
    <xdr:from>
      <xdr:col>3</xdr:col>
      <xdr:colOff>647700</xdr:colOff>
      <xdr:row>66</xdr:row>
      <xdr:rowOff>0</xdr:rowOff>
    </xdr:from>
    <xdr:to>
      <xdr:col>4</xdr:col>
      <xdr:colOff>352425</xdr:colOff>
      <xdr:row>66</xdr:row>
      <xdr:rowOff>0</xdr:rowOff>
    </xdr:to>
    <xdr:sp>
      <xdr:nvSpPr>
        <xdr:cNvPr id="13" name="TextBox 15"/>
        <xdr:cNvSpPr txBox="1">
          <a:spLocks noChangeArrowheads="1"/>
        </xdr:cNvSpPr>
      </xdr:nvSpPr>
      <xdr:spPr>
        <a:xfrm>
          <a:off x="2733675" y="106870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1996</a:t>
          </a:r>
        </a:p>
      </xdr:txBody>
    </xdr:sp>
    <xdr:clientData/>
  </xdr:twoCellAnchor>
  <xdr:twoCellAnchor>
    <xdr:from>
      <xdr:col>4</xdr:col>
      <xdr:colOff>514350</xdr:colOff>
      <xdr:row>66</xdr:row>
      <xdr:rowOff>0</xdr:rowOff>
    </xdr:from>
    <xdr:to>
      <xdr:col>5</xdr:col>
      <xdr:colOff>171450</xdr:colOff>
      <xdr:row>66</xdr:row>
      <xdr:rowOff>0</xdr:rowOff>
    </xdr:to>
    <xdr:sp>
      <xdr:nvSpPr>
        <xdr:cNvPr id="14" name="TextBox 16"/>
        <xdr:cNvSpPr txBox="1">
          <a:spLocks noChangeArrowheads="1"/>
        </xdr:cNvSpPr>
      </xdr:nvSpPr>
      <xdr:spPr>
        <a:xfrm>
          <a:off x="3295650" y="1068705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1997</a:t>
          </a:r>
        </a:p>
      </xdr:txBody>
    </xdr:sp>
    <xdr:clientData/>
  </xdr:twoCellAnchor>
  <xdr:twoCellAnchor>
    <xdr:from>
      <xdr:col>5</xdr:col>
      <xdr:colOff>447675</xdr:colOff>
      <xdr:row>66</xdr:row>
      <xdr:rowOff>0</xdr:rowOff>
    </xdr:from>
    <xdr:to>
      <xdr:col>6</xdr:col>
      <xdr:colOff>276225</xdr:colOff>
      <xdr:row>66</xdr:row>
      <xdr:rowOff>0</xdr:rowOff>
    </xdr:to>
    <xdr:sp>
      <xdr:nvSpPr>
        <xdr:cNvPr id="15" name="TextBox 17"/>
        <xdr:cNvSpPr txBox="1">
          <a:spLocks noChangeArrowheads="1"/>
        </xdr:cNvSpPr>
      </xdr:nvSpPr>
      <xdr:spPr>
        <a:xfrm>
          <a:off x="3924300" y="1068705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1998</a:t>
          </a:r>
        </a:p>
      </xdr:txBody>
    </xdr:sp>
    <xdr:clientData/>
  </xdr:twoCellAnchor>
  <xdr:twoCellAnchor>
    <xdr:from>
      <xdr:col>5</xdr:col>
      <xdr:colOff>457200</xdr:colOff>
      <xdr:row>66</xdr:row>
      <xdr:rowOff>0</xdr:rowOff>
    </xdr:from>
    <xdr:to>
      <xdr:col>6</xdr:col>
      <xdr:colOff>57150</xdr:colOff>
      <xdr:row>66</xdr:row>
      <xdr:rowOff>0</xdr:rowOff>
    </xdr:to>
    <xdr:sp>
      <xdr:nvSpPr>
        <xdr:cNvPr id="16" name="TextBox 18"/>
        <xdr:cNvSpPr txBox="1">
          <a:spLocks noChangeArrowheads="1"/>
        </xdr:cNvSpPr>
      </xdr:nvSpPr>
      <xdr:spPr>
        <a:xfrm>
          <a:off x="3933825" y="10687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1999</a:t>
          </a:r>
        </a:p>
      </xdr:txBody>
    </xdr:sp>
    <xdr:clientData/>
  </xdr:twoCellAnchor>
  <xdr:twoCellAnchor>
    <xdr:from>
      <xdr:col>6</xdr:col>
      <xdr:colOff>219075</xdr:colOff>
      <xdr:row>66</xdr:row>
      <xdr:rowOff>0</xdr:rowOff>
    </xdr:from>
    <xdr:to>
      <xdr:col>6</xdr:col>
      <xdr:colOff>533400</xdr:colOff>
      <xdr:row>66</xdr:row>
      <xdr:rowOff>0</xdr:rowOff>
    </xdr:to>
    <xdr:sp>
      <xdr:nvSpPr>
        <xdr:cNvPr id="17" name="TextBox 19"/>
        <xdr:cNvSpPr txBox="1">
          <a:spLocks noChangeArrowheads="1"/>
        </xdr:cNvSpPr>
      </xdr:nvSpPr>
      <xdr:spPr>
        <a:xfrm>
          <a:off x="4391025" y="10687050"/>
          <a:ext cx="31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2000</a:t>
          </a:r>
        </a:p>
      </xdr:txBody>
    </xdr:sp>
    <xdr:clientData/>
  </xdr:twoCellAnchor>
  <xdr:twoCellAnchor>
    <xdr:from>
      <xdr:col>6</xdr:col>
      <xdr:colOff>514350</xdr:colOff>
      <xdr:row>66</xdr:row>
      <xdr:rowOff>0</xdr:rowOff>
    </xdr:from>
    <xdr:to>
      <xdr:col>7</xdr:col>
      <xdr:colOff>123825</xdr:colOff>
      <xdr:row>66</xdr:row>
      <xdr:rowOff>0</xdr:rowOff>
    </xdr:to>
    <xdr:sp>
      <xdr:nvSpPr>
        <xdr:cNvPr id="18" name="TextBox 20"/>
        <xdr:cNvSpPr txBox="1">
          <a:spLocks noChangeArrowheads="1"/>
        </xdr:cNvSpPr>
      </xdr:nvSpPr>
      <xdr:spPr>
        <a:xfrm>
          <a:off x="4686300" y="1068705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2001</a:t>
          </a:r>
        </a:p>
      </xdr:txBody>
    </xdr:sp>
    <xdr:clientData/>
  </xdr:twoCellAnchor>
  <xdr:twoCellAnchor>
    <xdr:from>
      <xdr:col>7</xdr:col>
      <xdr:colOff>228600</xdr:colOff>
      <xdr:row>66</xdr:row>
      <xdr:rowOff>0</xdr:rowOff>
    </xdr:from>
    <xdr:to>
      <xdr:col>7</xdr:col>
      <xdr:colOff>523875</xdr:colOff>
      <xdr:row>66</xdr:row>
      <xdr:rowOff>0</xdr:rowOff>
    </xdr:to>
    <xdr:sp>
      <xdr:nvSpPr>
        <xdr:cNvPr id="19" name="TextBox 21"/>
        <xdr:cNvSpPr txBox="1">
          <a:spLocks noChangeArrowheads="1"/>
        </xdr:cNvSpPr>
      </xdr:nvSpPr>
      <xdr:spPr>
        <a:xfrm>
          <a:off x="5095875" y="1068705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2002</a:t>
          </a:r>
        </a:p>
      </xdr:txBody>
    </xdr:sp>
    <xdr:clientData/>
  </xdr:twoCellAnchor>
  <xdr:twoCellAnchor>
    <xdr:from>
      <xdr:col>8</xdr:col>
      <xdr:colOff>0</xdr:colOff>
      <xdr:row>66</xdr:row>
      <xdr:rowOff>0</xdr:rowOff>
    </xdr:from>
    <xdr:to>
      <xdr:col>8</xdr:col>
      <xdr:colOff>371475</xdr:colOff>
      <xdr:row>66</xdr:row>
      <xdr:rowOff>0</xdr:rowOff>
    </xdr:to>
    <xdr:sp>
      <xdr:nvSpPr>
        <xdr:cNvPr id="20" name="TextBox 22"/>
        <xdr:cNvSpPr txBox="1">
          <a:spLocks noChangeArrowheads="1"/>
        </xdr:cNvSpPr>
      </xdr:nvSpPr>
      <xdr:spPr>
        <a:xfrm>
          <a:off x="5562600" y="10687050"/>
          <a:ext cx="371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2003</a:t>
          </a:r>
        </a:p>
      </xdr:txBody>
    </xdr:sp>
    <xdr:clientData/>
  </xdr:twoCellAnchor>
  <xdr:twoCellAnchor>
    <xdr:from>
      <xdr:col>8</xdr:col>
      <xdr:colOff>609600</xdr:colOff>
      <xdr:row>66</xdr:row>
      <xdr:rowOff>0</xdr:rowOff>
    </xdr:from>
    <xdr:to>
      <xdr:col>9</xdr:col>
      <xdr:colOff>257175</xdr:colOff>
      <xdr:row>66</xdr:row>
      <xdr:rowOff>0</xdr:rowOff>
    </xdr:to>
    <xdr:sp>
      <xdr:nvSpPr>
        <xdr:cNvPr id="21" name="TextBox 23"/>
        <xdr:cNvSpPr txBox="1">
          <a:spLocks noChangeArrowheads="1"/>
        </xdr:cNvSpPr>
      </xdr:nvSpPr>
      <xdr:spPr>
        <a:xfrm>
          <a:off x="6172200" y="10687050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2004</a:t>
          </a:r>
        </a:p>
      </xdr:txBody>
    </xdr:sp>
    <xdr:clientData/>
  </xdr:twoCellAnchor>
  <xdr:twoCellAnchor>
    <xdr:from>
      <xdr:col>6</xdr:col>
      <xdr:colOff>514350</xdr:colOff>
      <xdr:row>66</xdr:row>
      <xdr:rowOff>0</xdr:rowOff>
    </xdr:from>
    <xdr:to>
      <xdr:col>6</xdr:col>
      <xdr:colOff>514350</xdr:colOff>
      <xdr:row>66</xdr:row>
      <xdr:rowOff>0</xdr:rowOff>
    </xdr:to>
    <xdr:sp>
      <xdr:nvSpPr>
        <xdr:cNvPr id="22" name="Line 25"/>
        <xdr:cNvSpPr>
          <a:spLocks/>
        </xdr:cNvSpPr>
      </xdr:nvSpPr>
      <xdr:spPr>
        <a:xfrm>
          <a:off x="4686300" y="1068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19050</xdr:colOff>
      <xdr:row>66</xdr:row>
      <xdr:rowOff>0</xdr:rowOff>
    </xdr:from>
    <xdr:to>
      <xdr:col>7</xdr:col>
      <xdr:colOff>619125</xdr:colOff>
      <xdr:row>66</xdr:row>
      <xdr:rowOff>0</xdr:rowOff>
    </xdr:to>
    <xdr:sp>
      <xdr:nvSpPr>
        <xdr:cNvPr id="23" name="TextBox 27"/>
        <xdr:cNvSpPr txBox="1">
          <a:spLocks noChangeArrowheads="1"/>
        </xdr:cNvSpPr>
      </xdr:nvSpPr>
      <xdr:spPr>
        <a:xfrm>
          <a:off x="4886325" y="10687050"/>
          <a:ext cx="60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Predikcia</a:t>
          </a:r>
        </a:p>
      </xdr:txBody>
    </xdr:sp>
    <xdr:clientData/>
  </xdr:twoCellAnchor>
  <xdr:twoCellAnchor>
    <xdr:from>
      <xdr:col>5</xdr:col>
      <xdr:colOff>381000</xdr:colOff>
      <xdr:row>66</xdr:row>
      <xdr:rowOff>0</xdr:rowOff>
    </xdr:from>
    <xdr:to>
      <xdr:col>5</xdr:col>
      <xdr:colOff>381000</xdr:colOff>
      <xdr:row>66</xdr:row>
      <xdr:rowOff>0</xdr:rowOff>
    </xdr:to>
    <xdr:sp>
      <xdr:nvSpPr>
        <xdr:cNvPr id="24" name="Line 31"/>
        <xdr:cNvSpPr>
          <a:spLocks/>
        </xdr:cNvSpPr>
      </xdr:nvSpPr>
      <xdr:spPr>
        <a:xfrm flipV="1">
          <a:off x="3857625" y="1068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</xdr:colOff>
      <xdr:row>66</xdr:row>
      <xdr:rowOff>0</xdr:rowOff>
    </xdr:from>
    <xdr:to>
      <xdr:col>3</xdr:col>
      <xdr:colOff>609600</xdr:colOff>
      <xdr:row>66</xdr:row>
      <xdr:rowOff>0</xdr:rowOff>
    </xdr:to>
    <xdr:sp>
      <xdr:nvSpPr>
        <xdr:cNvPr id="25" name="TextBox 32"/>
        <xdr:cNvSpPr txBox="1">
          <a:spLocks noChangeArrowheads="1"/>
        </xdr:cNvSpPr>
      </xdr:nvSpPr>
      <xdr:spPr>
        <a:xfrm>
          <a:off x="1419225" y="10687050"/>
          <a:ext cx="1276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oblasť deficitu
čistý export je záporný</a:t>
          </a:r>
        </a:p>
      </xdr:txBody>
    </xdr:sp>
    <xdr:clientData/>
  </xdr:twoCellAnchor>
  <xdr:twoCellAnchor>
    <xdr:from>
      <xdr:col>7</xdr:col>
      <xdr:colOff>209550</xdr:colOff>
      <xdr:row>66</xdr:row>
      <xdr:rowOff>0</xdr:rowOff>
    </xdr:from>
    <xdr:to>
      <xdr:col>8</xdr:col>
      <xdr:colOff>676275</xdr:colOff>
      <xdr:row>66</xdr:row>
      <xdr:rowOff>0</xdr:rowOff>
    </xdr:to>
    <xdr:sp>
      <xdr:nvSpPr>
        <xdr:cNvPr id="26" name="TextBox 33"/>
        <xdr:cNvSpPr txBox="1">
          <a:spLocks noChangeArrowheads="1"/>
        </xdr:cNvSpPr>
      </xdr:nvSpPr>
      <xdr:spPr>
        <a:xfrm>
          <a:off x="5076825" y="10687050"/>
          <a:ext cx="1162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oblasť prebytku
čistý export je kladný</a:t>
          </a:r>
        </a:p>
      </xdr:txBody>
    </xdr:sp>
    <xdr:clientData/>
  </xdr:twoCellAnchor>
  <xdr:twoCellAnchor>
    <xdr:from>
      <xdr:col>6</xdr:col>
      <xdr:colOff>276225</xdr:colOff>
      <xdr:row>49</xdr:row>
      <xdr:rowOff>38100</xdr:rowOff>
    </xdr:from>
    <xdr:to>
      <xdr:col>6</xdr:col>
      <xdr:colOff>276225</xdr:colOff>
      <xdr:row>62</xdr:row>
      <xdr:rowOff>142875</xdr:rowOff>
    </xdr:to>
    <xdr:sp>
      <xdr:nvSpPr>
        <xdr:cNvPr id="27" name="Line 34"/>
        <xdr:cNvSpPr>
          <a:spLocks/>
        </xdr:cNvSpPr>
      </xdr:nvSpPr>
      <xdr:spPr>
        <a:xfrm flipV="1">
          <a:off x="4448175" y="7972425"/>
          <a:ext cx="0" cy="220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0.6895</cdr:x>
      <cdr:y>0.65825</cdr:y>
    </cdr:from>
    <cdr:to>
      <cdr:x>0.78575</cdr:x>
      <cdr:y>0.71</cdr:y>
    </cdr:to>
    <cdr:sp>
      <cdr:nvSpPr>
        <cdr:cNvPr id="1" name="TextBox 1"/>
        <cdr:cNvSpPr txBox="1">
          <a:spLocks noChangeArrowheads="1"/>
        </cdr:cNvSpPr>
      </cdr:nvSpPr>
      <cdr:spPr>
        <a:xfrm>
          <a:off x="4629150" y="2181225"/>
          <a:ext cx="647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Predikcia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0.74725</cdr:x>
      <cdr:y>0.23325</cdr:y>
    </cdr:from>
    <cdr:to>
      <cdr:x>0.753</cdr:x>
      <cdr:y>0.24475</cdr:y>
    </cdr:to>
    <cdr:sp>
      <cdr:nvSpPr>
        <cdr:cNvPr id="1" name="TextBox 4"/>
        <cdr:cNvSpPr txBox="1">
          <a:spLocks noChangeArrowheads="1"/>
        </cdr:cNvSpPr>
      </cdr:nvSpPr>
      <cdr:spPr>
        <a:xfrm>
          <a:off x="5019675" y="771525"/>
          <a:ext cx="38100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latin typeface="Arial CE"/>
              <a:ea typeface="Arial CE"/>
              <a:cs typeface="Arial CE"/>
            </a:rPr>
            <a:t>Predikcia</a:t>
          </a:r>
        </a:p>
      </cdr:txBody>
    </cdr:sp>
  </cdr:relSizeAnchor>
  <cdr:relSizeAnchor xmlns:cdr="http://schemas.openxmlformats.org/drawingml/2006/chartDrawing">
    <cdr:from>
      <cdr:x>0.715</cdr:x>
      <cdr:y>0.2615</cdr:y>
    </cdr:from>
    <cdr:to>
      <cdr:x>0.72075</cdr:x>
      <cdr:y>0.273</cdr:y>
    </cdr:to>
    <cdr:sp>
      <cdr:nvSpPr>
        <cdr:cNvPr id="2" name="TextBox 6"/>
        <cdr:cNvSpPr txBox="1">
          <a:spLocks noChangeArrowheads="1"/>
        </cdr:cNvSpPr>
      </cdr:nvSpPr>
      <cdr:spPr>
        <a:xfrm>
          <a:off x="4800600" y="866775"/>
          <a:ext cx="38100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latin typeface="Arial CE"/>
              <a:ea typeface="Arial CE"/>
              <a:cs typeface="Arial CE"/>
            </a:rPr>
            <a:t>Predikcia</a:t>
          </a:r>
        </a:p>
      </cdr:txBody>
    </cdr:sp>
  </cdr:relSizeAnchor>
  <cdr:relSizeAnchor xmlns:cdr="http://schemas.openxmlformats.org/drawingml/2006/chartDrawing">
    <cdr:from>
      <cdr:x>0.65975</cdr:x>
      <cdr:y>0.209</cdr:y>
    </cdr:from>
    <cdr:to>
      <cdr:x>0.65975</cdr:x>
      <cdr:y>0.82175</cdr:y>
    </cdr:to>
    <cdr:sp>
      <cdr:nvSpPr>
        <cdr:cNvPr id="3" name="Line 8"/>
        <cdr:cNvSpPr>
          <a:spLocks/>
        </cdr:cNvSpPr>
      </cdr:nvSpPr>
      <cdr:spPr>
        <a:xfrm flipV="1">
          <a:off x="4429125" y="695325"/>
          <a:ext cx="0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0.65975</cdr:x>
      <cdr:y>0.342</cdr:y>
    </cdr:from>
    <cdr:to>
      <cdr:x>0.8045</cdr:x>
      <cdr:y>0.34275</cdr:y>
    </cdr:to>
    <cdr:sp>
      <cdr:nvSpPr>
        <cdr:cNvPr id="4" name="Line 9"/>
        <cdr:cNvSpPr>
          <a:spLocks/>
        </cdr:cNvSpPr>
      </cdr:nvSpPr>
      <cdr:spPr>
        <a:xfrm>
          <a:off x="4429125" y="11430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19050</xdr:rowOff>
    </xdr:from>
    <xdr:to>
      <xdr:col>9</xdr:col>
      <xdr:colOff>657225</xdr:colOff>
      <xdr:row>21</xdr:row>
      <xdr:rowOff>133350</xdr:rowOff>
    </xdr:to>
    <xdr:graphicFrame>
      <xdr:nvGraphicFramePr>
        <xdr:cNvPr id="1" name="Chart 1"/>
        <xdr:cNvGraphicFramePr/>
      </xdr:nvGraphicFramePr>
      <xdr:xfrm>
        <a:off x="95250" y="180975"/>
        <a:ext cx="673417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171450</xdr:colOff>
      <xdr:row>4</xdr:row>
      <xdr:rowOff>104775</xdr:rowOff>
    </xdr:from>
    <xdr:to>
      <xdr:col>6</xdr:col>
      <xdr:colOff>171450</xdr:colOff>
      <xdr:row>17</xdr:row>
      <xdr:rowOff>133350</xdr:rowOff>
    </xdr:to>
    <xdr:sp>
      <xdr:nvSpPr>
        <xdr:cNvPr id="2" name="Line 2"/>
        <xdr:cNvSpPr>
          <a:spLocks/>
        </xdr:cNvSpPr>
      </xdr:nvSpPr>
      <xdr:spPr>
        <a:xfrm flipV="1">
          <a:off x="4286250" y="752475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190500</xdr:colOff>
      <xdr:row>6</xdr:row>
      <xdr:rowOff>123825</xdr:rowOff>
    </xdr:from>
    <xdr:to>
      <xdr:col>7</xdr:col>
      <xdr:colOff>476250</xdr:colOff>
      <xdr:row>6</xdr:row>
      <xdr:rowOff>123825</xdr:rowOff>
    </xdr:to>
    <xdr:sp>
      <xdr:nvSpPr>
        <xdr:cNvPr id="3" name="Line 3"/>
        <xdr:cNvSpPr>
          <a:spLocks/>
        </xdr:cNvSpPr>
      </xdr:nvSpPr>
      <xdr:spPr>
        <a:xfrm>
          <a:off x="4305300" y="109537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285750</xdr:colOff>
      <xdr:row>5</xdr:row>
      <xdr:rowOff>57150</xdr:rowOff>
    </xdr:from>
    <xdr:to>
      <xdr:col>7</xdr:col>
      <xdr:colOff>266700</xdr:colOff>
      <xdr:row>6</xdr:row>
      <xdr:rowOff>28575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400550" y="866775"/>
          <a:ext cx="6667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Predikcia</a:t>
          </a:r>
        </a:p>
      </xdr:txBody>
    </xdr:sp>
    <xdr:clientData/>
  </xdr:twoCellAnchor>
  <xdr:twoCellAnchor>
    <xdr:from>
      <xdr:col>0</xdr:col>
      <xdr:colOff>76200</xdr:colOff>
      <xdr:row>23</xdr:row>
      <xdr:rowOff>47625</xdr:rowOff>
    </xdr:from>
    <xdr:to>
      <xdr:col>9</xdr:col>
      <xdr:colOff>628650</xdr:colOff>
      <xdr:row>43</xdr:row>
      <xdr:rowOff>123825</xdr:rowOff>
    </xdr:to>
    <xdr:graphicFrame>
      <xdr:nvGraphicFramePr>
        <xdr:cNvPr id="5" name="Chart 5"/>
        <xdr:cNvGraphicFramePr/>
      </xdr:nvGraphicFramePr>
      <xdr:xfrm>
        <a:off x="76200" y="3771900"/>
        <a:ext cx="6724650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342900</xdr:colOff>
      <xdr:row>26</xdr:row>
      <xdr:rowOff>152400</xdr:rowOff>
    </xdr:from>
    <xdr:to>
      <xdr:col>6</xdr:col>
      <xdr:colOff>342900</xdr:colOff>
      <xdr:row>39</xdr:row>
      <xdr:rowOff>142875</xdr:rowOff>
    </xdr:to>
    <xdr:sp>
      <xdr:nvSpPr>
        <xdr:cNvPr id="6" name="Line 6"/>
        <xdr:cNvSpPr>
          <a:spLocks/>
        </xdr:cNvSpPr>
      </xdr:nvSpPr>
      <xdr:spPr>
        <a:xfrm flipV="1">
          <a:off x="4457700" y="4362450"/>
          <a:ext cx="0" cy="2095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333375</xdr:colOff>
      <xdr:row>37</xdr:row>
      <xdr:rowOff>114300</xdr:rowOff>
    </xdr:from>
    <xdr:to>
      <xdr:col>8</xdr:col>
      <xdr:colOff>180975</xdr:colOff>
      <xdr:row>37</xdr:row>
      <xdr:rowOff>114300</xdr:rowOff>
    </xdr:to>
    <xdr:sp>
      <xdr:nvSpPr>
        <xdr:cNvPr id="7" name="Line 7"/>
        <xdr:cNvSpPr>
          <a:spLocks/>
        </xdr:cNvSpPr>
      </xdr:nvSpPr>
      <xdr:spPr>
        <a:xfrm>
          <a:off x="4448175" y="61055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85725</xdr:colOff>
      <xdr:row>45</xdr:row>
      <xdr:rowOff>28575</xdr:rowOff>
    </xdr:from>
    <xdr:to>
      <xdr:col>9</xdr:col>
      <xdr:colOff>590550</xdr:colOff>
      <xdr:row>66</xdr:row>
      <xdr:rowOff>0</xdr:rowOff>
    </xdr:to>
    <xdr:graphicFrame>
      <xdr:nvGraphicFramePr>
        <xdr:cNvPr id="8" name="Chart 8"/>
        <xdr:cNvGraphicFramePr/>
      </xdr:nvGraphicFramePr>
      <xdr:xfrm>
        <a:off x="85725" y="7315200"/>
        <a:ext cx="6677025" cy="3371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133350</xdr:colOff>
      <xdr:row>50</xdr:row>
      <xdr:rowOff>123825</xdr:rowOff>
    </xdr:from>
    <xdr:to>
      <xdr:col>7</xdr:col>
      <xdr:colOff>581025</xdr:colOff>
      <xdr:row>50</xdr:row>
      <xdr:rowOff>123825</xdr:rowOff>
    </xdr:to>
    <xdr:sp>
      <xdr:nvSpPr>
        <xdr:cNvPr id="9" name="Line 10"/>
        <xdr:cNvSpPr>
          <a:spLocks/>
        </xdr:cNvSpPr>
      </xdr:nvSpPr>
      <xdr:spPr>
        <a:xfrm>
          <a:off x="4248150" y="8220075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114300</xdr:colOff>
      <xdr:row>48</xdr:row>
      <xdr:rowOff>133350</xdr:rowOff>
    </xdr:from>
    <xdr:to>
      <xdr:col>6</xdr:col>
      <xdr:colOff>114300</xdr:colOff>
      <xdr:row>62</xdr:row>
      <xdr:rowOff>9525</xdr:rowOff>
    </xdr:to>
    <xdr:sp>
      <xdr:nvSpPr>
        <xdr:cNvPr id="10" name="Line 11"/>
        <xdr:cNvSpPr>
          <a:spLocks/>
        </xdr:cNvSpPr>
      </xdr:nvSpPr>
      <xdr:spPr>
        <a:xfrm flipV="1">
          <a:off x="4229100" y="7905750"/>
          <a:ext cx="0" cy="2143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276225</xdr:colOff>
      <xdr:row>49</xdr:row>
      <xdr:rowOff>47625</xdr:rowOff>
    </xdr:from>
    <xdr:to>
      <xdr:col>7</xdr:col>
      <xdr:colOff>485775</xdr:colOff>
      <xdr:row>50</xdr:row>
      <xdr:rowOff>47625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4391025" y="7981950"/>
          <a:ext cx="895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Predikcia</a:t>
          </a:r>
        </a:p>
      </xdr:txBody>
    </xdr:sp>
    <xdr:clientData/>
  </xdr:twoCellAnchor>
  <xdr:twoCellAnchor>
    <xdr:from>
      <xdr:col>0</xdr:col>
      <xdr:colOff>66675</xdr:colOff>
      <xdr:row>68</xdr:row>
      <xdr:rowOff>47625</xdr:rowOff>
    </xdr:from>
    <xdr:to>
      <xdr:col>9</xdr:col>
      <xdr:colOff>619125</xdr:colOff>
      <xdr:row>88</xdr:row>
      <xdr:rowOff>152400</xdr:rowOff>
    </xdr:to>
    <xdr:graphicFrame>
      <xdr:nvGraphicFramePr>
        <xdr:cNvPr id="12" name="Chart 13"/>
        <xdr:cNvGraphicFramePr/>
      </xdr:nvGraphicFramePr>
      <xdr:xfrm>
        <a:off x="66675" y="11058525"/>
        <a:ext cx="6724650" cy="3343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47625</xdr:colOff>
      <xdr:row>90</xdr:row>
      <xdr:rowOff>38100</xdr:rowOff>
    </xdr:from>
    <xdr:to>
      <xdr:col>9</xdr:col>
      <xdr:colOff>619125</xdr:colOff>
      <xdr:row>110</xdr:row>
      <xdr:rowOff>123825</xdr:rowOff>
    </xdr:to>
    <xdr:graphicFrame>
      <xdr:nvGraphicFramePr>
        <xdr:cNvPr id="13" name="Chart 14"/>
        <xdr:cNvGraphicFramePr/>
      </xdr:nvGraphicFramePr>
      <xdr:xfrm>
        <a:off x="47625" y="14611350"/>
        <a:ext cx="6743700" cy="3324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485775</xdr:colOff>
      <xdr:row>93</xdr:row>
      <xdr:rowOff>142875</xdr:rowOff>
    </xdr:from>
    <xdr:to>
      <xdr:col>6</xdr:col>
      <xdr:colOff>485775</xdr:colOff>
      <xdr:row>106</xdr:row>
      <xdr:rowOff>133350</xdr:rowOff>
    </xdr:to>
    <xdr:sp>
      <xdr:nvSpPr>
        <xdr:cNvPr id="14" name="Line 15"/>
        <xdr:cNvSpPr>
          <a:spLocks/>
        </xdr:cNvSpPr>
      </xdr:nvSpPr>
      <xdr:spPr>
        <a:xfrm flipV="1">
          <a:off x="4600575" y="15201900"/>
          <a:ext cx="0" cy="2095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485775</xdr:colOff>
      <xdr:row>96</xdr:row>
      <xdr:rowOff>152400</xdr:rowOff>
    </xdr:from>
    <xdr:to>
      <xdr:col>8</xdr:col>
      <xdr:colOff>523875</xdr:colOff>
      <xdr:row>96</xdr:row>
      <xdr:rowOff>152400</xdr:rowOff>
    </xdr:to>
    <xdr:sp>
      <xdr:nvSpPr>
        <xdr:cNvPr id="15" name="Line 16"/>
        <xdr:cNvSpPr>
          <a:spLocks/>
        </xdr:cNvSpPr>
      </xdr:nvSpPr>
      <xdr:spPr>
        <a:xfrm>
          <a:off x="4600575" y="156972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47625</xdr:colOff>
      <xdr:row>95</xdr:row>
      <xdr:rowOff>38100</xdr:rowOff>
    </xdr:from>
    <xdr:to>
      <xdr:col>7</xdr:col>
      <xdr:colOff>666750</xdr:colOff>
      <xdr:row>96</xdr:row>
      <xdr:rowOff>57150</xdr:rowOff>
    </xdr:to>
    <xdr:sp>
      <xdr:nvSpPr>
        <xdr:cNvPr id="16" name="TextBox 17"/>
        <xdr:cNvSpPr txBox="1">
          <a:spLocks noChangeArrowheads="1"/>
        </xdr:cNvSpPr>
      </xdr:nvSpPr>
      <xdr:spPr>
        <a:xfrm>
          <a:off x="4848225" y="15420975"/>
          <a:ext cx="6191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Predikcia</a:t>
          </a:r>
        </a:p>
      </xdr:txBody>
    </xdr:sp>
    <xdr:clientData/>
  </xdr:twoCellAnchor>
  <xdr:twoCellAnchor>
    <xdr:from>
      <xdr:col>6</xdr:col>
      <xdr:colOff>419100</xdr:colOff>
      <xdr:row>74</xdr:row>
      <xdr:rowOff>47625</xdr:rowOff>
    </xdr:from>
    <xdr:to>
      <xdr:col>7</xdr:col>
      <xdr:colOff>476250</xdr:colOff>
      <xdr:row>75</xdr:row>
      <xdr:rowOff>38100</xdr:rowOff>
    </xdr:to>
    <xdr:sp>
      <xdr:nvSpPr>
        <xdr:cNvPr id="17" name="TextBox 19"/>
        <xdr:cNvSpPr txBox="1">
          <a:spLocks noChangeArrowheads="1"/>
        </xdr:cNvSpPr>
      </xdr:nvSpPr>
      <xdr:spPr>
        <a:xfrm>
          <a:off x="4533900" y="12030075"/>
          <a:ext cx="7429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Predikcia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28575</xdr:rowOff>
    </xdr:from>
    <xdr:to>
      <xdr:col>9</xdr:col>
      <xdr:colOff>647700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47625" y="190500"/>
        <a:ext cx="68580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542925</xdr:colOff>
      <xdr:row>4</xdr:row>
      <xdr:rowOff>133350</xdr:rowOff>
    </xdr:from>
    <xdr:to>
      <xdr:col>6</xdr:col>
      <xdr:colOff>552450</xdr:colOff>
      <xdr:row>17</xdr:row>
      <xdr:rowOff>142875</xdr:rowOff>
    </xdr:to>
    <xdr:sp>
      <xdr:nvSpPr>
        <xdr:cNvPr id="2" name="Line 2"/>
        <xdr:cNvSpPr>
          <a:spLocks/>
        </xdr:cNvSpPr>
      </xdr:nvSpPr>
      <xdr:spPr>
        <a:xfrm flipH="1" flipV="1">
          <a:off x="4714875" y="781050"/>
          <a:ext cx="9525" cy="2114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542925</xdr:colOff>
      <xdr:row>6</xdr:row>
      <xdr:rowOff>142875</xdr:rowOff>
    </xdr:from>
    <xdr:to>
      <xdr:col>8</xdr:col>
      <xdr:colOff>104775</xdr:colOff>
      <xdr:row>6</xdr:row>
      <xdr:rowOff>142875</xdr:rowOff>
    </xdr:to>
    <xdr:sp>
      <xdr:nvSpPr>
        <xdr:cNvPr id="3" name="Line 5"/>
        <xdr:cNvSpPr>
          <a:spLocks/>
        </xdr:cNvSpPr>
      </xdr:nvSpPr>
      <xdr:spPr>
        <a:xfrm>
          <a:off x="4714875" y="11144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619125</xdr:colOff>
      <xdr:row>5</xdr:row>
      <xdr:rowOff>123825</xdr:rowOff>
    </xdr:from>
    <xdr:to>
      <xdr:col>7</xdr:col>
      <xdr:colOff>676275</xdr:colOff>
      <xdr:row>6</xdr:row>
      <xdr:rowOff>104775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4791075" y="933450"/>
          <a:ext cx="7524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Predikcia</a:t>
          </a:r>
        </a:p>
      </xdr:txBody>
    </xdr:sp>
    <xdr:clientData/>
  </xdr:twoCellAnchor>
  <xdr:twoCellAnchor>
    <xdr:from>
      <xdr:col>0</xdr:col>
      <xdr:colOff>47625</xdr:colOff>
      <xdr:row>23</xdr:row>
      <xdr:rowOff>38100</xdr:rowOff>
    </xdr:from>
    <xdr:to>
      <xdr:col>9</xdr:col>
      <xdr:colOff>628650</xdr:colOff>
      <xdr:row>43</xdr:row>
      <xdr:rowOff>133350</xdr:rowOff>
    </xdr:to>
    <xdr:graphicFrame>
      <xdr:nvGraphicFramePr>
        <xdr:cNvPr id="5" name="Chart 7"/>
        <xdr:cNvGraphicFramePr/>
      </xdr:nvGraphicFramePr>
      <xdr:xfrm>
        <a:off x="47625" y="3762375"/>
        <a:ext cx="6838950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219075</xdr:colOff>
      <xdr:row>27</xdr:row>
      <xdr:rowOff>142875</xdr:rowOff>
    </xdr:from>
    <xdr:to>
      <xdr:col>6</xdr:col>
      <xdr:colOff>219075</xdr:colOff>
      <xdr:row>39</xdr:row>
      <xdr:rowOff>142875</xdr:rowOff>
    </xdr:to>
    <xdr:sp>
      <xdr:nvSpPr>
        <xdr:cNvPr id="6" name="Line 8"/>
        <xdr:cNvSpPr>
          <a:spLocks/>
        </xdr:cNvSpPr>
      </xdr:nvSpPr>
      <xdr:spPr>
        <a:xfrm flipV="1">
          <a:off x="4391025" y="4514850"/>
          <a:ext cx="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228600</xdr:colOff>
      <xdr:row>30</xdr:row>
      <xdr:rowOff>142875</xdr:rowOff>
    </xdr:from>
    <xdr:to>
      <xdr:col>7</xdr:col>
      <xdr:colOff>561975</xdr:colOff>
      <xdr:row>30</xdr:row>
      <xdr:rowOff>142875</xdr:rowOff>
    </xdr:to>
    <xdr:sp>
      <xdr:nvSpPr>
        <xdr:cNvPr id="7" name="Line 11"/>
        <xdr:cNvSpPr>
          <a:spLocks/>
        </xdr:cNvSpPr>
      </xdr:nvSpPr>
      <xdr:spPr>
        <a:xfrm>
          <a:off x="4400550" y="5000625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361950</xdr:colOff>
      <xdr:row>29</xdr:row>
      <xdr:rowOff>95250</xdr:rowOff>
    </xdr:from>
    <xdr:to>
      <xdr:col>7</xdr:col>
      <xdr:colOff>381000</xdr:colOff>
      <xdr:row>30</xdr:row>
      <xdr:rowOff>66675</xdr:rowOff>
    </xdr:to>
    <xdr:sp>
      <xdr:nvSpPr>
        <xdr:cNvPr id="8" name="TextBox 12"/>
        <xdr:cNvSpPr txBox="1">
          <a:spLocks noChangeArrowheads="1"/>
        </xdr:cNvSpPr>
      </xdr:nvSpPr>
      <xdr:spPr>
        <a:xfrm>
          <a:off x="4533900" y="4791075"/>
          <a:ext cx="7143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Predikcia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0.69825</cdr:x>
      <cdr:y>0.274</cdr:y>
    </cdr:from>
    <cdr:to>
      <cdr:x>0.69825</cdr:x>
      <cdr:y>0.824</cdr:y>
    </cdr:to>
    <cdr:sp>
      <cdr:nvSpPr>
        <cdr:cNvPr id="1" name="Line 3"/>
        <cdr:cNvSpPr>
          <a:spLocks/>
        </cdr:cNvSpPr>
      </cdr:nvSpPr>
      <cdr:spPr>
        <a:xfrm flipV="1">
          <a:off x="4733925" y="914400"/>
          <a:ext cx="0" cy="1847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28575</xdr:rowOff>
    </xdr:from>
    <xdr:to>
      <xdr:col>9</xdr:col>
      <xdr:colOff>628650</xdr:colOff>
      <xdr:row>21</xdr:row>
      <xdr:rowOff>123825</xdr:rowOff>
    </xdr:to>
    <xdr:graphicFrame>
      <xdr:nvGraphicFramePr>
        <xdr:cNvPr id="1" name="Chart 2"/>
        <xdr:cNvGraphicFramePr/>
      </xdr:nvGraphicFramePr>
      <xdr:xfrm>
        <a:off x="85725" y="190500"/>
        <a:ext cx="680085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23</xdr:row>
      <xdr:rowOff>28575</xdr:rowOff>
    </xdr:from>
    <xdr:to>
      <xdr:col>9</xdr:col>
      <xdr:colOff>628650</xdr:colOff>
      <xdr:row>43</xdr:row>
      <xdr:rowOff>114300</xdr:rowOff>
    </xdr:to>
    <xdr:graphicFrame>
      <xdr:nvGraphicFramePr>
        <xdr:cNvPr id="2" name="Chart 6"/>
        <xdr:cNvGraphicFramePr/>
      </xdr:nvGraphicFramePr>
      <xdr:xfrm>
        <a:off x="95250" y="3752850"/>
        <a:ext cx="6791325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542925</xdr:colOff>
      <xdr:row>28</xdr:row>
      <xdr:rowOff>142875</xdr:rowOff>
    </xdr:from>
    <xdr:to>
      <xdr:col>6</xdr:col>
      <xdr:colOff>542925</xdr:colOff>
      <xdr:row>39</xdr:row>
      <xdr:rowOff>133350</xdr:rowOff>
    </xdr:to>
    <xdr:sp>
      <xdr:nvSpPr>
        <xdr:cNvPr id="3" name="Line 7"/>
        <xdr:cNvSpPr>
          <a:spLocks/>
        </xdr:cNvSpPr>
      </xdr:nvSpPr>
      <xdr:spPr>
        <a:xfrm flipV="1">
          <a:off x="4714875" y="4676775"/>
          <a:ext cx="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590550</xdr:colOff>
      <xdr:row>33</xdr:row>
      <xdr:rowOff>0</xdr:rowOff>
    </xdr:from>
    <xdr:to>
      <xdr:col>8</xdr:col>
      <xdr:colOff>171450</xdr:colOff>
      <xdr:row>33</xdr:row>
      <xdr:rowOff>0</xdr:rowOff>
    </xdr:to>
    <xdr:sp>
      <xdr:nvSpPr>
        <xdr:cNvPr id="4" name="Line 8"/>
        <xdr:cNvSpPr>
          <a:spLocks/>
        </xdr:cNvSpPr>
      </xdr:nvSpPr>
      <xdr:spPr>
        <a:xfrm>
          <a:off x="4762500" y="534352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19050</xdr:colOff>
      <xdr:row>31</xdr:row>
      <xdr:rowOff>47625</xdr:rowOff>
    </xdr:from>
    <xdr:to>
      <xdr:col>7</xdr:col>
      <xdr:colOff>647700</xdr:colOff>
      <xdr:row>32</xdr:row>
      <xdr:rowOff>28575</xdr:rowOff>
    </xdr:to>
    <xdr:sp>
      <xdr:nvSpPr>
        <xdr:cNvPr id="5" name="TextBox 9"/>
        <xdr:cNvSpPr txBox="1">
          <a:spLocks noChangeArrowheads="1"/>
        </xdr:cNvSpPr>
      </xdr:nvSpPr>
      <xdr:spPr>
        <a:xfrm>
          <a:off x="4886325" y="5067300"/>
          <a:ext cx="6286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Predikcia</a:t>
          </a:r>
        </a:p>
      </xdr:txBody>
    </xdr:sp>
    <xdr:clientData/>
  </xdr:twoCellAnchor>
  <xdr:twoCellAnchor>
    <xdr:from>
      <xdr:col>0</xdr:col>
      <xdr:colOff>95250</xdr:colOff>
      <xdr:row>45</xdr:row>
      <xdr:rowOff>9525</xdr:rowOff>
    </xdr:from>
    <xdr:to>
      <xdr:col>9</xdr:col>
      <xdr:colOff>628650</xdr:colOff>
      <xdr:row>65</xdr:row>
      <xdr:rowOff>123825</xdr:rowOff>
    </xdr:to>
    <xdr:graphicFrame>
      <xdr:nvGraphicFramePr>
        <xdr:cNvPr id="6" name="Chart 10"/>
        <xdr:cNvGraphicFramePr/>
      </xdr:nvGraphicFramePr>
      <xdr:xfrm>
        <a:off x="95250" y="7296150"/>
        <a:ext cx="6791325" cy="3352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600075</xdr:colOff>
      <xdr:row>52</xdr:row>
      <xdr:rowOff>76200</xdr:rowOff>
    </xdr:from>
    <xdr:to>
      <xdr:col>8</xdr:col>
      <xdr:colOff>295275</xdr:colOff>
      <xdr:row>52</xdr:row>
      <xdr:rowOff>76200</xdr:rowOff>
    </xdr:to>
    <xdr:sp>
      <xdr:nvSpPr>
        <xdr:cNvPr id="7" name="Line 12"/>
        <xdr:cNvSpPr>
          <a:spLocks/>
        </xdr:cNvSpPr>
      </xdr:nvSpPr>
      <xdr:spPr>
        <a:xfrm>
          <a:off x="4772025" y="849630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676275</xdr:colOff>
      <xdr:row>51</xdr:row>
      <xdr:rowOff>38100</xdr:rowOff>
    </xdr:from>
    <xdr:to>
      <xdr:col>7</xdr:col>
      <xdr:colOff>676275</xdr:colOff>
      <xdr:row>52</xdr:row>
      <xdr:rowOff>57150</xdr:rowOff>
    </xdr:to>
    <xdr:sp>
      <xdr:nvSpPr>
        <xdr:cNvPr id="8" name="TextBox 13"/>
        <xdr:cNvSpPr txBox="1">
          <a:spLocks noChangeArrowheads="1"/>
        </xdr:cNvSpPr>
      </xdr:nvSpPr>
      <xdr:spPr>
        <a:xfrm>
          <a:off x="4848225" y="8296275"/>
          <a:ext cx="6953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Predikcia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2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51.00390625" style="124" customWidth="1"/>
    <col min="2" max="2" width="14.00390625" style="124" customWidth="1"/>
    <col min="3" max="11" width="11.75390625" style="124" customWidth="1"/>
    <col min="12" max="16384" width="9.125" style="124" customWidth="1"/>
  </cols>
  <sheetData>
    <row r="1" spans="1:10" ht="15" customHeight="1">
      <c r="A1" s="123" t="s">
        <v>211</v>
      </c>
      <c r="J1" s="111"/>
    </row>
    <row r="2" ht="15" customHeight="1" thickBot="1"/>
    <row r="3" spans="1:11" ht="16.5" customHeight="1">
      <c r="A3" s="291" t="s">
        <v>212</v>
      </c>
      <c r="B3" s="125" t="s">
        <v>213</v>
      </c>
      <c r="C3" s="293">
        <v>1993</v>
      </c>
      <c r="D3" s="293">
        <v>1994</v>
      </c>
      <c r="E3" s="293">
        <v>1995</v>
      </c>
      <c r="F3" s="293">
        <v>1996</v>
      </c>
      <c r="G3" s="296">
        <v>1997</v>
      </c>
      <c r="H3" s="298">
        <v>1998</v>
      </c>
      <c r="I3" s="300">
        <v>1999</v>
      </c>
      <c r="J3" s="301">
        <v>2000</v>
      </c>
      <c r="K3" s="112">
        <v>2001</v>
      </c>
    </row>
    <row r="4" spans="1:11" ht="18.75" customHeight="1" thickBot="1">
      <c r="A4" s="292"/>
      <c r="B4" s="126" t="s">
        <v>214</v>
      </c>
      <c r="C4" s="294"/>
      <c r="D4" s="294"/>
      <c r="E4" s="294"/>
      <c r="F4" s="295"/>
      <c r="G4" s="297"/>
      <c r="H4" s="299"/>
      <c r="I4" s="299"/>
      <c r="J4" s="302"/>
      <c r="K4" s="113" t="s">
        <v>215</v>
      </c>
    </row>
    <row r="5" spans="1:11" ht="16.5" customHeight="1">
      <c r="A5" s="127"/>
      <c r="B5" s="128"/>
      <c r="C5" s="129"/>
      <c r="D5" s="129"/>
      <c r="E5" s="129"/>
      <c r="F5" s="129"/>
      <c r="G5" s="130"/>
      <c r="H5" s="131"/>
      <c r="I5" s="131"/>
      <c r="J5" s="131"/>
      <c r="K5" s="132"/>
    </row>
    <row r="6" spans="1:11" ht="18.75" customHeight="1">
      <c r="A6" s="133" t="s">
        <v>216</v>
      </c>
      <c r="B6" s="128"/>
      <c r="C6" s="128"/>
      <c r="D6" s="128"/>
      <c r="E6" s="128"/>
      <c r="F6" s="128"/>
      <c r="G6" s="130"/>
      <c r="H6" s="131"/>
      <c r="I6" s="131"/>
      <c r="J6" s="131"/>
      <c r="K6" s="132"/>
    </row>
    <row r="7" spans="1:11" ht="16.5" customHeight="1">
      <c r="A7" s="133" t="s">
        <v>332</v>
      </c>
      <c r="B7" s="129" t="s">
        <v>217</v>
      </c>
      <c r="C7" s="114">
        <v>390.6</v>
      </c>
      <c r="D7" s="134">
        <v>466.2</v>
      </c>
      <c r="E7" s="134">
        <v>546</v>
      </c>
      <c r="F7" s="134">
        <v>606.1</v>
      </c>
      <c r="G7" s="114">
        <v>686.1</v>
      </c>
      <c r="H7" s="114">
        <v>750.8</v>
      </c>
      <c r="I7" s="115">
        <v>815.3</v>
      </c>
      <c r="J7" s="116">
        <v>887.2</v>
      </c>
      <c r="K7" s="117">
        <v>221.8</v>
      </c>
    </row>
    <row r="8" spans="1:11" ht="16.5" customHeight="1">
      <c r="A8" s="118" t="s">
        <v>218</v>
      </c>
      <c r="B8" s="129" t="s">
        <v>219</v>
      </c>
      <c r="C8" s="135">
        <v>487.6</v>
      </c>
      <c r="D8" s="136">
        <v>511.6</v>
      </c>
      <c r="E8" s="136">
        <v>546</v>
      </c>
      <c r="F8" s="136">
        <v>579.9</v>
      </c>
      <c r="G8" s="135">
        <v>615.9</v>
      </c>
      <c r="H8" s="135">
        <v>641.1</v>
      </c>
      <c r="I8" s="137">
        <v>653.3</v>
      </c>
      <c r="J8" s="120">
        <v>667.7</v>
      </c>
      <c r="K8" s="121">
        <v>160.9</v>
      </c>
    </row>
    <row r="9" spans="1:11" ht="16.5" customHeight="1">
      <c r="A9" s="118"/>
      <c r="B9" s="129" t="s">
        <v>220</v>
      </c>
      <c r="C9" s="138" t="s">
        <v>15</v>
      </c>
      <c r="D9" s="136">
        <v>4.9</v>
      </c>
      <c r="E9" s="136">
        <v>6.7</v>
      </c>
      <c r="F9" s="136">
        <v>6.2</v>
      </c>
      <c r="G9" s="135">
        <v>6.2</v>
      </c>
      <c r="H9" s="135">
        <v>4.1</v>
      </c>
      <c r="I9" s="135">
        <v>1.9</v>
      </c>
      <c r="J9" s="120">
        <v>2.2</v>
      </c>
      <c r="K9" s="121">
        <v>3</v>
      </c>
    </row>
    <row r="10" spans="1:11" ht="16.5" customHeight="1">
      <c r="A10" s="118" t="s">
        <v>221</v>
      </c>
      <c r="B10" s="129" t="s">
        <v>219</v>
      </c>
      <c r="C10" s="135">
        <v>266.6</v>
      </c>
      <c r="D10" s="135">
        <v>269.2</v>
      </c>
      <c r="E10" s="135">
        <v>277.3</v>
      </c>
      <c r="F10" s="136">
        <v>300.1</v>
      </c>
      <c r="G10" s="135">
        <v>317</v>
      </c>
      <c r="H10" s="135">
        <v>333.8</v>
      </c>
      <c r="I10" s="137">
        <v>334.2</v>
      </c>
      <c r="J10" s="120">
        <v>322.7</v>
      </c>
      <c r="K10" s="121">
        <v>78.2</v>
      </c>
    </row>
    <row r="11" spans="1:11" ht="16.5" customHeight="1">
      <c r="A11" s="118"/>
      <c r="B11" s="129" t="s">
        <v>222</v>
      </c>
      <c r="C11" s="138" t="s">
        <v>15</v>
      </c>
      <c r="D11" s="135">
        <v>1</v>
      </c>
      <c r="E11" s="135">
        <v>3</v>
      </c>
      <c r="F11" s="136">
        <v>8.2</v>
      </c>
      <c r="G11" s="135">
        <v>5.6</v>
      </c>
      <c r="H11" s="135">
        <v>5.3</v>
      </c>
      <c r="I11" s="135">
        <v>0.1</v>
      </c>
      <c r="J11" s="120">
        <v>-3.4</v>
      </c>
      <c r="K11" s="121">
        <v>4</v>
      </c>
    </row>
    <row r="12" spans="1:11" ht="16.5" customHeight="1">
      <c r="A12" s="118" t="s">
        <v>223</v>
      </c>
      <c r="B12" s="129" t="s">
        <v>219</v>
      </c>
      <c r="C12" s="135">
        <v>2.2</v>
      </c>
      <c r="D12" s="135">
        <v>2.4</v>
      </c>
      <c r="E12" s="135">
        <v>3.5</v>
      </c>
      <c r="F12" s="136">
        <v>3.1</v>
      </c>
      <c r="G12" s="135">
        <v>2.7</v>
      </c>
      <c r="H12" s="135">
        <v>4.5</v>
      </c>
      <c r="I12" s="137">
        <v>3.4</v>
      </c>
      <c r="J12" s="120">
        <v>3.5</v>
      </c>
      <c r="K12" s="121">
        <v>0.8</v>
      </c>
    </row>
    <row r="13" spans="1:11" ht="16.5" customHeight="1">
      <c r="A13" s="118"/>
      <c r="B13" s="129" t="s">
        <v>222</v>
      </c>
      <c r="C13" s="138" t="s">
        <v>15</v>
      </c>
      <c r="D13" s="135">
        <v>9.1</v>
      </c>
      <c r="E13" s="135">
        <v>45.8</v>
      </c>
      <c r="F13" s="136">
        <v>-11.4</v>
      </c>
      <c r="G13" s="135">
        <v>-12.9</v>
      </c>
      <c r="H13" s="135">
        <v>66.7</v>
      </c>
      <c r="I13" s="135">
        <v>-24.4</v>
      </c>
      <c r="J13" s="120">
        <v>2.9</v>
      </c>
      <c r="K13" s="121">
        <v>14.3</v>
      </c>
    </row>
    <row r="14" spans="1:11" ht="16.5" customHeight="1">
      <c r="A14" s="118" t="s">
        <v>224</v>
      </c>
      <c r="B14" s="129" t="s">
        <v>225</v>
      </c>
      <c r="C14" s="135">
        <v>117.4</v>
      </c>
      <c r="D14" s="135">
        <v>104</v>
      </c>
      <c r="E14" s="135">
        <v>106.2</v>
      </c>
      <c r="F14" s="136">
        <v>128.5</v>
      </c>
      <c r="G14" s="135">
        <v>133.7</v>
      </c>
      <c r="H14" s="135">
        <v>139.1</v>
      </c>
      <c r="I14" s="137">
        <v>129.5</v>
      </c>
      <c r="J14" s="120">
        <v>128.3</v>
      </c>
      <c r="K14" s="121">
        <v>26.5</v>
      </c>
    </row>
    <row r="15" spans="1:11" ht="16.5" customHeight="1">
      <c r="A15" s="118"/>
      <c r="B15" s="129" t="s">
        <v>222</v>
      </c>
      <c r="C15" s="138" t="s">
        <v>15</v>
      </c>
      <c r="D15" s="135">
        <v>-11.4</v>
      </c>
      <c r="E15" s="135">
        <v>2.1</v>
      </c>
      <c r="F15" s="136">
        <v>21</v>
      </c>
      <c r="G15" s="135">
        <v>4</v>
      </c>
      <c r="H15" s="135">
        <v>4</v>
      </c>
      <c r="I15" s="135">
        <v>-6.9</v>
      </c>
      <c r="J15" s="120">
        <v>-0.9</v>
      </c>
      <c r="K15" s="121">
        <v>0</v>
      </c>
    </row>
    <row r="16" spans="1:11" ht="16.5" customHeight="1">
      <c r="A16" s="118" t="s">
        <v>226</v>
      </c>
      <c r="B16" s="129" t="s">
        <v>225</v>
      </c>
      <c r="C16" s="135">
        <v>144.1</v>
      </c>
      <c r="D16" s="135">
        <v>136.9</v>
      </c>
      <c r="E16" s="135">
        <v>144.2</v>
      </c>
      <c r="F16" s="136">
        <v>190.3</v>
      </c>
      <c r="G16" s="135">
        <v>213.1</v>
      </c>
      <c r="H16" s="135">
        <v>236.8</v>
      </c>
      <c r="I16" s="137">
        <v>192.2</v>
      </c>
      <c r="J16" s="120">
        <v>190.9</v>
      </c>
      <c r="K16" s="121">
        <v>45.2</v>
      </c>
    </row>
    <row r="17" spans="1:11" ht="16.5" customHeight="1">
      <c r="A17" s="118"/>
      <c r="B17" s="129" t="s">
        <v>222</v>
      </c>
      <c r="C17" s="138" t="s">
        <v>15</v>
      </c>
      <c r="D17" s="135">
        <v>-5</v>
      </c>
      <c r="E17" s="135">
        <v>5.3</v>
      </c>
      <c r="F17" s="136">
        <v>32</v>
      </c>
      <c r="G17" s="135">
        <v>12</v>
      </c>
      <c r="H17" s="135">
        <v>11.1</v>
      </c>
      <c r="I17" s="135">
        <v>-18.8</v>
      </c>
      <c r="J17" s="120">
        <v>-0.7</v>
      </c>
      <c r="K17" s="121">
        <v>16.2</v>
      </c>
    </row>
    <row r="18" spans="1:11" ht="16.5" customHeight="1">
      <c r="A18" s="118" t="s">
        <v>227</v>
      </c>
      <c r="B18" s="129" t="s">
        <v>225</v>
      </c>
      <c r="C18" s="135">
        <v>-20</v>
      </c>
      <c r="D18" s="135">
        <v>-27.7</v>
      </c>
      <c r="E18" s="135">
        <v>5.1</v>
      </c>
      <c r="F18" s="136">
        <v>0.4</v>
      </c>
      <c r="G18" s="135">
        <v>-17.2</v>
      </c>
      <c r="H18" s="139">
        <v>-3.4</v>
      </c>
      <c r="I18" s="137">
        <v>18.8</v>
      </c>
      <c r="J18" s="120">
        <v>23.9</v>
      </c>
      <c r="K18" s="121">
        <v>14.3</v>
      </c>
    </row>
    <row r="19" spans="1:11" ht="16.5" customHeight="1">
      <c r="A19" s="118" t="s">
        <v>228</v>
      </c>
      <c r="B19" s="129" t="s">
        <v>225</v>
      </c>
      <c r="C19" s="135">
        <v>277.4</v>
      </c>
      <c r="D19" s="135">
        <v>316.8</v>
      </c>
      <c r="E19" s="135">
        <v>326.4</v>
      </c>
      <c r="F19" s="136">
        <v>328.6</v>
      </c>
      <c r="G19" s="135">
        <v>386.3</v>
      </c>
      <c r="H19" s="139">
        <v>433.3</v>
      </c>
      <c r="I19" s="137">
        <v>448</v>
      </c>
      <c r="J19" s="120">
        <v>519.2</v>
      </c>
      <c r="K19" s="121">
        <v>135.8</v>
      </c>
    </row>
    <row r="20" spans="1:11" ht="16.5" customHeight="1">
      <c r="A20" s="118"/>
      <c r="B20" s="129" t="s">
        <v>222</v>
      </c>
      <c r="C20" s="138" t="s">
        <v>15</v>
      </c>
      <c r="D20" s="135">
        <v>14.2</v>
      </c>
      <c r="E20" s="135">
        <v>3</v>
      </c>
      <c r="F20" s="136">
        <v>0.7</v>
      </c>
      <c r="G20" s="135">
        <v>17.6</v>
      </c>
      <c r="H20" s="139">
        <v>12.2</v>
      </c>
      <c r="I20" s="139">
        <v>3.4</v>
      </c>
      <c r="J20" s="120">
        <v>15.9</v>
      </c>
      <c r="K20" s="121">
        <v>13.1</v>
      </c>
    </row>
    <row r="21" spans="1:11" ht="16.5" customHeight="1">
      <c r="A21" s="118" t="s">
        <v>229</v>
      </c>
      <c r="B21" s="129" t="s">
        <v>225</v>
      </c>
      <c r="C21" s="135">
        <v>300.1</v>
      </c>
      <c r="D21" s="135">
        <v>290</v>
      </c>
      <c r="E21" s="135">
        <v>316.7</v>
      </c>
      <c r="F21" s="136">
        <v>371.1</v>
      </c>
      <c r="G21" s="135">
        <v>419.7</v>
      </c>
      <c r="H21" s="139">
        <v>503</v>
      </c>
      <c r="I21" s="137">
        <v>472.8</v>
      </c>
      <c r="J21" s="120">
        <v>520.8</v>
      </c>
      <c r="K21" s="121">
        <v>139.9</v>
      </c>
    </row>
    <row r="22" spans="1:11" ht="16.5" customHeight="1">
      <c r="A22" s="118"/>
      <c r="B22" s="129" t="s">
        <v>222</v>
      </c>
      <c r="C22" s="138" t="s">
        <v>15</v>
      </c>
      <c r="D22" s="135">
        <v>-3.4</v>
      </c>
      <c r="E22" s="135">
        <v>9.2</v>
      </c>
      <c r="F22" s="136">
        <v>17.2</v>
      </c>
      <c r="G22" s="135">
        <v>13.1</v>
      </c>
      <c r="H22" s="139">
        <v>19.8</v>
      </c>
      <c r="I22" s="139">
        <v>-6</v>
      </c>
      <c r="J22" s="120">
        <v>10.2</v>
      </c>
      <c r="K22" s="121">
        <v>15</v>
      </c>
    </row>
    <row r="23" spans="1:11" ht="16.5" customHeight="1">
      <c r="A23" s="118" t="s">
        <v>230</v>
      </c>
      <c r="B23" s="129" t="s">
        <v>225</v>
      </c>
      <c r="C23" s="135">
        <f aca="true" t="shared" si="0" ref="C23:J23">C19-C21</f>
        <v>-22.700000000000045</v>
      </c>
      <c r="D23" s="135">
        <f t="shared" si="0"/>
        <v>26.80000000000001</v>
      </c>
      <c r="E23" s="135">
        <f t="shared" si="0"/>
        <v>9.699999999999989</v>
      </c>
      <c r="F23" s="136">
        <f t="shared" si="0"/>
        <v>-42.5</v>
      </c>
      <c r="G23" s="135">
        <f t="shared" si="0"/>
        <v>-33.39999999999998</v>
      </c>
      <c r="H23" s="139">
        <f t="shared" si="0"/>
        <v>-69.69999999999999</v>
      </c>
      <c r="I23" s="137">
        <f t="shared" si="0"/>
        <v>-24.80000000000001</v>
      </c>
      <c r="J23" s="120">
        <f t="shared" si="0"/>
        <v>-1.599999999999909</v>
      </c>
      <c r="K23" s="121">
        <f>K19-K21</f>
        <v>-4.099999999999994</v>
      </c>
    </row>
    <row r="24" spans="1:11" ht="16.5" customHeight="1">
      <c r="A24" s="118"/>
      <c r="B24" s="129" t="s">
        <v>231</v>
      </c>
      <c r="C24" s="140">
        <f aca="true" t="shared" si="1" ref="C24:I24">C23/C8*100</f>
        <v>-4.655455291222323</v>
      </c>
      <c r="D24" s="140">
        <f t="shared" si="1"/>
        <v>5.238467552775608</v>
      </c>
      <c r="E24" s="140">
        <f t="shared" si="1"/>
        <v>1.7765567765567745</v>
      </c>
      <c r="F24" s="136">
        <f t="shared" si="1"/>
        <v>-7.328849801689946</v>
      </c>
      <c r="G24" s="135">
        <f t="shared" si="1"/>
        <v>-5.422958272446822</v>
      </c>
      <c r="H24" s="141">
        <f>H23/H8*100</f>
        <v>-10.871938855092807</v>
      </c>
      <c r="I24" s="137">
        <f t="shared" si="1"/>
        <v>-3.7961120465329885</v>
      </c>
      <c r="J24" s="120">
        <f>J23/J8*100</f>
        <v>-0.23962857570763949</v>
      </c>
      <c r="K24" s="121">
        <f>K23/K8*100</f>
        <v>-2.5481665630826567</v>
      </c>
    </row>
    <row r="25" spans="1:11" ht="16.5" customHeight="1">
      <c r="A25" s="142"/>
      <c r="B25" s="143"/>
      <c r="C25" s="144"/>
      <c r="D25" s="144"/>
      <c r="E25" s="144"/>
      <c r="F25" s="145"/>
      <c r="G25" s="146"/>
      <c r="H25" s="147"/>
      <c r="I25" s="148"/>
      <c r="J25" s="149"/>
      <c r="K25" s="150"/>
    </row>
    <row r="26" spans="1:11" ht="16.5" customHeight="1">
      <c r="A26" s="133" t="s">
        <v>232</v>
      </c>
      <c r="B26" s="129"/>
      <c r="C26" s="140"/>
      <c r="D26" s="140"/>
      <c r="E26" s="140"/>
      <c r="F26" s="136"/>
      <c r="G26" s="151"/>
      <c r="H26" s="152"/>
      <c r="I26" s="137"/>
      <c r="J26" s="131"/>
      <c r="K26" s="121"/>
    </row>
    <row r="27" spans="1:11" ht="16.5" customHeight="1">
      <c r="A27" s="118" t="s">
        <v>233</v>
      </c>
      <c r="B27" s="129" t="s">
        <v>234</v>
      </c>
      <c r="C27" s="138" t="s">
        <v>15</v>
      </c>
      <c r="D27" s="138" t="s">
        <v>15</v>
      </c>
      <c r="E27" s="138" t="s">
        <v>15</v>
      </c>
      <c r="F27" s="138" t="s">
        <v>15</v>
      </c>
      <c r="G27" s="138" t="s">
        <v>15</v>
      </c>
      <c r="H27" s="138" t="s">
        <v>15</v>
      </c>
      <c r="I27" s="120">
        <v>-3.1</v>
      </c>
      <c r="J27" s="137">
        <v>9</v>
      </c>
      <c r="K27" s="121">
        <v>6.3</v>
      </c>
    </row>
    <row r="28" spans="1:11" ht="16.5" customHeight="1">
      <c r="A28" s="118" t="s">
        <v>235</v>
      </c>
      <c r="B28" s="129" t="s">
        <v>234</v>
      </c>
      <c r="C28" s="138" t="s">
        <v>15</v>
      </c>
      <c r="D28" s="138" t="s">
        <v>15</v>
      </c>
      <c r="E28" s="138" t="s">
        <v>15</v>
      </c>
      <c r="F28" s="139">
        <v>4.4</v>
      </c>
      <c r="G28" s="139">
        <v>9.2</v>
      </c>
      <c r="H28" s="139">
        <v>-3.5</v>
      </c>
      <c r="I28" s="120">
        <v>-25.8</v>
      </c>
      <c r="J28" s="120">
        <v>-0.4</v>
      </c>
      <c r="K28" s="153">
        <v>10.9</v>
      </c>
    </row>
    <row r="29" spans="1:11" ht="16.5" customHeight="1">
      <c r="A29" s="118" t="s">
        <v>236</v>
      </c>
      <c r="B29" s="129" t="s">
        <v>222</v>
      </c>
      <c r="C29" s="138" t="s">
        <v>15</v>
      </c>
      <c r="D29" s="138" t="s">
        <v>15</v>
      </c>
      <c r="E29" s="138" t="s">
        <v>15</v>
      </c>
      <c r="F29" s="136">
        <v>-7.5</v>
      </c>
      <c r="G29" s="154">
        <v>-5.9</v>
      </c>
      <c r="H29" s="137">
        <v>1.9</v>
      </c>
      <c r="I29" s="120">
        <v>-3.3</v>
      </c>
      <c r="J29" s="120">
        <v>-1.2</v>
      </c>
      <c r="K29" s="121">
        <v>-3.2</v>
      </c>
    </row>
    <row r="30" spans="1:11" ht="16.5" customHeight="1">
      <c r="A30" s="118"/>
      <c r="B30" s="129"/>
      <c r="C30" s="140"/>
      <c r="D30" s="136"/>
      <c r="E30" s="136"/>
      <c r="F30" s="136"/>
      <c r="G30" s="154"/>
      <c r="H30" s="155"/>
      <c r="I30" s="155"/>
      <c r="J30" s="156"/>
      <c r="K30" s="157"/>
    </row>
    <row r="31" spans="1:11" ht="16.5" customHeight="1">
      <c r="A31" s="158" t="s">
        <v>237</v>
      </c>
      <c r="B31" s="159"/>
      <c r="C31" s="160"/>
      <c r="D31" s="161"/>
      <c r="E31" s="161"/>
      <c r="F31" s="161"/>
      <c r="G31" s="162"/>
      <c r="H31" s="137"/>
      <c r="I31" s="137"/>
      <c r="J31" s="120"/>
      <c r="K31" s="121"/>
    </row>
    <row r="32" spans="1:11" ht="16.5" customHeight="1">
      <c r="A32" s="118" t="s">
        <v>238</v>
      </c>
      <c r="B32" s="129"/>
      <c r="C32" s="140"/>
      <c r="D32" s="136"/>
      <c r="E32" s="136"/>
      <c r="F32" s="136"/>
      <c r="G32" s="154"/>
      <c r="H32" s="137"/>
      <c r="I32" s="137"/>
      <c r="J32" s="120"/>
      <c r="K32" s="121"/>
    </row>
    <row r="33" spans="1:11" ht="16.5" customHeight="1">
      <c r="A33" s="118" t="s">
        <v>239</v>
      </c>
      <c r="B33" s="129" t="s">
        <v>222</v>
      </c>
      <c r="C33" s="140">
        <v>34.7</v>
      </c>
      <c r="D33" s="136">
        <v>15.7</v>
      </c>
      <c r="E33" s="136">
        <v>12.1</v>
      </c>
      <c r="F33" s="136">
        <v>13.1</v>
      </c>
      <c r="G33" s="154">
        <v>10.9</v>
      </c>
      <c r="H33" s="137">
        <v>15.4</v>
      </c>
      <c r="I33" s="137">
        <v>16.5</v>
      </c>
      <c r="J33" s="120">
        <v>8.8</v>
      </c>
      <c r="K33" s="121">
        <v>6.7</v>
      </c>
    </row>
    <row r="34" spans="1:11" ht="16.5" customHeight="1">
      <c r="A34" s="118" t="s">
        <v>240</v>
      </c>
      <c r="B34" s="129" t="s">
        <v>234</v>
      </c>
      <c r="C34" s="139">
        <v>9.1</v>
      </c>
      <c r="D34" s="136">
        <v>2.1</v>
      </c>
      <c r="E34" s="136">
        <v>2.2</v>
      </c>
      <c r="F34" s="136">
        <v>7</v>
      </c>
      <c r="G34" s="154">
        <v>4.8</v>
      </c>
      <c r="H34" s="137">
        <v>8.6</v>
      </c>
      <c r="I34" s="137">
        <v>9.8</v>
      </c>
      <c r="J34" s="120">
        <v>2.3</v>
      </c>
      <c r="K34" s="121">
        <v>3.7</v>
      </c>
    </row>
    <row r="35" spans="1:11" ht="16.5" customHeight="1">
      <c r="A35" s="118" t="s">
        <v>241</v>
      </c>
      <c r="B35" s="129" t="s">
        <v>222</v>
      </c>
      <c r="C35" s="140">
        <v>-3.6</v>
      </c>
      <c r="D35" s="136">
        <v>3.2</v>
      </c>
      <c r="E35" s="136">
        <v>4</v>
      </c>
      <c r="F35" s="136">
        <v>7.1</v>
      </c>
      <c r="G35" s="154">
        <v>6.6</v>
      </c>
      <c r="H35" s="137">
        <v>2.7</v>
      </c>
      <c r="I35" s="137">
        <v>-3.1</v>
      </c>
      <c r="J35" s="120">
        <v>-4.9</v>
      </c>
      <c r="K35" s="121">
        <v>0.6</v>
      </c>
    </row>
    <row r="36" spans="1:11" ht="16.5" customHeight="1">
      <c r="A36" s="118" t="s">
        <v>242</v>
      </c>
      <c r="B36" s="129"/>
      <c r="C36" s="140"/>
      <c r="D36" s="136"/>
      <c r="E36" s="136"/>
      <c r="F36" s="136"/>
      <c r="G36" s="154"/>
      <c r="H36" s="137"/>
      <c r="I36" s="137"/>
      <c r="J36" s="120"/>
      <c r="K36" s="121"/>
    </row>
    <row r="37" spans="1:11" ht="16.5" customHeight="1">
      <c r="A37" s="118" t="s">
        <v>243</v>
      </c>
      <c r="B37" s="129" t="s">
        <v>222</v>
      </c>
      <c r="C37" s="140">
        <v>18.4</v>
      </c>
      <c r="D37" s="136">
        <v>17</v>
      </c>
      <c r="E37" s="136">
        <v>14.3</v>
      </c>
      <c r="F37" s="136">
        <v>13.3</v>
      </c>
      <c r="G37" s="154">
        <v>13.1</v>
      </c>
      <c r="H37" s="137">
        <v>9.6</v>
      </c>
      <c r="I37" s="137">
        <v>7.2</v>
      </c>
      <c r="J37" s="120">
        <v>6.5</v>
      </c>
      <c r="K37" s="121">
        <v>7.8</v>
      </c>
    </row>
    <row r="38" spans="1:11" ht="16.5" customHeight="1">
      <c r="A38" s="118" t="s">
        <v>244</v>
      </c>
      <c r="B38" s="129" t="s">
        <v>222</v>
      </c>
      <c r="C38" s="140">
        <v>21</v>
      </c>
      <c r="D38" s="136">
        <v>17.5</v>
      </c>
      <c r="E38" s="136">
        <v>15.2</v>
      </c>
      <c r="F38" s="136">
        <v>14.6</v>
      </c>
      <c r="G38" s="154">
        <v>12</v>
      </c>
      <c r="H38" s="137">
        <v>9.9</v>
      </c>
      <c r="I38" s="137">
        <v>7.9</v>
      </c>
      <c r="J38" s="120">
        <v>9.3</v>
      </c>
      <c r="K38" s="121">
        <v>10.2</v>
      </c>
    </row>
    <row r="39" spans="1:11" ht="16.5" customHeight="1">
      <c r="A39" s="118" t="s">
        <v>245</v>
      </c>
      <c r="B39" s="129" t="s">
        <v>222</v>
      </c>
      <c r="C39" s="140">
        <v>20.4</v>
      </c>
      <c r="D39" s="136">
        <v>16.3</v>
      </c>
      <c r="E39" s="136">
        <v>14.9</v>
      </c>
      <c r="F39" s="136">
        <v>16.4</v>
      </c>
      <c r="G39" s="154">
        <v>14.5</v>
      </c>
      <c r="H39" s="137">
        <v>5.2</v>
      </c>
      <c r="I39" s="137">
        <v>-0.8</v>
      </c>
      <c r="J39" s="120">
        <v>6.5</v>
      </c>
      <c r="K39" s="121">
        <v>6.9</v>
      </c>
    </row>
    <row r="40" spans="1:11" ht="16.5" customHeight="1" thickBot="1">
      <c r="A40" s="163" t="s">
        <v>246</v>
      </c>
      <c r="B40" s="164" t="s">
        <v>222</v>
      </c>
      <c r="C40" s="165">
        <v>18.9</v>
      </c>
      <c r="D40" s="166">
        <v>20.4</v>
      </c>
      <c r="E40" s="166">
        <v>17.9</v>
      </c>
      <c r="F40" s="166">
        <v>14.7</v>
      </c>
      <c r="G40" s="167">
        <v>12.6</v>
      </c>
      <c r="H40" s="168">
        <v>7.2</v>
      </c>
      <c r="I40" s="168">
        <v>8.7</v>
      </c>
      <c r="J40" s="169">
        <v>9.5</v>
      </c>
      <c r="K40" s="170">
        <v>4.6</v>
      </c>
    </row>
    <row r="41" spans="1:11" ht="16.5" customHeight="1">
      <c r="A41" s="291" t="s">
        <v>212</v>
      </c>
      <c r="B41" s="125" t="s">
        <v>213</v>
      </c>
      <c r="C41" s="293">
        <v>1993</v>
      </c>
      <c r="D41" s="293">
        <v>1994</v>
      </c>
      <c r="E41" s="293">
        <v>1995</v>
      </c>
      <c r="F41" s="293">
        <v>1996</v>
      </c>
      <c r="G41" s="303">
        <v>1997</v>
      </c>
      <c r="H41" s="304">
        <v>1998</v>
      </c>
      <c r="I41" s="305">
        <v>1999</v>
      </c>
      <c r="J41" s="301">
        <v>2000</v>
      </c>
      <c r="K41" s="112">
        <v>2001</v>
      </c>
    </row>
    <row r="42" spans="1:11" ht="18.75" customHeight="1" thickBot="1">
      <c r="A42" s="292"/>
      <c r="B42" s="126" t="s">
        <v>214</v>
      </c>
      <c r="C42" s="294"/>
      <c r="D42" s="294"/>
      <c r="E42" s="294"/>
      <c r="F42" s="295"/>
      <c r="G42" s="297"/>
      <c r="H42" s="299"/>
      <c r="I42" s="299"/>
      <c r="J42" s="302"/>
      <c r="K42" s="113" t="s">
        <v>215</v>
      </c>
    </row>
    <row r="43" spans="1:11" ht="16.5" customHeight="1">
      <c r="A43" s="171"/>
      <c r="B43" s="172"/>
      <c r="C43" s="173"/>
      <c r="D43" s="173"/>
      <c r="E43" s="173"/>
      <c r="F43" s="173"/>
      <c r="G43" s="130"/>
      <c r="H43" s="131"/>
      <c r="I43" s="131"/>
      <c r="J43" s="131"/>
      <c r="K43" s="132"/>
    </row>
    <row r="44" spans="1:11" ht="16.5" customHeight="1">
      <c r="A44" s="133" t="s">
        <v>247</v>
      </c>
      <c r="B44" s="129"/>
      <c r="C44" s="174"/>
      <c r="D44" s="174"/>
      <c r="E44" s="174"/>
      <c r="F44" s="174"/>
      <c r="G44" s="130"/>
      <c r="H44" s="131"/>
      <c r="I44" s="131"/>
      <c r="J44" s="131"/>
      <c r="K44" s="132"/>
    </row>
    <row r="45" spans="1:11" ht="16.5" customHeight="1">
      <c r="A45" s="118" t="s">
        <v>248</v>
      </c>
      <c r="B45" s="129" t="s">
        <v>222</v>
      </c>
      <c r="C45" s="136">
        <v>23.1</v>
      </c>
      <c r="D45" s="136">
        <v>13.5</v>
      </c>
      <c r="E45" s="136">
        <v>9.9</v>
      </c>
      <c r="F45" s="136">
        <v>5.8</v>
      </c>
      <c r="G45" s="154">
        <v>6.1</v>
      </c>
      <c r="H45" s="137">
        <v>6.7</v>
      </c>
      <c r="I45" s="137">
        <v>10.6</v>
      </c>
      <c r="J45" s="137">
        <v>12</v>
      </c>
      <c r="K45" s="121">
        <v>7.2</v>
      </c>
    </row>
    <row r="46" spans="1:11" ht="16.5" customHeight="1">
      <c r="A46" s="118" t="s">
        <v>249</v>
      </c>
      <c r="B46" s="129" t="s">
        <v>222</v>
      </c>
      <c r="C46" s="136">
        <v>17.2</v>
      </c>
      <c r="D46" s="136">
        <v>10</v>
      </c>
      <c r="E46" s="136">
        <v>9</v>
      </c>
      <c r="F46" s="136">
        <v>4.1</v>
      </c>
      <c r="G46" s="154">
        <v>4.5</v>
      </c>
      <c r="H46" s="137">
        <v>3.3</v>
      </c>
      <c r="I46" s="137">
        <v>3.8</v>
      </c>
      <c r="J46" s="137">
        <v>9.8</v>
      </c>
      <c r="K46" s="121">
        <v>8.7</v>
      </c>
    </row>
    <row r="47" spans="1:11" ht="16.5" customHeight="1">
      <c r="A47" s="118" t="s">
        <v>250</v>
      </c>
      <c r="B47" s="129" t="s">
        <v>222</v>
      </c>
      <c r="C47" s="136">
        <v>24.1</v>
      </c>
      <c r="D47" s="136">
        <v>11</v>
      </c>
      <c r="E47" s="136">
        <v>12</v>
      </c>
      <c r="F47" s="136">
        <v>15</v>
      </c>
      <c r="G47" s="154">
        <v>9.7</v>
      </c>
      <c r="H47" s="137">
        <v>8.9</v>
      </c>
      <c r="I47" s="137">
        <v>11</v>
      </c>
      <c r="J47" s="137">
        <v>9</v>
      </c>
      <c r="K47" s="121">
        <v>7</v>
      </c>
    </row>
    <row r="48" spans="1:11" ht="16.5" customHeight="1">
      <c r="A48" s="118" t="s">
        <v>251</v>
      </c>
      <c r="B48" s="306" t="s">
        <v>222</v>
      </c>
      <c r="C48" s="308">
        <v>13.6</v>
      </c>
      <c r="D48" s="308">
        <v>9.2</v>
      </c>
      <c r="E48" s="308">
        <v>12.2</v>
      </c>
      <c r="F48" s="308">
        <v>7.4</v>
      </c>
      <c r="G48" s="311">
        <v>7.6</v>
      </c>
      <c r="H48" s="310">
        <v>7.3</v>
      </c>
      <c r="I48" s="310">
        <v>1.8</v>
      </c>
      <c r="J48" s="315">
        <v>6</v>
      </c>
      <c r="K48" s="316">
        <v>7.6</v>
      </c>
    </row>
    <row r="49" spans="1:11" ht="16.5" customHeight="1">
      <c r="A49" s="175" t="s">
        <v>252</v>
      </c>
      <c r="B49" s="307"/>
      <c r="C49" s="309"/>
      <c r="D49" s="309"/>
      <c r="E49" s="309"/>
      <c r="F49" s="309"/>
      <c r="G49" s="312"/>
      <c r="H49" s="313"/>
      <c r="I49" s="313"/>
      <c r="J49" s="315"/>
      <c r="K49" s="316"/>
    </row>
    <row r="50" spans="1:11" ht="16.5" customHeight="1">
      <c r="A50" s="118" t="s">
        <v>253</v>
      </c>
      <c r="B50" s="129" t="s">
        <v>222</v>
      </c>
      <c r="C50" s="136">
        <v>14.6</v>
      </c>
      <c r="D50" s="136">
        <v>10.8</v>
      </c>
      <c r="E50" s="136">
        <v>3.3</v>
      </c>
      <c r="F50" s="136">
        <v>5.4</v>
      </c>
      <c r="G50" s="154">
        <v>5.6</v>
      </c>
      <c r="H50" s="137">
        <v>-0.3</v>
      </c>
      <c r="I50" s="137">
        <v>-1.8</v>
      </c>
      <c r="J50" s="137">
        <v>7.2</v>
      </c>
      <c r="K50" s="121">
        <v>9.5</v>
      </c>
    </row>
    <row r="51" spans="1:11" ht="16.5" customHeight="1">
      <c r="A51" s="118" t="s">
        <v>254</v>
      </c>
      <c r="B51" s="129" t="s">
        <v>222</v>
      </c>
      <c r="C51" s="176" t="s">
        <v>15</v>
      </c>
      <c r="D51" s="176" t="s">
        <v>15</v>
      </c>
      <c r="E51" s="176" t="s">
        <v>15</v>
      </c>
      <c r="F51" s="176" t="s">
        <v>15</v>
      </c>
      <c r="G51" s="138" t="s">
        <v>15</v>
      </c>
      <c r="H51" s="137">
        <v>6.1</v>
      </c>
      <c r="I51" s="137">
        <v>6</v>
      </c>
      <c r="J51" s="137">
        <v>5.7</v>
      </c>
      <c r="K51" s="121">
        <v>3.9</v>
      </c>
    </row>
    <row r="52" spans="1:11" ht="16.5" customHeight="1">
      <c r="A52" s="118"/>
      <c r="B52" s="129"/>
      <c r="C52" s="136"/>
      <c r="D52" s="136"/>
      <c r="E52" s="136"/>
      <c r="F52" s="136"/>
      <c r="G52" s="154"/>
      <c r="H52" s="177"/>
      <c r="I52" s="177"/>
      <c r="J52" s="177"/>
      <c r="K52" s="157"/>
    </row>
    <row r="53" spans="1:11" ht="18.75" customHeight="1">
      <c r="A53" s="158" t="s">
        <v>255</v>
      </c>
      <c r="B53" s="159"/>
      <c r="C53" s="161"/>
      <c r="D53" s="161"/>
      <c r="E53" s="161"/>
      <c r="F53" s="161"/>
      <c r="G53" s="162"/>
      <c r="H53" s="131"/>
      <c r="I53" s="131"/>
      <c r="J53" s="131"/>
      <c r="K53" s="121"/>
    </row>
    <row r="54" spans="1:11" ht="18.75" customHeight="1">
      <c r="A54" s="118" t="s">
        <v>256</v>
      </c>
      <c r="B54" s="129"/>
      <c r="C54" s="136"/>
      <c r="D54" s="136"/>
      <c r="E54" s="136"/>
      <c r="F54" s="136"/>
      <c r="G54" s="154"/>
      <c r="H54" s="131"/>
      <c r="I54" s="131"/>
      <c r="J54" s="131"/>
      <c r="K54" s="121"/>
    </row>
    <row r="55" spans="1:11" ht="16.5" customHeight="1">
      <c r="A55" s="118" t="s">
        <v>70</v>
      </c>
      <c r="B55" s="129" t="s">
        <v>257</v>
      </c>
      <c r="C55" s="176" t="s">
        <v>15</v>
      </c>
      <c r="D55" s="136">
        <v>333.5</v>
      </c>
      <c r="E55" s="136">
        <v>323.7</v>
      </c>
      <c r="F55" s="136">
        <v>284.2</v>
      </c>
      <c r="G55" s="154">
        <v>297.5</v>
      </c>
      <c r="H55" s="137">
        <v>317.1</v>
      </c>
      <c r="I55" s="120">
        <v>416.8</v>
      </c>
      <c r="J55" s="120">
        <v>485.2</v>
      </c>
      <c r="K55" s="121">
        <v>512.2</v>
      </c>
    </row>
    <row r="56" spans="1:11" ht="16.5" customHeight="1">
      <c r="A56" s="118" t="s">
        <v>68</v>
      </c>
      <c r="B56" s="129" t="s">
        <v>44</v>
      </c>
      <c r="C56" s="176" t="s">
        <v>15</v>
      </c>
      <c r="D56" s="136">
        <v>13.7</v>
      </c>
      <c r="E56" s="136">
        <v>13.1</v>
      </c>
      <c r="F56" s="136">
        <v>11.3</v>
      </c>
      <c r="G56" s="154">
        <v>11.8</v>
      </c>
      <c r="H56" s="137">
        <v>12.5</v>
      </c>
      <c r="I56" s="137">
        <v>16.2</v>
      </c>
      <c r="J56" s="120">
        <v>18.6</v>
      </c>
      <c r="K56" s="121">
        <v>19.3</v>
      </c>
    </row>
    <row r="57" spans="1:11" ht="16.5" customHeight="1">
      <c r="A57" s="118" t="s">
        <v>258</v>
      </c>
      <c r="B57" s="306" t="s">
        <v>44</v>
      </c>
      <c r="C57" s="317" t="s">
        <v>15</v>
      </c>
      <c r="D57" s="317" t="s">
        <v>15</v>
      </c>
      <c r="E57" s="317" t="s">
        <v>15</v>
      </c>
      <c r="F57" s="317" t="s">
        <v>15</v>
      </c>
      <c r="G57" s="319" t="s">
        <v>15</v>
      </c>
      <c r="H57" s="310">
        <v>13.7</v>
      </c>
      <c r="I57" s="310">
        <v>17.3</v>
      </c>
      <c r="J57" s="315">
        <v>18.3</v>
      </c>
      <c r="K57" s="316">
        <v>19.4</v>
      </c>
    </row>
    <row r="58" spans="1:11" ht="16.5" customHeight="1">
      <c r="A58" s="118" t="s">
        <v>259</v>
      </c>
      <c r="B58" s="306"/>
      <c r="C58" s="318"/>
      <c r="D58" s="317"/>
      <c r="E58" s="317"/>
      <c r="F58" s="317"/>
      <c r="G58" s="319"/>
      <c r="H58" s="310"/>
      <c r="I58" s="310"/>
      <c r="J58" s="315"/>
      <c r="K58" s="316"/>
    </row>
    <row r="59" spans="1:11" ht="16.5" customHeight="1">
      <c r="A59" s="118"/>
      <c r="B59" s="129"/>
      <c r="C59" s="136"/>
      <c r="D59" s="136"/>
      <c r="E59" s="136"/>
      <c r="F59" s="136"/>
      <c r="G59" s="154"/>
      <c r="H59" s="155"/>
      <c r="I59" s="177"/>
      <c r="J59" s="156"/>
      <c r="K59" s="157"/>
    </row>
    <row r="60" spans="1:11" ht="18.75">
      <c r="A60" s="158" t="s">
        <v>260</v>
      </c>
      <c r="B60" s="159"/>
      <c r="C60" s="161"/>
      <c r="D60" s="161"/>
      <c r="E60" s="161"/>
      <c r="F60" s="161"/>
      <c r="G60" s="162"/>
      <c r="H60" s="137"/>
      <c r="I60" s="131"/>
      <c r="J60" s="120"/>
      <c r="K60" s="121"/>
    </row>
    <row r="61" spans="1:11" ht="16.5" customHeight="1">
      <c r="A61" s="118" t="s">
        <v>261</v>
      </c>
      <c r="B61" s="129"/>
      <c r="C61" s="136"/>
      <c r="D61" s="136"/>
      <c r="E61" s="136"/>
      <c r="F61" s="136"/>
      <c r="G61" s="154"/>
      <c r="H61" s="137"/>
      <c r="I61" s="131"/>
      <c r="J61" s="120"/>
      <c r="K61" s="121"/>
    </row>
    <row r="62" spans="1:11" ht="16.5" customHeight="1">
      <c r="A62" s="118" t="s">
        <v>262</v>
      </c>
      <c r="B62" s="129" t="s">
        <v>217</v>
      </c>
      <c r="C62" s="136">
        <v>167.7</v>
      </c>
      <c r="D62" s="136">
        <v>214.4</v>
      </c>
      <c r="E62" s="136">
        <v>255.1</v>
      </c>
      <c r="F62" s="136">
        <v>270.6</v>
      </c>
      <c r="G62" s="119">
        <v>324</v>
      </c>
      <c r="H62" s="137">
        <v>377.8</v>
      </c>
      <c r="I62" s="137">
        <v>423.6</v>
      </c>
      <c r="J62" s="120">
        <v>548.372</v>
      </c>
      <c r="K62" s="121">
        <v>148.3</v>
      </c>
    </row>
    <row r="63" spans="1:11" ht="16.5" customHeight="1">
      <c r="A63" s="118" t="s">
        <v>263</v>
      </c>
      <c r="B63" s="129" t="s">
        <v>217</v>
      </c>
      <c r="C63" s="136">
        <v>71.1</v>
      </c>
      <c r="D63" s="136">
        <v>80.2</v>
      </c>
      <c r="E63" s="136">
        <v>89.9</v>
      </c>
      <c r="F63" s="136">
        <v>83.9</v>
      </c>
      <c r="G63" s="119">
        <v>82.6</v>
      </c>
      <c r="H63" s="137">
        <v>76.8</v>
      </c>
      <c r="I63" s="137">
        <v>76.5</v>
      </c>
      <c r="J63" s="120">
        <v>95.357</v>
      </c>
      <c r="K63" s="121">
        <v>24.8</v>
      </c>
    </row>
    <row r="64" spans="1:11" ht="16.5" customHeight="1">
      <c r="A64" s="118" t="s">
        <v>264</v>
      </c>
      <c r="B64" s="129" t="s">
        <v>217</v>
      </c>
      <c r="C64" s="136">
        <v>195</v>
      </c>
      <c r="D64" s="136">
        <v>211.8</v>
      </c>
      <c r="E64" s="136">
        <v>260.8</v>
      </c>
      <c r="F64" s="136">
        <v>340.9</v>
      </c>
      <c r="G64" s="119">
        <v>394</v>
      </c>
      <c r="H64" s="137">
        <v>460.7</v>
      </c>
      <c r="I64" s="137">
        <v>468.9</v>
      </c>
      <c r="J64" s="120">
        <v>590.728</v>
      </c>
      <c r="K64" s="121">
        <v>167.5</v>
      </c>
    </row>
    <row r="65" spans="1:11" ht="16.5" customHeight="1">
      <c r="A65" s="118" t="s">
        <v>263</v>
      </c>
      <c r="B65" s="129" t="s">
        <v>217</v>
      </c>
      <c r="C65" s="136">
        <v>70</v>
      </c>
      <c r="D65" s="136">
        <v>62.7</v>
      </c>
      <c r="E65" s="136">
        <v>72.4</v>
      </c>
      <c r="F65" s="136">
        <v>83</v>
      </c>
      <c r="G65" s="119">
        <v>84.1</v>
      </c>
      <c r="H65" s="137">
        <v>84.7</v>
      </c>
      <c r="I65" s="137">
        <v>78.2</v>
      </c>
      <c r="J65" s="120">
        <v>86.833</v>
      </c>
      <c r="K65" s="121">
        <v>24.7</v>
      </c>
    </row>
    <row r="66" spans="1:11" ht="16.5" customHeight="1">
      <c r="A66" s="118" t="s">
        <v>265</v>
      </c>
      <c r="B66" s="129" t="s">
        <v>217</v>
      </c>
      <c r="C66" s="136">
        <f>C62-C64</f>
        <v>-27.30000000000001</v>
      </c>
      <c r="D66" s="136">
        <v>2.6</v>
      </c>
      <c r="E66" s="136">
        <v>-5.7</v>
      </c>
      <c r="F66" s="136">
        <v>-70.3</v>
      </c>
      <c r="G66" s="139">
        <v>-70</v>
      </c>
      <c r="H66" s="137">
        <v>-82.9</v>
      </c>
      <c r="I66" s="137">
        <v>-45.2</v>
      </c>
      <c r="J66" s="120">
        <f>J62-J64</f>
        <v>-42.355999999999995</v>
      </c>
      <c r="K66" s="121">
        <v>-19.2</v>
      </c>
    </row>
    <row r="67" spans="1:11" ht="16.5" customHeight="1">
      <c r="A67" s="118" t="s">
        <v>266</v>
      </c>
      <c r="B67" s="129" t="s">
        <v>217</v>
      </c>
      <c r="C67" s="136">
        <f>C63-C65</f>
        <v>1.0999999999999943</v>
      </c>
      <c r="D67" s="136">
        <v>17.4</v>
      </c>
      <c r="E67" s="136">
        <v>17.6</v>
      </c>
      <c r="F67" s="136">
        <v>0.9</v>
      </c>
      <c r="G67" s="139">
        <v>-1.5</v>
      </c>
      <c r="H67" s="137">
        <v>-7.9</v>
      </c>
      <c r="I67" s="137">
        <f>I63-I65</f>
        <v>-1.7000000000000028</v>
      </c>
      <c r="J67" s="120">
        <f>J63-J65</f>
        <v>8.524000000000001</v>
      </c>
      <c r="K67" s="121">
        <v>0.051</v>
      </c>
    </row>
    <row r="68" spans="1:11" ht="16.5" customHeight="1">
      <c r="A68" s="118"/>
      <c r="B68" s="129"/>
      <c r="C68" s="136"/>
      <c r="D68" s="136"/>
      <c r="E68" s="136"/>
      <c r="F68" s="136"/>
      <c r="G68" s="154"/>
      <c r="H68" s="177"/>
      <c r="I68" s="177"/>
      <c r="J68" s="156"/>
      <c r="K68" s="157"/>
    </row>
    <row r="69" spans="1:11" ht="16.5" customHeight="1">
      <c r="A69" s="158" t="s">
        <v>267</v>
      </c>
      <c r="B69" s="159"/>
      <c r="C69" s="161"/>
      <c r="D69" s="161"/>
      <c r="E69" s="161"/>
      <c r="F69" s="161"/>
      <c r="G69" s="162"/>
      <c r="H69" s="131"/>
      <c r="I69" s="131"/>
      <c r="J69" s="120"/>
      <c r="K69" s="121"/>
    </row>
    <row r="70" spans="1:11" ht="16.5" customHeight="1">
      <c r="A70" s="118" t="s">
        <v>268</v>
      </c>
      <c r="B70" s="129"/>
      <c r="C70" s="136"/>
      <c r="D70" s="136"/>
      <c r="E70" s="136"/>
      <c r="F70" s="136"/>
      <c r="G70" s="154"/>
      <c r="H70" s="131"/>
      <c r="I70" s="131"/>
      <c r="J70" s="120"/>
      <c r="K70" s="121"/>
    </row>
    <row r="71" spans="1:11" ht="16.5" customHeight="1">
      <c r="A71" s="118" t="s">
        <v>269</v>
      </c>
      <c r="B71" s="129" t="s">
        <v>114</v>
      </c>
      <c r="C71" s="136">
        <v>-531.7</v>
      </c>
      <c r="D71" s="178">
        <v>758.6</v>
      </c>
      <c r="E71" s="136">
        <v>510.6</v>
      </c>
      <c r="F71" s="136">
        <v>-1959.5</v>
      </c>
      <c r="G71" s="139" t="s">
        <v>270</v>
      </c>
      <c r="H71" s="141">
        <v>-1982</v>
      </c>
      <c r="I71" s="141">
        <v>-979.6</v>
      </c>
      <c r="J71" s="120">
        <v>-714.2</v>
      </c>
      <c r="K71" s="121">
        <v>-315.1</v>
      </c>
    </row>
    <row r="72" spans="1:11" ht="16.5" customHeight="1">
      <c r="A72" s="118" t="s">
        <v>269</v>
      </c>
      <c r="B72" s="129" t="s">
        <v>271</v>
      </c>
      <c r="C72" s="135">
        <f>-16.3708/C7*100</f>
        <v>-4.191193036354327</v>
      </c>
      <c r="D72" s="178">
        <f>24.304/D7*100</f>
        <v>5.213213213213213</v>
      </c>
      <c r="E72" s="136">
        <f>15.182/E7*100</f>
        <v>2.7805860805860805</v>
      </c>
      <c r="F72" s="136">
        <f>-60.054/F7*100</f>
        <v>-9.908265962712424</v>
      </c>
      <c r="G72" s="135">
        <f>-61.418/G7*100</f>
        <v>-8.951756303745809</v>
      </c>
      <c r="H72" s="135">
        <f>-69.849/H7*100</f>
        <v>-9.303276505061268</v>
      </c>
      <c r="I72" s="137">
        <f>-40.574/I7*100</f>
        <v>-4.976573040598552</v>
      </c>
      <c r="J72" s="120">
        <f>-32.9961/J7*100</f>
        <v>-3.7191275924256084</v>
      </c>
      <c r="K72" s="121">
        <f>-14.9024/K7*100</f>
        <v>-6.718845807033364</v>
      </c>
    </row>
    <row r="73" spans="1:11" ht="16.5" customHeight="1">
      <c r="A73" s="118" t="s">
        <v>272</v>
      </c>
      <c r="B73" s="129" t="s">
        <v>271</v>
      </c>
      <c r="C73" s="135">
        <f>-28.696/C7*100</f>
        <v>-7.346646185355862</v>
      </c>
      <c r="D73" s="178">
        <f>1.875/D7*100</f>
        <v>0.4021879021879022</v>
      </c>
      <c r="E73" s="136">
        <f>-6.766/E7*100</f>
        <v>-1.2391941391941392</v>
      </c>
      <c r="F73" s="136">
        <f>-70.26/F7*100</f>
        <v>-11.59214651047682</v>
      </c>
      <c r="G73" s="139" t="s">
        <v>273</v>
      </c>
      <c r="H73" s="135">
        <f>-82.929/H7*100</f>
        <v>-11.045418220564732</v>
      </c>
      <c r="I73" s="137">
        <f>-45.244/I7*100</f>
        <v>-5.549368330675826</v>
      </c>
      <c r="J73" s="120">
        <f>-42.356/J7*100</f>
        <v>-4.774120829576195</v>
      </c>
      <c r="K73" s="121">
        <f>-19.221/K7*100</f>
        <v>-8.665915238954012</v>
      </c>
    </row>
    <row r="74" spans="1:11" ht="16.5" customHeight="1">
      <c r="A74" s="118" t="s">
        <v>274</v>
      </c>
      <c r="B74" s="129" t="s">
        <v>114</v>
      </c>
      <c r="C74" s="136">
        <v>580</v>
      </c>
      <c r="D74" s="136">
        <v>215</v>
      </c>
      <c r="E74" s="136">
        <v>1165.8</v>
      </c>
      <c r="F74" s="136">
        <v>2215.8</v>
      </c>
      <c r="G74" s="154">
        <v>1862.03</v>
      </c>
      <c r="H74" s="141">
        <v>2053</v>
      </c>
      <c r="I74" s="120">
        <v>1924.1</v>
      </c>
      <c r="J74" s="120">
        <v>1487.1</v>
      </c>
      <c r="K74" s="121">
        <v>309.7</v>
      </c>
    </row>
    <row r="75" spans="1:11" ht="16.5" customHeight="1">
      <c r="A75" s="118" t="s">
        <v>275</v>
      </c>
      <c r="B75" s="129"/>
      <c r="C75" s="136"/>
      <c r="D75" s="136"/>
      <c r="E75" s="136"/>
      <c r="F75" s="136"/>
      <c r="G75" s="154"/>
      <c r="H75" s="131"/>
      <c r="I75" s="131"/>
      <c r="J75" s="120"/>
      <c r="K75" s="121"/>
    </row>
    <row r="76" spans="1:11" ht="16.5" customHeight="1">
      <c r="A76" s="118" t="s">
        <v>243</v>
      </c>
      <c r="B76" s="129" t="s">
        <v>114</v>
      </c>
      <c r="C76" s="136">
        <v>1402.3</v>
      </c>
      <c r="D76" s="136">
        <v>3093</v>
      </c>
      <c r="E76" s="136">
        <v>5036.7</v>
      </c>
      <c r="F76" s="136">
        <v>5682.5</v>
      </c>
      <c r="G76" s="154">
        <v>6488.5</v>
      </c>
      <c r="H76" s="137">
        <v>5957.8</v>
      </c>
      <c r="I76" s="137">
        <v>4387.4</v>
      </c>
      <c r="J76" s="120">
        <v>5581.7</v>
      </c>
      <c r="K76" s="121">
        <v>5277.2</v>
      </c>
    </row>
    <row r="77" spans="1:11" ht="16.5" customHeight="1">
      <c r="A77" s="118" t="s">
        <v>276</v>
      </c>
      <c r="B77" s="129" t="s">
        <v>114</v>
      </c>
      <c r="C77" s="136">
        <v>449.6</v>
      </c>
      <c r="D77" s="136">
        <v>1745</v>
      </c>
      <c r="E77" s="136">
        <v>3418.4</v>
      </c>
      <c r="F77" s="136">
        <v>3473.3</v>
      </c>
      <c r="G77" s="154">
        <v>3284.9</v>
      </c>
      <c r="H77" s="137">
        <v>2923.3</v>
      </c>
      <c r="I77" s="137">
        <v>3425.2</v>
      </c>
      <c r="J77" s="120">
        <v>4076.8</v>
      </c>
      <c r="K77" s="121">
        <v>3863</v>
      </c>
    </row>
    <row r="78" spans="1:11" ht="16.5" customHeight="1">
      <c r="A78" s="118" t="s">
        <v>277</v>
      </c>
      <c r="B78" s="129" t="s">
        <v>278</v>
      </c>
      <c r="C78" s="136">
        <v>3.7</v>
      </c>
      <c r="D78" s="136">
        <v>4.7</v>
      </c>
      <c r="E78" s="136">
        <v>5.7</v>
      </c>
      <c r="F78" s="136">
        <v>7.7</v>
      </c>
      <c r="G78" s="119" t="s">
        <v>279</v>
      </c>
      <c r="H78" s="141">
        <v>11.902</v>
      </c>
      <c r="I78" s="120">
        <v>10.518</v>
      </c>
      <c r="J78" s="120">
        <v>10.8042</v>
      </c>
      <c r="K78" s="121">
        <v>11.4846</v>
      </c>
    </row>
    <row r="79" spans="1:11" ht="16.5" customHeight="1">
      <c r="A79" s="118" t="s">
        <v>280</v>
      </c>
      <c r="B79" s="129" t="s">
        <v>271</v>
      </c>
      <c r="C79" s="136">
        <f>C78/(C7/C81)*100</f>
        <v>31.450947260624673</v>
      </c>
      <c r="D79" s="136">
        <f>D78/(D7/D81)*100</f>
        <v>31.531939081939086</v>
      </c>
      <c r="E79" s="136">
        <f>E78/(E7/E81)*100</f>
        <v>30.868736263736263</v>
      </c>
      <c r="F79" s="136">
        <f>F78/(F7/31.895)*100</f>
        <v>40.51996370235935</v>
      </c>
      <c r="G79" s="135">
        <f>9.8/(G7/G81)*100</f>
        <v>49.681329252295576</v>
      </c>
      <c r="H79" s="135">
        <f>H78/(H7/H81)*100</f>
        <v>58.516053010122526</v>
      </c>
      <c r="I79" s="120">
        <f>I78/(I7/42.266)*100</f>
        <v>54.52640598552681</v>
      </c>
      <c r="J79" s="120">
        <f>J78/(J7/47.389)*100</f>
        <v>57.709674684400355</v>
      </c>
      <c r="K79" s="121">
        <f>K78/(907.4/K81)*100</f>
        <v>62.20086698258762</v>
      </c>
    </row>
    <row r="80" spans="1:11" ht="16.5" customHeight="1">
      <c r="A80" s="118" t="s">
        <v>281</v>
      </c>
      <c r="B80" s="129"/>
      <c r="C80" s="136"/>
      <c r="D80" s="136"/>
      <c r="E80" s="136"/>
      <c r="F80" s="136"/>
      <c r="G80" s="154"/>
      <c r="H80" s="131"/>
      <c r="I80" s="131"/>
      <c r="J80" s="131"/>
      <c r="K80" s="132"/>
    </row>
    <row r="81" spans="1:11" ht="16.5" customHeight="1">
      <c r="A81" s="118" t="s">
        <v>282</v>
      </c>
      <c r="B81" s="129"/>
      <c r="C81" s="179">
        <v>33.202</v>
      </c>
      <c r="D81" s="179">
        <v>31.277</v>
      </c>
      <c r="E81" s="179">
        <v>29.569</v>
      </c>
      <c r="F81" s="179">
        <v>31.895</v>
      </c>
      <c r="G81" s="180">
        <v>34.782</v>
      </c>
      <c r="H81" s="181">
        <v>36.913</v>
      </c>
      <c r="I81" s="131">
        <v>42.266</v>
      </c>
      <c r="J81" s="131">
        <v>47.389</v>
      </c>
      <c r="K81" s="132">
        <v>49.145</v>
      </c>
    </row>
    <row r="82" spans="1:11" ht="16.5" customHeight="1">
      <c r="A82" s="118" t="s">
        <v>283</v>
      </c>
      <c r="B82" s="129"/>
      <c r="C82" s="179">
        <v>19.233</v>
      </c>
      <c r="D82" s="179">
        <v>20.06</v>
      </c>
      <c r="E82" s="179">
        <v>20.646</v>
      </c>
      <c r="F82" s="179">
        <v>20.514</v>
      </c>
      <c r="G82" s="180">
        <v>19.398</v>
      </c>
      <c r="H82" s="181">
        <v>22.081</v>
      </c>
      <c r="I82" s="131">
        <v>21.708</v>
      </c>
      <c r="J82" s="131">
        <v>22.495</v>
      </c>
      <c r="K82" s="132">
        <v>22.305</v>
      </c>
    </row>
    <row r="83" spans="1:11" ht="16.5" customHeight="1" thickBot="1">
      <c r="A83" s="163" t="s">
        <v>284</v>
      </c>
      <c r="B83" s="164"/>
      <c r="C83" s="182" t="s">
        <v>15</v>
      </c>
      <c r="D83" s="182" t="s">
        <v>15</v>
      </c>
      <c r="E83" s="182" t="s">
        <v>15</v>
      </c>
      <c r="F83" s="182" t="s">
        <v>15</v>
      </c>
      <c r="G83" s="183" t="s">
        <v>15</v>
      </c>
      <c r="H83" s="184" t="s">
        <v>15</v>
      </c>
      <c r="I83" s="185">
        <v>42.458</v>
      </c>
      <c r="J83" s="185">
        <v>43.996</v>
      </c>
      <c r="K83" s="186">
        <v>43.624</v>
      </c>
    </row>
    <row r="84" spans="1:11" ht="16.5" customHeight="1">
      <c r="A84" s="291" t="s">
        <v>212</v>
      </c>
      <c r="B84" s="125" t="s">
        <v>213</v>
      </c>
      <c r="C84" s="293">
        <v>1993</v>
      </c>
      <c r="D84" s="293">
        <v>1994</v>
      </c>
      <c r="E84" s="293">
        <v>1995</v>
      </c>
      <c r="F84" s="293">
        <v>1996</v>
      </c>
      <c r="G84" s="303">
        <v>1997</v>
      </c>
      <c r="H84" s="304">
        <v>1998</v>
      </c>
      <c r="I84" s="314">
        <v>1999</v>
      </c>
      <c r="J84" s="301">
        <v>2000</v>
      </c>
      <c r="K84" s="112">
        <v>2001</v>
      </c>
    </row>
    <row r="85" spans="1:11" ht="18.75" customHeight="1" thickBot="1">
      <c r="A85" s="292"/>
      <c r="B85" s="126" t="s">
        <v>214</v>
      </c>
      <c r="C85" s="294"/>
      <c r="D85" s="294"/>
      <c r="E85" s="294"/>
      <c r="F85" s="295"/>
      <c r="G85" s="297"/>
      <c r="H85" s="299"/>
      <c r="I85" s="299"/>
      <c r="J85" s="302"/>
      <c r="K85" s="113" t="s">
        <v>215</v>
      </c>
    </row>
    <row r="86" spans="1:11" ht="16.5" customHeight="1">
      <c r="A86" s="171"/>
      <c r="B86" s="172"/>
      <c r="C86" s="173"/>
      <c r="D86" s="173"/>
      <c r="E86" s="173"/>
      <c r="F86" s="173"/>
      <c r="G86" s="130"/>
      <c r="H86" s="130"/>
      <c r="I86" s="131"/>
      <c r="J86" s="131"/>
      <c r="K86" s="132"/>
    </row>
    <row r="87" spans="1:11" ht="16.5" customHeight="1">
      <c r="A87" s="133" t="s">
        <v>285</v>
      </c>
      <c r="B87" s="129"/>
      <c r="C87" s="174"/>
      <c r="D87" s="174"/>
      <c r="E87" s="174"/>
      <c r="F87" s="174"/>
      <c r="G87" s="130"/>
      <c r="H87" s="130"/>
      <c r="I87" s="131"/>
      <c r="J87" s="131"/>
      <c r="K87" s="132"/>
    </row>
    <row r="88" spans="1:11" ht="16.5" customHeight="1">
      <c r="A88" s="118" t="s">
        <v>286</v>
      </c>
      <c r="B88" s="129" t="s">
        <v>44</v>
      </c>
      <c r="C88" s="178">
        <v>19.1</v>
      </c>
      <c r="D88" s="136">
        <v>19.1</v>
      </c>
      <c r="E88" s="136">
        <v>21.4</v>
      </c>
      <c r="F88" s="136">
        <v>16.7</v>
      </c>
      <c r="G88" s="154">
        <v>8.8</v>
      </c>
      <c r="H88" s="119">
        <v>4.2</v>
      </c>
      <c r="I88" s="120">
        <v>11.4</v>
      </c>
      <c r="J88" s="120">
        <v>15.4</v>
      </c>
      <c r="K88" s="121">
        <v>13.5</v>
      </c>
    </row>
    <row r="89" spans="1:11" ht="16.5" customHeight="1">
      <c r="A89" s="118" t="s">
        <v>287</v>
      </c>
      <c r="B89" s="129"/>
      <c r="C89" s="136"/>
      <c r="D89" s="136"/>
      <c r="E89" s="136"/>
      <c r="F89" s="136"/>
      <c r="G89" s="154"/>
      <c r="H89" s="130"/>
      <c r="I89" s="131"/>
      <c r="J89" s="137"/>
      <c r="K89" s="121"/>
    </row>
    <row r="90" spans="1:11" ht="16.5" customHeight="1">
      <c r="A90" s="118" t="s">
        <v>243</v>
      </c>
      <c r="B90" s="129" t="s">
        <v>44</v>
      </c>
      <c r="C90" s="178">
        <v>10.8</v>
      </c>
      <c r="D90" s="136">
        <v>0.8</v>
      </c>
      <c r="E90" s="136">
        <v>14.9</v>
      </c>
      <c r="F90" s="136">
        <v>18.2</v>
      </c>
      <c r="G90" s="154">
        <v>2.2</v>
      </c>
      <c r="H90" s="119">
        <v>5.8</v>
      </c>
      <c r="I90" s="120">
        <v>4.5</v>
      </c>
      <c r="J90" s="120">
        <v>0.3</v>
      </c>
      <c r="K90" s="121">
        <v>-22.5</v>
      </c>
    </row>
    <row r="91" spans="1:11" ht="16.5" customHeight="1">
      <c r="A91" s="118" t="s">
        <v>288</v>
      </c>
      <c r="B91" s="129" t="s">
        <v>44</v>
      </c>
      <c r="C91" s="178">
        <v>118.9</v>
      </c>
      <c r="D91" s="136">
        <v>77.8</v>
      </c>
      <c r="E91" s="136">
        <v>57.6</v>
      </c>
      <c r="F91" s="136">
        <v>35.7</v>
      </c>
      <c r="G91" s="154">
        <v>14.9</v>
      </c>
      <c r="H91" s="119">
        <v>25.4</v>
      </c>
      <c r="I91" s="120">
        <v>17.6</v>
      </c>
      <c r="J91" s="141">
        <v>-3.3</v>
      </c>
      <c r="K91" s="121">
        <v>-3.6</v>
      </c>
    </row>
    <row r="92" spans="1:11" ht="16.5" customHeight="1">
      <c r="A92" s="118" t="s">
        <v>289</v>
      </c>
      <c r="B92" s="129" t="s">
        <v>44</v>
      </c>
      <c r="C92" s="178">
        <v>17.9</v>
      </c>
      <c r="D92" s="136">
        <v>18.8</v>
      </c>
      <c r="E92" s="136">
        <v>25</v>
      </c>
      <c r="F92" s="136">
        <v>17.2</v>
      </c>
      <c r="G92" s="154">
        <v>7.4</v>
      </c>
      <c r="H92" s="154">
        <v>3.3</v>
      </c>
      <c r="I92" s="120">
        <v>9</v>
      </c>
      <c r="J92" s="120">
        <v>19.4</v>
      </c>
      <c r="K92" s="121">
        <v>13.3</v>
      </c>
    </row>
    <row r="93" spans="1:11" ht="16.5" customHeight="1">
      <c r="A93" s="118" t="s">
        <v>290</v>
      </c>
      <c r="B93" s="129" t="s">
        <v>44</v>
      </c>
      <c r="C93" s="178">
        <v>10.8</v>
      </c>
      <c r="D93" s="136">
        <v>16.6</v>
      </c>
      <c r="E93" s="136">
        <v>28.3</v>
      </c>
      <c r="F93" s="136">
        <v>18.9</v>
      </c>
      <c r="G93" s="154">
        <v>6.6</v>
      </c>
      <c r="H93" s="154">
        <v>-2</v>
      </c>
      <c r="I93" s="120">
        <v>8.8</v>
      </c>
      <c r="J93" s="120">
        <v>18.6</v>
      </c>
      <c r="K93" s="121">
        <v>11.4</v>
      </c>
    </row>
    <row r="94" spans="1:11" ht="16.5" customHeight="1">
      <c r="A94" s="118" t="s">
        <v>291</v>
      </c>
      <c r="B94" s="129" t="s">
        <v>44</v>
      </c>
      <c r="C94" s="178">
        <v>115.2</v>
      </c>
      <c r="D94" s="136">
        <v>34.6</v>
      </c>
      <c r="E94" s="136">
        <v>5</v>
      </c>
      <c r="F94" s="136">
        <v>4.5</v>
      </c>
      <c r="G94" s="154">
        <v>13.8</v>
      </c>
      <c r="H94" s="119">
        <v>46.2</v>
      </c>
      <c r="I94" s="120">
        <v>10</v>
      </c>
      <c r="J94" s="120">
        <v>23.5</v>
      </c>
      <c r="K94" s="121">
        <v>23.7</v>
      </c>
    </row>
    <row r="95" spans="1:11" ht="16.5" customHeight="1">
      <c r="A95" s="118" t="s">
        <v>292</v>
      </c>
      <c r="B95" s="129"/>
      <c r="C95" s="136"/>
      <c r="D95" s="136"/>
      <c r="E95" s="136"/>
      <c r="F95" s="136"/>
      <c r="G95" s="154"/>
      <c r="H95" s="130"/>
      <c r="I95" s="131"/>
      <c r="J95" s="131"/>
      <c r="K95" s="132"/>
    </row>
    <row r="96" spans="1:11" ht="16.5" customHeight="1">
      <c r="A96" s="118" t="s">
        <v>293</v>
      </c>
      <c r="B96" s="129" t="s">
        <v>44</v>
      </c>
      <c r="C96" s="174">
        <v>14</v>
      </c>
      <c r="D96" s="174">
        <v>14.51</v>
      </c>
      <c r="E96" s="174">
        <v>13.34</v>
      </c>
      <c r="F96" s="174">
        <v>11.89</v>
      </c>
      <c r="G96" s="187">
        <v>12.53</v>
      </c>
      <c r="H96" s="187">
        <v>13.48</v>
      </c>
      <c r="I96" s="188">
        <v>11.07</v>
      </c>
      <c r="J96" s="188">
        <v>9.79</v>
      </c>
      <c r="K96" s="189">
        <v>8.57</v>
      </c>
    </row>
    <row r="97" spans="1:11" ht="16.5" customHeight="1">
      <c r="A97" s="118" t="s">
        <v>294</v>
      </c>
      <c r="B97" s="129" t="s">
        <v>44</v>
      </c>
      <c r="C97" s="190" t="s">
        <v>15</v>
      </c>
      <c r="D97" s="174">
        <v>19.09</v>
      </c>
      <c r="E97" s="174">
        <v>16.32</v>
      </c>
      <c r="F97" s="174">
        <v>13.35</v>
      </c>
      <c r="G97" s="187">
        <v>18.4</v>
      </c>
      <c r="H97" s="187">
        <v>19.31</v>
      </c>
      <c r="I97" s="188">
        <v>16.89</v>
      </c>
      <c r="J97" s="188">
        <v>11.84</v>
      </c>
      <c r="K97" s="189">
        <v>9.81</v>
      </c>
    </row>
    <row r="98" spans="1:11" ht="16.5" customHeight="1">
      <c r="A98" s="118" t="s">
        <v>295</v>
      </c>
      <c r="B98" s="129" t="s">
        <v>44</v>
      </c>
      <c r="C98" s="174">
        <v>8.61</v>
      </c>
      <c r="D98" s="174">
        <v>9.29</v>
      </c>
      <c r="E98" s="174">
        <v>8.29</v>
      </c>
      <c r="F98" s="174">
        <v>6.7</v>
      </c>
      <c r="G98" s="187">
        <v>8</v>
      </c>
      <c r="H98" s="187">
        <v>10.16</v>
      </c>
      <c r="I98" s="188">
        <v>10.45</v>
      </c>
      <c r="J98" s="188">
        <v>7.23</v>
      </c>
      <c r="K98" s="189">
        <v>5.41</v>
      </c>
    </row>
    <row r="99" spans="1:11" ht="16.5" customHeight="1">
      <c r="A99" s="118" t="s">
        <v>296</v>
      </c>
      <c r="B99" s="129" t="s">
        <v>44</v>
      </c>
      <c r="C99" s="174">
        <f aca="true" t="shared" si="2" ref="C99:H99">C96-C98</f>
        <v>5.390000000000001</v>
      </c>
      <c r="D99" s="174">
        <f t="shared" si="2"/>
        <v>5.220000000000001</v>
      </c>
      <c r="E99" s="174">
        <f t="shared" si="2"/>
        <v>5.050000000000001</v>
      </c>
      <c r="F99" s="174">
        <f t="shared" si="2"/>
        <v>5.19</v>
      </c>
      <c r="G99" s="174">
        <f t="shared" si="2"/>
        <v>4.529999999999999</v>
      </c>
      <c r="H99" s="187">
        <f t="shared" si="2"/>
        <v>3.3200000000000003</v>
      </c>
      <c r="I99" s="188">
        <f>I96-I98</f>
        <v>0.620000000000001</v>
      </c>
      <c r="J99" s="188">
        <f>J96-J98</f>
        <v>2.5599999999999987</v>
      </c>
      <c r="K99" s="189">
        <f>K96-K98</f>
        <v>3.16</v>
      </c>
    </row>
    <row r="100" spans="1:11" ht="16.5" customHeight="1">
      <c r="A100" s="118" t="s">
        <v>297</v>
      </c>
      <c r="B100" s="129"/>
      <c r="C100" s="136"/>
      <c r="D100" s="136"/>
      <c r="E100" s="136"/>
      <c r="F100" s="136"/>
      <c r="G100" s="154"/>
      <c r="H100" s="130"/>
      <c r="I100" s="131"/>
      <c r="J100" s="131"/>
      <c r="K100" s="189"/>
    </row>
    <row r="101" spans="1:11" ht="16.5" customHeight="1">
      <c r="A101" s="118" t="s">
        <v>298</v>
      </c>
      <c r="B101" s="129" t="s">
        <v>44</v>
      </c>
      <c r="C101" s="191" t="s">
        <v>299</v>
      </c>
      <c r="D101" s="174">
        <v>13.89</v>
      </c>
      <c r="E101" s="191">
        <v>9.31</v>
      </c>
      <c r="F101" s="191">
        <v>14.35</v>
      </c>
      <c r="G101" s="192">
        <v>21.18</v>
      </c>
      <c r="H101" s="192">
        <v>15.01</v>
      </c>
      <c r="I101" s="193">
        <v>12.41</v>
      </c>
      <c r="J101" s="188">
        <v>8.06</v>
      </c>
      <c r="K101" s="189">
        <v>7.89</v>
      </c>
    </row>
    <row r="102" spans="1:11" ht="16.5" customHeight="1">
      <c r="A102" s="118" t="s">
        <v>300</v>
      </c>
      <c r="B102" s="129" t="s">
        <v>44</v>
      </c>
      <c r="C102" s="190" t="s">
        <v>15</v>
      </c>
      <c r="D102" s="190" t="s">
        <v>15</v>
      </c>
      <c r="E102" s="174">
        <v>7.61</v>
      </c>
      <c r="F102" s="191">
        <v>14.71</v>
      </c>
      <c r="G102" s="192">
        <v>26.48</v>
      </c>
      <c r="H102" s="192">
        <v>18.26</v>
      </c>
      <c r="I102" s="193">
        <v>14.32</v>
      </c>
      <c r="J102" s="188">
        <v>7.93</v>
      </c>
      <c r="K102" s="189">
        <v>7.71</v>
      </c>
    </row>
    <row r="103" spans="1:11" ht="16.5" customHeight="1">
      <c r="A103" s="118" t="s">
        <v>301</v>
      </c>
      <c r="B103" s="129" t="s">
        <v>44</v>
      </c>
      <c r="C103" s="190" t="s">
        <v>15</v>
      </c>
      <c r="D103" s="190" t="s">
        <v>15</v>
      </c>
      <c r="E103" s="174">
        <v>10.11</v>
      </c>
      <c r="F103" s="191">
        <v>14.76</v>
      </c>
      <c r="G103" s="192">
        <v>26.92</v>
      </c>
      <c r="H103" s="192">
        <v>18.92</v>
      </c>
      <c r="I103" s="193">
        <v>14.21</v>
      </c>
      <c r="J103" s="188">
        <v>7.88</v>
      </c>
      <c r="K103" s="189">
        <v>7.66</v>
      </c>
    </row>
    <row r="104" spans="1:11" ht="16.5" customHeight="1">
      <c r="A104" s="118"/>
      <c r="B104" s="129"/>
      <c r="C104" s="136"/>
      <c r="D104" s="136"/>
      <c r="E104" s="136"/>
      <c r="F104" s="136"/>
      <c r="G104" s="154"/>
      <c r="H104" s="177"/>
      <c r="I104" s="177"/>
      <c r="J104" s="177"/>
      <c r="K104" s="194"/>
    </row>
    <row r="105" spans="1:11" ht="18.75" customHeight="1">
      <c r="A105" s="158" t="s">
        <v>302</v>
      </c>
      <c r="B105" s="159"/>
      <c r="C105" s="161"/>
      <c r="D105" s="161"/>
      <c r="E105" s="161"/>
      <c r="F105" s="161"/>
      <c r="G105" s="162"/>
      <c r="H105" s="130"/>
      <c r="I105" s="131"/>
      <c r="J105" s="131"/>
      <c r="K105" s="132"/>
    </row>
    <row r="106" spans="1:11" ht="16.5" customHeight="1">
      <c r="A106" s="118" t="s">
        <v>303</v>
      </c>
      <c r="B106" s="129" t="s">
        <v>217</v>
      </c>
      <c r="C106" s="178">
        <v>-7.83</v>
      </c>
      <c r="D106" s="136">
        <v>-10.27</v>
      </c>
      <c r="E106" s="136">
        <v>3.98</v>
      </c>
      <c r="F106" s="136">
        <v>-11.07</v>
      </c>
      <c r="G106" s="139">
        <v>-17.05</v>
      </c>
      <c r="H106" s="137">
        <v>-19.201</v>
      </c>
      <c r="I106" s="137">
        <v>-14.758</v>
      </c>
      <c r="J106" s="137">
        <v>-14.775</v>
      </c>
      <c r="K106" s="121">
        <v>-0.267</v>
      </c>
    </row>
    <row r="107" spans="1:11" ht="16.5" customHeight="1">
      <c r="A107" s="118" t="s">
        <v>303</v>
      </c>
      <c r="B107" s="195" t="s">
        <v>271</v>
      </c>
      <c r="C107" s="196">
        <f aca="true" t="shared" si="3" ref="C107:K107">C106/C7*100</f>
        <v>-2.0046082949308754</v>
      </c>
      <c r="D107" s="197">
        <f t="shared" si="3"/>
        <v>-2.202917202917203</v>
      </c>
      <c r="E107" s="198">
        <f t="shared" si="3"/>
        <v>0.7289377289377289</v>
      </c>
      <c r="F107" s="197">
        <f t="shared" si="3"/>
        <v>-1.8264312819666721</v>
      </c>
      <c r="G107" s="196">
        <f t="shared" si="3"/>
        <v>-2.485060486809503</v>
      </c>
      <c r="H107" s="196">
        <f t="shared" si="3"/>
        <v>-2.557405434203517</v>
      </c>
      <c r="I107" s="137">
        <f t="shared" si="3"/>
        <v>-1.8101312400343432</v>
      </c>
      <c r="J107" s="120">
        <f t="shared" si="3"/>
        <v>-1.6653516681695222</v>
      </c>
      <c r="K107" s="121">
        <f t="shared" si="3"/>
        <v>-0.12037871956717763</v>
      </c>
    </row>
    <row r="108" spans="1:11" ht="16.5" customHeight="1">
      <c r="A108" s="118" t="s">
        <v>304</v>
      </c>
      <c r="B108" s="199" t="s">
        <v>217</v>
      </c>
      <c r="C108" s="200" t="s">
        <v>15</v>
      </c>
      <c r="D108" s="201" t="s">
        <v>15</v>
      </c>
      <c r="E108" s="200" t="s">
        <v>15</v>
      </c>
      <c r="F108" s="200" t="s">
        <v>15</v>
      </c>
      <c r="G108" s="200" t="s">
        <v>15</v>
      </c>
      <c r="H108" s="200" t="s">
        <v>15</v>
      </c>
      <c r="I108" s="200" t="s">
        <v>15</v>
      </c>
      <c r="J108" s="120">
        <v>-27.6484</v>
      </c>
      <c r="K108" s="121">
        <v>-5.647</v>
      </c>
    </row>
    <row r="109" spans="1:11" ht="16.5" customHeight="1">
      <c r="A109" s="118" t="s">
        <v>304</v>
      </c>
      <c r="B109" s="195" t="s">
        <v>271</v>
      </c>
      <c r="C109" s="200" t="s">
        <v>15</v>
      </c>
      <c r="D109" s="201" t="s">
        <v>15</v>
      </c>
      <c r="E109" s="200" t="s">
        <v>15</v>
      </c>
      <c r="F109" s="200" t="s">
        <v>15</v>
      </c>
      <c r="G109" s="200" t="s">
        <v>15</v>
      </c>
      <c r="H109" s="200" t="s">
        <v>15</v>
      </c>
      <c r="I109" s="200" t="s">
        <v>15</v>
      </c>
      <c r="J109" s="120">
        <f>J108/J7*100</f>
        <v>-3.1163660955816046</v>
      </c>
      <c r="K109" s="121">
        <f>K108/K7*100</f>
        <v>-2.5459873760144274</v>
      </c>
    </row>
    <row r="110" spans="1:11" ht="16.5" customHeight="1">
      <c r="A110" s="202" t="s">
        <v>305</v>
      </c>
      <c r="B110" s="129" t="s">
        <v>217</v>
      </c>
      <c r="C110" s="203">
        <f>C111+C112</f>
        <v>98.606</v>
      </c>
      <c r="D110" s="197">
        <f>D111+D112</f>
        <v>105.86</v>
      </c>
      <c r="E110" s="198">
        <f>E111+E112</f>
        <v>110.489</v>
      </c>
      <c r="F110" s="197">
        <f>F111+F112</f>
        <v>118.36600000000001</v>
      </c>
      <c r="G110" s="141">
        <v>149.6368</v>
      </c>
      <c r="H110" s="137">
        <v>177.6649</v>
      </c>
      <c r="I110" s="137">
        <v>192.325</v>
      </c>
      <c r="J110" s="120">
        <v>222.6017</v>
      </c>
      <c r="K110" s="121">
        <v>333.4775</v>
      </c>
    </row>
    <row r="111" spans="1:11" ht="16.5" customHeight="1">
      <c r="A111" s="202" t="s">
        <v>306</v>
      </c>
      <c r="B111" s="129" t="s">
        <v>217</v>
      </c>
      <c r="C111" s="203">
        <v>47.011</v>
      </c>
      <c r="D111" s="197">
        <v>62.476</v>
      </c>
      <c r="E111" s="198">
        <v>76.027</v>
      </c>
      <c r="F111" s="197">
        <v>86.391</v>
      </c>
      <c r="G111" s="141">
        <v>110.0019</v>
      </c>
      <c r="H111" s="137">
        <v>112.0136</v>
      </c>
      <c r="I111" s="137">
        <v>105.5</v>
      </c>
      <c r="J111" s="120">
        <v>112.9594</v>
      </c>
      <c r="K111" s="121">
        <v>227.0943</v>
      </c>
    </row>
    <row r="112" spans="1:11" ht="16.5" customHeight="1">
      <c r="A112" s="202" t="s">
        <v>307</v>
      </c>
      <c r="B112" s="129" t="s">
        <v>217</v>
      </c>
      <c r="C112" s="203">
        <v>51.595</v>
      </c>
      <c r="D112" s="197">
        <v>43.384</v>
      </c>
      <c r="E112" s="198">
        <v>34.462</v>
      </c>
      <c r="F112" s="197">
        <v>31.975</v>
      </c>
      <c r="G112" s="141">
        <v>39.6348</v>
      </c>
      <c r="H112" s="137">
        <v>65.6513</v>
      </c>
      <c r="I112" s="137">
        <v>86.8</v>
      </c>
      <c r="J112" s="120">
        <v>109.6423</v>
      </c>
      <c r="K112" s="121">
        <v>106.3832</v>
      </c>
    </row>
    <row r="113" spans="1:11" ht="16.5" customHeight="1">
      <c r="A113" s="202" t="s">
        <v>305</v>
      </c>
      <c r="B113" s="195" t="s">
        <v>271</v>
      </c>
      <c r="C113" s="196">
        <f aca="true" t="shared" si="4" ref="C113:J113">C110/C7*100</f>
        <v>25.244751664106502</v>
      </c>
      <c r="D113" s="204">
        <f t="shared" si="4"/>
        <v>22.706992706992708</v>
      </c>
      <c r="E113" s="205">
        <f t="shared" si="4"/>
        <v>20.236080586080586</v>
      </c>
      <c r="F113" s="197">
        <f t="shared" si="4"/>
        <v>19.529120607160536</v>
      </c>
      <c r="G113" s="196">
        <f t="shared" si="4"/>
        <v>21.809765340329395</v>
      </c>
      <c r="H113" s="196">
        <f t="shared" si="4"/>
        <v>23.663412360149174</v>
      </c>
      <c r="I113" s="137">
        <f t="shared" si="4"/>
        <v>23.589476266405004</v>
      </c>
      <c r="J113" s="120">
        <f t="shared" si="4"/>
        <v>25.09036293958521</v>
      </c>
      <c r="K113" s="121">
        <f>K110/907.4*100</f>
        <v>36.75088163985013</v>
      </c>
    </row>
    <row r="114" spans="1:11" ht="18.75" customHeight="1">
      <c r="A114" s="122" t="s">
        <v>308</v>
      </c>
      <c r="B114" s="195"/>
      <c r="C114" s="206"/>
      <c r="D114" s="197"/>
      <c r="E114" s="198"/>
      <c r="F114" s="197"/>
      <c r="G114" s="141"/>
      <c r="H114" s="137"/>
      <c r="I114" s="131"/>
      <c r="J114" s="120"/>
      <c r="K114" s="121"/>
    </row>
    <row r="115" spans="1:11" ht="16.5" customHeight="1">
      <c r="A115" s="118" t="s">
        <v>303</v>
      </c>
      <c r="B115" s="129" t="s">
        <v>217</v>
      </c>
      <c r="C115" s="203">
        <v>-23.579</v>
      </c>
      <c r="D115" s="207">
        <v>-7.1392</v>
      </c>
      <c r="E115" s="203">
        <v>9.7899</v>
      </c>
      <c r="F115" s="207">
        <v>-8.9581</v>
      </c>
      <c r="G115" s="141">
        <v>-30.2052</v>
      </c>
      <c r="H115" s="137">
        <v>-34.4456</v>
      </c>
      <c r="I115" s="137">
        <v>-29.211</v>
      </c>
      <c r="J115" s="120">
        <v>-17.3</v>
      </c>
      <c r="K115" s="121"/>
    </row>
    <row r="116" spans="1:11" ht="16.5" customHeight="1">
      <c r="A116" s="118" t="s">
        <v>303</v>
      </c>
      <c r="B116" s="195" t="s">
        <v>271</v>
      </c>
      <c r="C116" s="208">
        <f aca="true" t="shared" si="5" ref="C116:J116">C115/C7*100</f>
        <v>-6.036610343061956</v>
      </c>
      <c r="D116" s="209">
        <f t="shared" si="5"/>
        <v>-1.5313599313599313</v>
      </c>
      <c r="E116" s="208">
        <f t="shared" si="5"/>
        <v>1.7930219780219778</v>
      </c>
      <c r="F116" s="209">
        <f t="shared" si="5"/>
        <v>-1.4779904306220095</v>
      </c>
      <c r="G116" s="208">
        <f t="shared" si="5"/>
        <v>-4.402448622649759</v>
      </c>
      <c r="H116" s="209">
        <f t="shared" si="5"/>
        <v>-4.587852956846031</v>
      </c>
      <c r="I116" s="120">
        <f t="shared" si="5"/>
        <v>-3.582852937568993</v>
      </c>
      <c r="J116" s="120">
        <f t="shared" si="5"/>
        <v>-1.9499549143372406</v>
      </c>
      <c r="K116" s="121"/>
    </row>
    <row r="117" spans="1:11" ht="16.5" customHeight="1">
      <c r="A117" s="118" t="s">
        <v>304</v>
      </c>
      <c r="B117" s="199" t="s">
        <v>217</v>
      </c>
      <c r="C117" s="200" t="s">
        <v>15</v>
      </c>
      <c r="D117" s="201" t="s">
        <v>15</v>
      </c>
      <c r="E117" s="200" t="s">
        <v>15</v>
      </c>
      <c r="F117" s="200" t="s">
        <v>15</v>
      </c>
      <c r="G117" s="200" t="s">
        <v>15</v>
      </c>
      <c r="H117" s="200" t="s">
        <v>15</v>
      </c>
      <c r="I117" s="200" t="s">
        <v>15</v>
      </c>
      <c r="J117" s="120">
        <v>-30.249</v>
      </c>
      <c r="K117" s="121"/>
    </row>
    <row r="118" spans="1:11" ht="16.5" customHeight="1">
      <c r="A118" s="118" t="s">
        <v>304</v>
      </c>
      <c r="B118" s="195" t="s">
        <v>271</v>
      </c>
      <c r="C118" s="200" t="s">
        <v>15</v>
      </c>
      <c r="D118" s="201" t="s">
        <v>15</v>
      </c>
      <c r="E118" s="200" t="s">
        <v>15</v>
      </c>
      <c r="F118" s="200" t="s">
        <v>15</v>
      </c>
      <c r="G118" s="200" t="s">
        <v>15</v>
      </c>
      <c r="H118" s="200" t="s">
        <v>15</v>
      </c>
      <c r="I118" s="200" t="s">
        <v>15</v>
      </c>
      <c r="J118" s="120">
        <f>J117/J7*100</f>
        <v>-3.4094905320108206</v>
      </c>
      <c r="K118" s="121"/>
    </row>
    <row r="119" spans="1:11" ht="16.5" customHeight="1">
      <c r="A119" s="202" t="s">
        <v>309</v>
      </c>
      <c r="B119" s="195" t="s">
        <v>217</v>
      </c>
      <c r="C119" s="208">
        <v>109.592</v>
      </c>
      <c r="D119" s="209">
        <v>116.351</v>
      </c>
      <c r="E119" s="208">
        <v>124.6</v>
      </c>
      <c r="F119" s="209">
        <v>166.232</v>
      </c>
      <c r="G119" s="141">
        <v>203.856</v>
      </c>
      <c r="H119" s="137">
        <v>227.964</v>
      </c>
      <c r="I119" s="137">
        <v>246.137</v>
      </c>
      <c r="J119" s="120">
        <v>290.8</v>
      </c>
      <c r="K119" s="121"/>
    </row>
    <row r="120" spans="1:11" ht="16.5" customHeight="1" thickBot="1">
      <c r="A120" s="210" t="s">
        <v>309</v>
      </c>
      <c r="B120" s="211" t="s">
        <v>271</v>
      </c>
      <c r="C120" s="212">
        <f aca="true" t="shared" si="6" ref="C120:J120">C119/C7*100</f>
        <v>28.05734767025089</v>
      </c>
      <c r="D120" s="213">
        <f t="shared" si="6"/>
        <v>24.957314457314457</v>
      </c>
      <c r="E120" s="212">
        <f t="shared" si="6"/>
        <v>22.82051282051282</v>
      </c>
      <c r="F120" s="213">
        <f t="shared" si="6"/>
        <v>27.426497277676948</v>
      </c>
      <c r="G120" s="212">
        <f t="shared" si="6"/>
        <v>29.712286838653256</v>
      </c>
      <c r="H120" s="213">
        <f t="shared" si="6"/>
        <v>30.362812999467238</v>
      </c>
      <c r="I120" s="214">
        <f t="shared" si="6"/>
        <v>30.189746105727956</v>
      </c>
      <c r="J120" s="215">
        <f t="shared" si="6"/>
        <v>32.777276825969345</v>
      </c>
      <c r="K120" s="170"/>
    </row>
    <row r="121" spans="1:6" ht="15" customHeight="1">
      <c r="A121" s="216" t="s">
        <v>310</v>
      </c>
      <c r="B121" s="217"/>
      <c r="C121" s="218"/>
      <c r="D121" s="218"/>
      <c r="E121" s="218"/>
      <c r="F121" s="218"/>
    </row>
    <row r="122" spans="1:10" ht="15" customHeight="1">
      <c r="A122" s="124" t="s">
        <v>311</v>
      </c>
      <c r="J122" s="219"/>
    </row>
    <row r="123" ht="15" customHeight="1">
      <c r="A123" s="124" t="s">
        <v>312</v>
      </c>
    </row>
    <row r="124" ht="15" customHeight="1">
      <c r="A124" s="124" t="s">
        <v>313</v>
      </c>
    </row>
    <row r="125" ht="15" customHeight="1">
      <c r="A125" s="124" t="s">
        <v>314</v>
      </c>
    </row>
    <row r="126" ht="15" customHeight="1">
      <c r="A126" s="124" t="s">
        <v>315</v>
      </c>
    </row>
    <row r="127" ht="15" customHeight="1">
      <c r="A127" s="124" t="s">
        <v>316</v>
      </c>
    </row>
    <row r="128" ht="15" customHeight="1">
      <c r="A128" s="124" t="s">
        <v>317</v>
      </c>
    </row>
    <row r="129" ht="15" customHeight="1">
      <c r="A129" s="124" t="s">
        <v>318</v>
      </c>
    </row>
    <row r="130" ht="15" customHeight="1">
      <c r="A130" s="124" t="s">
        <v>319</v>
      </c>
    </row>
    <row r="131" ht="15" customHeight="1">
      <c r="A131" s="124" t="s">
        <v>320</v>
      </c>
    </row>
    <row r="132" ht="15" customHeight="1">
      <c r="A132" s="124" t="s">
        <v>321</v>
      </c>
    </row>
    <row r="133" ht="15" customHeight="1">
      <c r="A133" s="124" t="s">
        <v>322</v>
      </c>
    </row>
    <row r="134" ht="15" customHeight="1">
      <c r="A134" s="124" t="s">
        <v>323</v>
      </c>
    </row>
    <row r="135" ht="15" customHeight="1">
      <c r="A135" s="124" t="s">
        <v>324</v>
      </c>
    </row>
    <row r="136" ht="15" customHeight="1">
      <c r="A136" s="124" t="s">
        <v>325</v>
      </c>
    </row>
    <row r="137" ht="15" customHeight="1">
      <c r="A137" s="124" t="s">
        <v>326</v>
      </c>
    </row>
    <row r="138" ht="15" customHeight="1">
      <c r="A138" s="124" t="s">
        <v>327</v>
      </c>
    </row>
    <row r="139" ht="15" customHeight="1">
      <c r="A139" s="124" t="s">
        <v>328</v>
      </c>
    </row>
    <row r="140" ht="15" customHeight="1">
      <c r="A140" s="124" t="s">
        <v>329</v>
      </c>
    </row>
    <row r="141" ht="15" customHeight="1">
      <c r="A141" s="124" t="s">
        <v>330</v>
      </c>
    </row>
    <row r="142" ht="15">
      <c r="A142" s="124" t="s">
        <v>331</v>
      </c>
    </row>
  </sheetData>
  <mergeCells count="47">
    <mergeCell ref="J84:J85"/>
    <mergeCell ref="J57:J58"/>
    <mergeCell ref="K57:K58"/>
    <mergeCell ref="A84:A85"/>
    <mergeCell ref="C84:C85"/>
    <mergeCell ref="D84:D85"/>
    <mergeCell ref="E84:E85"/>
    <mergeCell ref="F84:F85"/>
    <mergeCell ref="G84:G85"/>
    <mergeCell ref="H84:H85"/>
    <mergeCell ref="I84:I85"/>
    <mergeCell ref="J48:J49"/>
    <mergeCell ref="K48:K49"/>
    <mergeCell ref="B57:B58"/>
    <mergeCell ref="C57:C58"/>
    <mergeCell ref="D57:D58"/>
    <mergeCell ref="E57:E58"/>
    <mergeCell ref="F57:F58"/>
    <mergeCell ref="G57:G58"/>
    <mergeCell ref="H57:H58"/>
    <mergeCell ref="I57:I58"/>
    <mergeCell ref="F48:F49"/>
    <mergeCell ref="G48:G49"/>
    <mergeCell ref="H48:H49"/>
    <mergeCell ref="I48:I49"/>
    <mergeCell ref="B48:B49"/>
    <mergeCell ref="C48:C49"/>
    <mergeCell ref="D48:D49"/>
    <mergeCell ref="E48:E49"/>
    <mergeCell ref="J3:J4"/>
    <mergeCell ref="A41:A42"/>
    <mergeCell ref="C41:C42"/>
    <mergeCell ref="D41:D42"/>
    <mergeCell ref="E41:E42"/>
    <mergeCell ref="F41:F42"/>
    <mergeCell ref="G41:G42"/>
    <mergeCell ref="H41:H42"/>
    <mergeCell ref="I41:I42"/>
    <mergeCell ref="J41:J42"/>
    <mergeCell ref="F3:F4"/>
    <mergeCell ref="G3:G4"/>
    <mergeCell ref="H3:H4"/>
    <mergeCell ref="I3:I4"/>
    <mergeCell ref="A3:A4"/>
    <mergeCell ref="C3:C4"/>
    <mergeCell ref="D3:D4"/>
    <mergeCell ref="E3:E4"/>
  </mergeCells>
  <printOptions horizontalCentered="1" verticalCentered="1"/>
  <pageMargins left="0.5905511811023623" right="0.5905511811023623" top="0.5905511811023623" bottom="0.5905511811023623" header="0.3937007874015748" footer="0.3937007874015748"/>
  <pageSetup horizontalDpi="180" verticalDpi="180" orientation="landscape" paperSize="9" scale="65" r:id="rId1"/>
  <headerFooter alignWithMargins="0">
    <oddFooter>&amp;LZdroj: NBS, ŠÚ SR, MF SR, vlastné prepočty&amp;C&amp;P&amp;RMF SR, Inštitút finančnej politiky</oddFooter>
  </headerFooter>
  <rowBreaks count="3" manualBreakCount="3">
    <brk id="40" max="255" man="1"/>
    <brk id="83" max="255" man="1"/>
    <brk id="120" max="255" man="1"/>
  </rowBreaks>
  <colBreaks count="1" manualBreakCount="1">
    <brk id="11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N39"/>
  <sheetViews>
    <sheetView workbookViewId="0" topLeftCell="A1">
      <selection activeCell="A1" sqref="A1"/>
    </sheetView>
  </sheetViews>
  <sheetFormatPr defaultColWidth="9.00390625" defaultRowHeight="12.75"/>
  <cols>
    <col min="1" max="1" width="46.75390625" style="2" customWidth="1"/>
    <col min="2" max="2" width="13.625" style="2" bestFit="1" customWidth="1"/>
    <col min="3" max="16384" width="9.125" style="2" customWidth="1"/>
  </cols>
  <sheetData>
    <row r="1" ht="15.75">
      <c r="A1" s="86" t="s">
        <v>66</v>
      </c>
    </row>
    <row r="2" ht="12.75">
      <c r="A2" s="24"/>
    </row>
    <row r="3" spans="1:14" ht="12.75">
      <c r="A3" s="40"/>
      <c r="B3" s="26" t="s">
        <v>8</v>
      </c>
      <c r="C3" s="6">
        <v>1993</v>
      </c>
      <c r="D3" s="6">
        <v>1994</v>
      </c>
      <c r="E3" s="6">
        <v>1995</v>
      </c>
      <c r="F3" s="6">
        <v>1996</v>
      </c>
      <c r="G3" s="6">
        <v>1997</v>
      </c>
      <c r="H3" s="6">
        <v>1998</v>
      </c>
      <c r="I3" s="6">
        <v>1999</v>
      </c>
      <c r="J3" s="6">
        <v>2000</v>
      </c>
      <c r="K3" s="6">
        <v>2001</v>
      </c>
      <c r="L3" s="6">
        <v>2002</v>
      </c>
      <c r="M3" s="6">
        <v>2003</v>
      </c>
      <c r="N3" s="7">
        <v>2004</v>
      </c>
    </row>
    <row r="4" spans="1:14" ht="12.75">
      <c r="A4" s="41"/>
      <c r="B4" s="27"/>
      <c r="C4" s="24"/>
      <c r="D4" s="24"/>
      <c r="E4" s="24"/>
      <c r="F4" s="24"/>
      <c r="G4" s="24"/>
      <c r="H4" s="24"/>
      <c r="I4" s="24"/>
      <c r="J4" s="24"/>
      <c r="K4" s="19" t="s">
        <v>10</v>
      </c>
      <c r="L4" s="19" t="s">
        <v>10</v>
      </c>
      <c r="M4" s="19" t="s">
        <v>10</v>
      </c>
      <c r="N4" s="25" t="s">
        <v>10</v>
      </c>
    </row>
    <row r="5" spans="1:14" ht="15.75">
      <c r="A5" s="57" t="s">
        <v>67</v>
      </c>
      <c r="B5" s="28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5"/>
    </row>
    <row r="6" spans="1:14" ht="12.75">
      <c r="A6" s="44" t="s">
        <v>68</v>
      </c>
      <c r="B6" s="28" t="s">
        <v>44</v>
      </c>
      <c r="C6" s="46" t="s">
        <v>15</v>
      </c>
      <c r="D6" s="46">
        <v>13.7</v>
      </c>
      <c r="E6" s="46">
        <v>13.1</v>
      </c>
      <c r="F6" s="46">
        <v>11.3</v>
      </c>
      <c r="G6" s="46">
        <v>11.8</v>
      </c>
      <c r="H6" s="46">
        <v>12.5</v>
      </c>
      <c r="I6" s="46">
        <v>16.2</v>
      </c>
      <c r="J6" s="46">
        <v>18.6</v>
      </c>
      <c r="K6" s="46">
        <v>18.9</v>
      </c>
      <c r="L6" s="46">
        <v>18.7</v>
      </c>
      <c r="M6" s="46">
        <v>18.2</v>
      </c>
      <c r="N6" s="11">
        <v>17.5</v>
      </c>
    </row>
    <row r="7" spans="1:14" ht="12.75">
      <c r="A7" s="43" t="s">
        <v>69</v>
      </c>
      <c r="B7" s="28" t="s">
        <v>71</v>
      </c>
      <c r="C7" s="46" t="s">
        <v>15</v>
      </c>
      <c r="D7" s="3">
        <v>2110.2</v>
      </c>
      <c r="E7" s="3">
        <v>2146.8</v>
      </c>
      <c r="F7" s="3">
        <v>2224.9</v>
      </c>
      <c r="G7" s="3">
        <v>2205.9</v>
      </c>
      <c r="H7" s="3">
        <v>2198.6</v>
      </c>
      <c r="I7" s="3">
        <v>2132.1</v>
      </c>
      <c r="J7" s="3">
        <v>2101.7</v>
      </c>
      <c r="K7" s="3">
        <v>2092.3</v>
      </c>
      <c r="L7" s="3">
        <v>2103.8</v>
      </c>
      <c r="M7" s="3">
        <v>2119.2</v>
      </c>
      <c r="N7" s="15">
        <v>2141.2</v>
      </c>
    </row>
    <row r="8" spans="1:14" ht="12.75">
      <c r="A8" s="85"/>
      <c r="B8" s="28" t="s">
        <v>116</v>
      </c>
      <c r="C8" s="46" t="s">
        <v>15</v>
      </c>
      <c r="D8" s="3" t="s">
        <v>15</v>
      </c>
      <c r="E8" s="3">
        <f>E7/D7*100</f>
        <v>101.73443275518909</v>
      </c>
      <c r="F8" s="3">
        <f aca="true" t="shared" si="0" ref="F8:N8">F7/E7*100</f>
        <v>103.63797279672069</v>
      </c>
      <c r="G8" s="3">
        <f t="shared" si="0"/>
        <v>99.1460290350128</v>
      </c>
      <c r="H8" s="3">
        <f t="shared" si="0"/>
        <v>99.66906931411215</v>
      </c>
      <c r="I8" s="3">
        <f t="shared" si="0"/>
        <v>96.97534794869462</v>
      </c>
      <c r="J8" s="3">
        <f t="shared" si="0"/>
        <v>98.57417569532385</v>
      </c>
      <c r="K8" s="3">
        <f t="shared" si="0"/>
        <v>99.55274301755723</v>
      </c>
      <c r="L8" s="3">
        <f t="shared" si="0"/>
        <v>100.54963437365578</v>
      </c>
      <c r="M8" s="3">
        <f t="shared" si="0"/>
        <v>100.7320087460785</v>
      </c>
      <c r="N8" s="15">
        <f t="shared" si="0"/>
        <v>101.03812759531898</v>
      </c>
    </row>
    <row r="9" spans="1:14" ht="12.75">
      <c r="A9" s="43" t="s">
        <v>70</v>
      </c>
      <c r="B9" s="28" t="s">
        <v>71</v>
      </c>
      <c r="C9" s="46" t="s">
        <v>15</v>
      </c>
      <c r="D9" s="3">
        <v>333.5</v>
      </c>
      <c r="E9" s="3">
        <v>323.7</v>
      </c>
      <c r="F9" s="3">
        <v>284.2</v>
      </c>
      <c r="G9" s="3">
        <v>297.5</v>
      </c>
      <c r="H9" s="3">
        <v>317.1</v>
      </c>
      <c r="I9" s="3">
        <v>416.8</v>
      </c>
      <c r="J9" s="3">
        <v>485.2</v>
      </c>
      <c r="K9" s="3">
        <v>494.8</v>
      </c>
      <c r="L9" s="3">
        <v>490.6</v>
      </c>
      <c r="M9" s="3">
        <v>475.6</v>
      </c>
      <c r="N9" s="15">
        <v>460.6</v>
      </c>
    </row>
    <row r="10" spans="1:14" ht="12.75">
      <c r="A10" s="41" t="s">
        <v>72</v>
      </c>
      <c r="B10" s="27" t="s">
        <v>71</v>
      </c>
      <c r="C10" s="31" t="s">
        <v>15</v>
      </c>
      <c r="D10" s="31">
        <v>2443.7</v>
      </c>
      <c r="E10" s="31">
        <v>2470.5</v>
      </c>
      <c r="F10" s="31">
        <v>2509.1</v>
      </c>
      <c r="G10" s="31">
        <v>2521.9</v>
      </c>
      <c r="H10" s="31">
        <v>2544.8</v>
      </c>
      <c r="I10" s="31">
        <v>2573</v>
      </c>
      <c r="J10" s="31">
        <v>2610.3</v>
      </c>
      <c r="K10" s="31">
        <v>2611.2</v>
      </c>
      <c r="L10" s="31">
        <v>2618.5</v>
      </c>
      <c r="M10" s="31">
        <v>2619</v>
      </c>
      <c r="N10" s="32">
        <v>2625.9</v>
      </c>
    </row>
    <row r="11" spans="1:14" ht="14.25">
      <c r="A11" s="58" t="s">
        <v>73</v>
      </c>
      <c r="B11" s="28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15"/>
    </row>
    <row r="12" spans="1:14" ht="12.75">
      <c r="A12" s="44" t="s">
        <v>74</v>
      </c>
      <c r="B12" s="28" t="s">
        <v>44</v>
      </c>
      <c r="C12" s="46" t="s">
        <v>15</v>
      </c>
      <c r="D12" s="46" t="s">
        <v>15</v>
      </c>
      <c r="E12" s="46" t="s">
        <v>15</v>
      </c>
      <c r="F12" s="46" t="s">
        <v>15</v>
      </c>
      <c r="G12" s="46" t="s">
        <v>15</v>
      </c>
      <c r="H12" s="46">
        <v>13.7</v>
      </c>
      <c r="I12" s="46">
        <v>17.3</v>
      </c>
      <c r="J12" s="46">
        <v>18.3</v>
      </c>
      <c r="K12" s="46">
        <v>18.9</v>
      </c>
      <c r="L12" s="46">
        <v>18.5</v>
      </c>
      <c r="M12" s="46">
        <v>17.9</v>
      </c>
      <c r="N12" s="11">
        <v>17.4</v>
      </c>
    </row>
    <row r="13" spans="1:14" ht="12.75">
      <c r="A13" s="44" t="s">
        <v>75</v>
      </c>
      <c r="B13" s="28" t="s">
        <v>44</v>
      </c>
      <c r="C13" s="46">
        <v>12.7</v>
      </c>
      <c r="D13" s="46">
        <v>14.4</v>
      </c>
      <c r="E13" s="46">
        <v>13.8</v>
      </c>
      <c r="F13" s="46">
        <v>12.6</v>
      </c>
      <c r="G13" s="46">
        <v>12.9</v>
      </c>
      <c r="H13" s="46">
        <v>14.6</v>
      </c>
      <c r="I13" s="46">
        <v>18.2</v>
      </c>
      <c r="J13" s="46">
        <v>19.3</v>
      </c>
      <c r="K13" s="46">
        <v>19.8</v>
      </c>
      <c r="L13" s="46">
        <v>19.5</v>
      </c>
      <c r="M13" s="46">
        <v>18.9</v>
      </c>
      <c r="N13" s="11">
        <v>18.3</v>
      </c>
    </row>
    <row r="14" spans="1:14" ht="12.75">
      <c r="A14" s="43" t="s">
        <v>82</v>
      </c>
      <c r="B14" s="28" t="s">
        <v>71</v>
      </c>
      <c r="C14" s="3">
        <v>2012.3</v>
      </c>
      <c r="D14" s="3">
        <v>1976.9</v>
      </c>
      <c r="E14" s="3">
        <v>2019.8</v>
      </c>
      <c r="F14" s="3">
        <v>2036.4</v>
      </c>
      <c r="G14" s="3">
        <v>2040.9</v>
      </c>
      <c r="H14" s="3">
        <v>2032.1</v>
      </c>
      <c r="I14" s="3">
        <v>1988.2</v>
      </c>
      <c r="J14" s="3">
        <v>1977</v>
      </c>
      <c r="K14" s="3">
        <v>1972.3</v>
      </c>
      <c r="L14" s="3">
        <v>1985</v>
      </c>
      <c r="M14" s="3">
        <v>2002.9</v>
      </c>
      <c r="N14" s="15">
        <v>2025</v>
      </c>
    </row>
    <row r="15" spans="1:14" ht="12.75">
      <c r="A15" s="43"/>
      <c r="B15" s="28" t="s">
        <v>116</v>
      </c>
      <c r="C15" s="3" t="s">
        <v>15</v>
      </c>
      <c r="D15" s="3">
        <f>D14/C14*100</f>
        <v>98.24081896337525</v>
      </c>
      <c r="E15" s="3">
        <f aca="true" t="shared" si="1" ref="E15:N15">E14/D14*100</f>
        <v>102.17006424199504</v>
      </c>
      <c r="F15" s="3">
        <f t="shared" si="1"/>
        <v>100.82186355084663</v>
      </c>
      <c r="G15" s="3">
        <f t="shared" si="1"/>
        <v>100.22097819681792</v>
      </c>
      <c r="H15" s="3">
        <f t="shared" si="1"/>
        <v>99.56881767847517</v>
      </c>
      <c r="I15" s="3">
        <f t="shared" si="1"/>
        <v>97.83967324442695</v>
      </c>
      <c r="J15" s="3">
        <f t="shared" si="1"/>
        <v>99.43667639070516</v>
      </c>
      <c r="K15" s="3">
        <f t="shared" si="1"/>
        <v>99.76226605968638</v>
      </c>
      <c r="L15" s="3">
        <f t="shared" si="1"/>
        <v>100.64391826801197</v>
      </c>
      <c r="M15" s="3">
        <f t="shared" si="1"/>
        <v>100.90176322418137</v>
      </c>
      <c r="N15" s="15">
        <f t="shared" si="1"/>
        <v>101.10340006989864</v>
      </c>
    </row>
    <row r="16" spans="1:14" ht="12.75">
      <c r="A16" s="43" t="s">
        <v>76</v>
      </c>
      <c r="B16" s="28" t="s">
        <v>71</v>
      </c>
      <c r="C16" s="3" t="s">
        <v>15</v>
      </c>
      <c r="D16" s="3" t="s">
        <v>15</v>
      </c>
      <c r="E16" s="3" t="s">
        <v>15</v>
      </c>
      <c r="F16" s="3">
        <v>1217.8</v>
      </c>
      <c r="G16" s="3">
        <v>1293.1</v>
      </c>
      <c r="H16" s="3">
        <v>1324.8</v>
      </c>
      <c r="I16" s="3">
        <v>1311.8</v>
      </c>
      <c r="J16" s="3">
        <v>1319.9</v>
      </c>
      <c r="K16" s="3" t="s">
        <v>15</v>
      </c>
      <c r="L16" s="3" t="s">
        <v>15</v>
      </c>
      <c r="M16" s="3" t="s">
        <v>15</v>
      </c>
      <c r="N16" s="15" t="s">
        <v>15</v>
      </c>
    </row>
    <row r="17" spans="1:14" ht="12.75">
      <c r="A17" s="43" t="s">
        <v>77</v>
      </c>
      <c r="B17" s="28" t="s">
        <v>71</v>
      </c>
      <c r="C17" s="3" t="s">
        <v>15</v>
      </c>
      <c r="D17" s="3" t="s">
        <v>15</v>
      </c>
      <c r="E17" s="3" t="s">
        <v>15</v>
      </c>
      <c r="F17" s="3">
        <f>F14-F16</f>
        <v>818.6000000000001</v>
      </c>
      <c r="G17" s="3">
        <f>G14-G16</f>
        <v>747.8000000000002</v>
      </c>
      <c r="H17" s="3">
        <f>H14-H16</f>
        <v>707.3</v>
      </c>
      <c r="I17" s="3">
        <f>I14-I16</f>
        <v>676.4000000000001</v>
      </c>
      <c r="J17" s="3">
        <f>J14-J16</f>
        <v>657.0999999999999</v>
      </c>
      <c r="K17" s="3" t="s">
        <v>15</v>
      </c>
      <c r="L17" s="3" t="s">
        <v>15</v>
      </c>
      <c r="M17" s="3" t="s">
        <v>15</v>
      </c>
      <c r="N17" s="15" t="s">
        <v>15</v>
      </c>
    </row>
    <row r="18" spans="1:14" ht="12.75">
      <c r="A18" s="43" t="s">
        <v>78</v>
      </c>
      <c r="B18" s="28" t="s">
        <v>71</v>
      </c>
      <c r="C18" s="3" t="s">
        <v>15</v>
      </c>
      <c r="D18" s="3" t="s">
        <v>15</v>
      </c>
      <c r="E18" s="3" t="s">
        <v>15</v>
      </c>
      <c r="F18" s="3" t="s">
        <v>15</v>
      </c>
      <c r="G18" s="3" t="s">
        <v>15</v>
      </c>
      <c r="H18" s="3">
        <v>356.3</v>
      </c>
      <c r="I18" s="3">
        <v>461</v>
      </c>
      <c r="J18" s="3">
        <v>492.6</v>
      </c>
      <c r="K18" s="3">
        <v>508.8</v>
      </c>
      <c r="L18" s="3">
        <v>500.6</v>
      </c>
      <c r="M18" s="3">
        <v>485.5</v>
      </c>
      <c r="N18" s="15">
        <v>470.7</v>
      </c>
    </row>
    <row r="19" spans="1:14" ht="12.75">
      <c r="A19" s="43" t="s">
        <v>79</v>
      </c>
      <c r="B19" s="28" t="s">
        <v>71</v>
      </c>
      <c r="C19" s="3">
        <v>323</v>
      </c>
      <c r="D19" s="3">
        <v>366.2</v>
      </c>
      <c r="E19" s="3">
        <v>349.8</v>
      </c>
      <c r="F19" s="3">
        <v>324.3</v>
      </c>
      <c r="G19" s="3">
        <v>336.7</v>
      </c>
      <c r="H19" s="3">
        <v>379.5</v>
      </c>
      <c r="I19" s="3">
        <v>485.2</v>
      </c>
      <c r="J19" s="3">
        <v>519.1</v>
      </c>
      <c r="K19" s="3">
        <v>533.6</v>
      </c>
      <c r="L19" s="3">
        <v>525.6</v>
      </c>
      <c r="M19" s="3">
        <v>510.6</v>
      </c>
      <c r="N19" s="15">
        <v>495.5</v>
      </c>
    </row>
    <row r="20" spans="1:14" ht="12.75">
      <c r="A20" s="41" t="s">
        <v>210</v>
      </c>
      <c r="B20" s="27" t="s">
        <v>71</v>
      </c>
      <c r="C20" s="31" t="s">
        <v>15</v>
      </c>
      <c r="D20" s="31" t="s">
        <v>15</v>
      </c>
      <c r="E20" s="31" t="s">
        <v>15</v>
      </c>
      <c r="F20" s="31" t="s">
        <v>15</v>
      </c>
      <c r="G20" s="31" t="s">
        <v>15</v>
      </c>
      <c r="H20" s="31">
        <v>2606.8</v>
      </c>
      <c r="I20" s="31">
        <v>2662.4</v>
      </c>
      <c r="J20" s="31">
        <v>2694.6</v>
      </c>
      <c r="K20" s="31">
        <v>2696.3</v>
      </c>
      <c r="L20" s="31">
        <v>2700</v>
      </c>
      <c r="M20" s="31">
        <v>2705</v>
      </c>
      <c r="N20" s="32">
        <v>2710</v>
      </c>
    </row>
    <row r="21" spans="1:14" ht="12.75">
      <c r="A21" s="44" t="s">
        <v>80</v>
      </c>
      <c r="B21" s="28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5"/>
    </row>
    <row r="22" spans="1:14" ht="12.75">
      <c r="A22" s="43" t="s">
        <v>83</v>
      </c>
      <c r="B22" s="28" t="s">
        <v>116</v>
      </c>
      <c r="C22" s="3">
        <v>118.4</v>
      </c>
      <c r="D22" s="3">
        <v>117</v>
      </c>
      <c r="E22" s="3">
        <v>114.3</v>
      </c>
      <c r="F22" s="3">
        <v>113.3</v>
      </c>
      <c r="G22" s="3">
        <v>113.1</v>
      </c>
      <c r="H22" s="3">
        <v>109.6</v>
      </c>
      <c r="I22" s="3">
        <v>107.2</v>
      </c>
      <c r="J22" s="3">
        <v>106.5</v>
      </c>
      <c r="K22" s="3">
        <v>108.5</v>
      </c>
      <c r="L22" s="3">
        <v>109.2</v>
      </c>
      <c r="M22" s="3">
        <v>109.2</v>
      </c>
      <c r="N22" s="15">
        <v>109.2</v>
      </c>
    </row>
    <row r="23" spans="1:14" ht="12.75">
      <c r="A23" s="50" t="s">
        <v>84</v>
      </c>
      <c r="B23" s="27" t="s">
        <v>116</v>
      </c>
      <c r="C23" s="21">
        <f>(C22/('Ceny-tab'!C7+100))*100</f>
        <v>96.18196588139725</v>
      </c>
      <c r="D23" s="21">
        <f>(D22/('Ceny-tab'!D7+100))*100</f>
        <v>103.08370044052863</v>
      </c>
      <c r="E23" s="21">
        <f>(E22/('Ceny-tab'!E7+100))*100</f>
        <v>104.00363967242947</v>
      </c>
      <c r="F23" s="21">
        <f>(F22/('Ceny-tab'!F7+100))*100</f>
        <v>107.08884688090737</v>
      </c>
      <c r="G23" s="21">
        <f>(G22/('Ceny-tab'!G7+100))*100</f>
        <v>106.59754948162113</v>
      </c>
      <c r="H23" s="21">
        <f>(H22/('Ceny-tab'!H7+100))*100</f>
        <v>102.71790065604497</v>
      </c>
      <c r="I23" s="21">
        <f>(I22/('Ceny-tab'!I7+100))*100</f>
        <v>96.92585895117541</v>
      </c>
      <c r="J23" s="21">
        <f>(J22/('Ceny-tab'!J7+100))*100</f>
        <v>95.08928571428571</v>
      </c>
      <c r="K23" s="21">
        <f>(K22/('Ceny-tab'!K7+100))*100</f>
        <v>100.8364312267658</v>
      </c>
      <c r="L23" s="21">
        <f>(L22/('Ceny-tab'!L7+100))*100</f>
        <v>102.34301780693534</v>
      </c>
      <c r="M23" s="21">
        <f>(M22/('Ceny-tab'!M7+100))*100</f>
        <v>102.82485875706216</v>
      </c>
      <c r="N23" s="22">
        <f>(N22/('Ceny-tab'!N7+100))*100</f>
        <v>103.60531309297913</v>
      </c>
    </row>
    <row r="24" spans="1:14" ht="12.75">
      <c r="A24" s="44" t="s">
        <v>85</v>
      </c>
      <c r="B24" s="28" t="s">
        <v>116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15"/>
    </row>
    <row r="25" spans="1:14" ht="12.75">
      <c r="A25" s="43" t="s">
        <v>83</v>
      </c>
      <c r="B25" s="28" t="s">
        <v>116</v>
      </c>
      <c r="C25" s="3" t="s">
        <v>15</v>
      </c>
      <c r="D25" s="3">
        <f>(('HDP-tab'!D38/'Trh práce-tab'!D14)/('HDP-tab'!C38/'Trh práce-tab'!C14))*100</f>
        <v>121.49210477792698</v>
      </c>
      <c r="E25" s="3">
        <f>(('HDP-tab'!E38/'Trh práce-tab'!E14)/('HDP-tab'!D38/'Trh práce-tab'!D14))*100</f>
        <v>114.62958155700011</v>
      </c>
      <c r="F25" s="3">
        <f>(('HDP-tab'!F38/'Trh práce-tab'!F14)/('HDP-tab'!E38/'Trh práce-tab'!E14))*100</f>
        <v>110.10243423178014</v>
      </c>
      <c r="G25" s="3">
        <f>(('HDP-tab'!G38/'Trh práce-tab'!G14)/('HDP-tab'!F38/'Trh práce-tab'!F14))*100</f>
        <v>112.94954818088227</v>
      </c>
      <c r="H25" s="3">
        <f>(('HDP-tab'!H38/'Trh práce-tab'!H14)/('HDP-tab'!G38/'Trh práce-tab'!G14))*100</f>
        <v>109.90399884219451</v>
      </c>
      <c r="I25" s="3">
        <f>(('HDP-tab'!I38/'Trh práce-tab'!I14)/('HDP-tab'!H38/'Trh práce-tab'!H14))*100</f>
        <v>110.98855182175795</v>
      </c>
      <c r="J25" s="3">
        <f>(('HDP-tab'!J38/'Trh práce-tab'!J14)/('HDP-tab'!I38/'Trh práce-tab'!I14))*100</f>
        <v>109.43531465527056</v>
      </c>
      <c r="K25" s="3">
        <f>(('HDP-tab'!K38/'Trh práce-tab'!K14)/('HDP-tab'!J38/'Trh práce-tab'!J14))*100</f>
        <v>109.84183465798422</v>
      </c>
      <c r="L25" s="3">
        <f>(('HDP-tab'!L38/'Trh práce-tab'!L14)/('HDP-tab'!K38/'Trh práce-tab'!K14))*100</f>
        <v>108.5072268510434</v>
      </c>
      <c r="M25" s="3">
        <f>(('HDP-tab'!M38/'Trh práce-tab'!M14)/('HDP-tab'!L38/'Trh práce-tab'!L14))*100</f>
        <v>108.52498783046956</v>
      </c>
      <c r="N25" s="15">
        <f>(('HDP-tab'!N38/'Trh práce-tab'!N14)/('HDP-tab'!M38/'Trh práce-tab'!M14))*100</f>
        <v>108.58171318861727</v>
      </c>
    </row>
    <row r="26" spans="1:14" ht="12.75">
      <c r="A26" s="50" t="s">
        <v>84</v>
      </c>
      <c r="B26" s="27" t="s">
        <v>116</v>
      </c>
      <c r="C26" s="21" t="s">
        <v>15</v>
      </c>
      <c r="D26" s="21">
        <f>(('HDP-tab'!D5/'Trh práce-tab'!D14)/('HDP-tab'!C5/'Trh práce-tab'!C14))*100</f>
        <v>106.80088824113756</v>
      </c>
      <c r="E26" s="21">
        <f>(('HDP-tab'!E5/'Trh práce-tab'!E14)/('HDP-tab'!D5/'Trh práce-tab'!D14))*100</f>
        <v>104.45721446808729</v>
      </c>
      <c r="F26" s="21">
        <f>(('HDP-tab'!F5/'Trh práce-tab'!F14)/('HDP-tab'!E5/'Trh práce-tab'!E14))*100</f>
        <v>105.34301536216681</v>
      </c>
      <c r="G26" s="21">
        <f>(('HDP-tab'!G5/'Trh práce-tab'!G14)/('HDP-tab'!F5/'Trh práce-tab'!F14))*100</f>
        <v>105.97378792518653</v>
      </c>
      <c r="H26" s="21">
        <f>(('HDP-tab'!H5/'Trh práce-tab'!H14)/('HDP-tab'!G5/'Trh práce-tab'!G14))*100</f>
        <v>104.54234140198861</v>
      </c>
      <c r="I26" s="21">
        <f>(('HDP-tab'!I5/'Trh práce-tab'!I14)/('HDP-tab'!H5/'Trh práce-tab'!H14))*100</f>
        <v>104.1530249184586</v>
      </c>
      <c r="J26" s="21">
        <f>(('HDP-tab'!J5/'Trh práce-tab'!J14)/('HDP-tab'!I5/'Trh práce-tab'!I14))*100</f>
        <v>102.7831961015632</v>
      </c>
      <c r="K26" s="21">
        <f>(('HDP-tab'!K5/'Trh práce-tab'!K14)/('HDP-tab'!J5/'Trh práce-tab'!J14))*100</f>
        <v>103.19575818055962</v>
      </c>
      <c r="L26" s="21">
        <f>(('HDP-tab'!L5/'Trh práce-tab'!L14)/('HDP-tab'!K5/'Trh práce-tab'!K14))*100</f>
        <v>102.93046187986859</v>
      </c>
      <c r="M26" s="21">
        <f>(('HDP-tab'!M5/'Trh práce-tab'!M14)/('HDP-tab'!L5/'Trh práce-tab'!L14))*100</f>
        <v>103.14236184523034</v>
      </c>
      <c r="N26" s="22">
        <f>(('HDP-tab'!N5/'Trh práce-tab'!N14)/('HDP-tab'!M5/'Trh práce-tab'!M14))*100</f>
        <v>103.57980979225077</v>
      </c>
    </row>
    <row r="27" ht="12.75">
      <c r="B27" s="39"/>
    </row>
    <row r="28" spans="1:2" ht="12.75">
      <c r="A28" s="4" t="s">
        <v>81</v>
      </c>
      <c r="B28" s="39"/>
    </row>
    <row r="29" ht="12.75">
      <c r="B29" s="39"/>
    </row>
    <row r="30" ht="12.75">
      <c r="B30" s="39"/>
    </row>
    <row r="31" ht="12.75">
      <c r="B31" s="39"/>
    </row>
    <row r="32" ht="12.75">
      <c r="B32" s="39"/>
    </row>
    <row r="33" ht="12.75">
      <c r="B33" s="39"/>
    </row>
    <row r="34" ht="12.75">
      <c r="B34" s="39"/>
    </row>
    <row r="35" ht="12.75">
      <c r="B35" s="39"/>
    </row>
    <row r="36" ht="12.75">
      <c r="B36" s="39"/>
    </row>
    <row r="37" ht="12.75">
      <c r="B37" s="39"/>
    </row>
    <row r="38" ht="12.75">
      <c r="B38" s="39"/>
    </row>
    <row r="39" ht="12.75">
      <c r="B39" s="39"/>
    </row>
  </sheetData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9.125" style="2" customWidth="1"/>
  </cols>
  <sheetData/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0" r:id="rId2"/>
  <rowBreaks count="1" manualBreakCount="1">
    <brk id="88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1">
      <selection activeCell="A1" sqref="A1"/>
    </sheetView>
  </sheetViews>
  <sheetFormatPr defaultColWidth="9.00390625" defaultRowHeight="12.75"/>
  <cols>
    <col min="1" max="1" width="31.875" style="2" customWidth="1"/>
    <col min="2" max="2" width="13.625" style="2" bestFit="1" customWidth="1"/>
    <col min="3" max="16384" width="9.125" style="2" customWidth="1"/>
  </cols>
  <sheetData>
    <row r="1" ht="15.75">
      <c r="A1" s="1" t="s">
        <v>86</v>
      </c>
    </row>
    <row r="3" spans="1:14" ht="12.75">
      <c r="A3" s="40"/>
      <c r="B3" s="26" t="s">
        <v>8</v>
      </c>
      <c r="C3" s="6">
        <v>1993</v>
      </c>
      <c r="D3" s="6">
        <v>1994</v>
      </c>
      <c r="E3" s="6">
        <v>1995</v>
      </c>
      <c r="F3" s="6">
        <v>1996</v>
      </c>
      <c r="G3" s="6">
        <v>1997</v>
      </c>
      <c r="H3" s="6">
        <v>1998</v>
      </c>
      <c r="I3" s="6">
        <v>1999</v>
      </c>
      <c r="J3" s="6">
        <v>2000</v>
      </c>
      <c r="K3" s="6">
        <v>2001</v>
      </c>
      <c r="L3" s="6">
        <v>2002</v>
      </c>
      <c r="M3" s="6">
        <v>2003</v>
      </c>
      <c r="N3" s="7">
        <v>2004</v>
      </c>
    </row>
    <row r="4" spans="1:14" ht="12.75">
      <c r="A4" s="41"/>
      <c r="B4" s="27"/>
      <c r="C4" s="24"/>
      <c r="D4" s="24"/>
      <c r="E4" s="24"/>
      <c r="F4" s="24"/>
      <c r="G4" s="24"/>
      <c r="H4" s="24"/>
      <c r="I4" s="24"/>
      <c r="J4" s="24"/>
      <c r="K4" s="19" t="s">
        <v>10</v>
      </c>
      <c r="L4" s="19" t="s">
        <v>10</v>
      </c>
      <c r="M4" s="19" t="s">
        <v>10</v>
      </c>
      <c r="N4" s="25" t="s">
        <v>10</v>
      </c>
    </row>
    <row r="5" spans="1:14" ht="12.75">
      <c r="A5" s="44" t="s">
        <v>102</v>
      </c>
      <c r="B5" s="28" t="s">
        <v>6</v>
      </c>
      <c r="C5" s="46">
        <f>C6-C8</f>
        <v>-27.27600000000001</v>
      </c>
      <c r="D5" s="46">
        <f>D6-D8</f>
        <v>2.5749999999999886</v>
      </c>
      <c r="E5" s="46">
        <f>E6-E8</f>
        <v>-5.704000000000008</v>
      </c>
      <c r="F5" s="46">
        <f>F6-F8</f>
        <v>-70.26000000000005</v>
      </c>
      <c r="G5" s="46">
        <f>G6-G8</f>
        <v>-69.95600000000002</v>
      </c>
      <c r="H5" s="46">
        <v>-82.929</v>
      </c>
      <c r="I5" s="46">
        <v>-45.244</v>
      </c>
      <c r="J5" s="46">
        <v>-42.356</v>
      </c>
      <c r="K5" s="46">
        <f>K6-K8</f>
        <v>-69</v>
      </c>
      <c r="L5" s="46">
        <f>L6-L8</f>
        <v>-72</v>
      </c>
      <c r="M5" s="46">
        <f>M6-M8</f>
        <v>-82</v>
      </c>
      <c r="N5" s="11">
        <f>N6-N8</f>
        <v>-91.29999999999995</v>
      </c>
    </row>
    <row r="6" spans="1:14" ht="12.75">
      <c r="A6" s="43" t="s">
        <v>98</v>
      </c>
      <c r="B6" s="28" t="s">
        <v>6</v>
      </c>
      <c r="C6" s="3">
        <v>167.724</v>
      </c>
      <c r="D6" s="3">
        <v>214.375</v>
      </c>
      <c r="E6" s="3">
        <v>255.096</v>
      </c>
      <c r="F6" s="3">
        <v>270.643</v>
      </c>
      <c r="G6" s="3">
        <v>324.017</v>
      </c>
      <c r="H6" s="3">
        <v>377.807</v>
      </c>
      <c r="I6" s="3">
        <v>423.648</v>
      </c>
      <c r="J6" s="3">
        <v>548.372</v>
      </c>
      <c r="K6" s="3">
        <v>634.2</v>
      </c>
      <c r="L6" s="3">
        <v>705</v>
      </c>
      <c r="M6" s="3">
        <v>780.5</v>
      </c>
      <c r="N6" s="15">
        <v>844.5</v>
      </c>
    </row>
    <row r="7" spans="1:14" ht="12.75">
      <c r="A7" s="43"/>
      <c r="B7" s="28" t="s">
        <v>116</v>
      </c>
      <c r="C7" s="60" t="s">
        <v>15</v>
      </c>
      <c r="D7" s="3">
        <f>D6/C6*100</f>
        <v>127.81414705110778</v>
      </c>
      <c r="E7" s="3">
        <f aca="true" t="shared" si="0" ref="E7:N7">E6/D6*100</f>
        <v>118.99521865889213</v>
      </c>
      <c r="F7" s="3">
        <f t="shared" si="0"/>
        <v>106.09456831937779</v>
      </c>
      <c r="G7" s="3">
        <f t="shared" si="0"/>
        <v>119.72118251719056</v>
      </c>
      <c r="H7" s="3">
        <f t="shared" si="0"/>
        <v>116.60098081273513</v>
      </c>
      <c r="I7" s="3">
        <f t="shared" si="0"/>
        <v>112.13344379537699</v>
      </c>
      <c r="J7" s="3">
        <f t="shared" si="0"/>
        <v>129.44047888813353</v>
      </c>
      <c r="K7" s="3">
        <f t="shared" si="0"/>
        <v>115.6514191096555</v>
      </c>
      <c r="L7" s="3">
        <f t="shared" si="0"/>
        <v>111.16367076631977</v>
      </c>
      <c r="M7" s="3">
        <f t="shared" si="0"/>
        <v>110.70921985815603</v>
      </c>
      <c r="N7" s="15">
        <f t="shared" si="0"/>
        <v>108.19987187700193</v>
      </c>
    </row>
    <row r="8" spans="1:14" ht="12.75">
      <c r="A8" s="43" t="s">
        <v>99</v>
      </c>
      <c r="B8" s="28" t="s">
        <v>6</v>
      </c>
      <c r="C8" s="3">
        <v>195</v>
      </c>
      <c r="D8" s="3">
        <v>211.8</v>
      </c>
      <c r="E8" s="3">
        <v>260.8</v>
      </c>
      <c r="F8" s="3">
        <v>340.903</v>
      </c>
      <c r="G8" s="3">
        <v>393.973</v>
      </c>
      <c r="H8" s="3">
        <v>460.736</v>
      </c>
      <c r="I8" s="3">
        <v>468.892</v>
      </c>
      <c r="J8" s="3">
        <v>590.728</v>
      </c>
      <c r="K8" s="3">
        <v>703.2</v>
      </c>
      <c r="L8" s="3">
        <v>777</v>
      </c>
      <c r="M8" s="3">
        <v>862.5</v>
      </c>
      <c r="N8" s="15">
        <v>935.8</v>
      </c>
    </row>
    <row r="9" spans="1:14" ht="12.75">
      <c r="A9" s="43"/>
      <c r="B9" s="28" t="s">
        <v>116</v>
      </c>
      <c r="C9" s="3" t="s">
        <v>15</v>
      </c>
      <c r="D9" s="3">
        <f>D8/C8*100</f>
        <v>108.61538461538463</v>
      </c>
      <c r="E9" s="3">
        <f aca="true" t="shared" si="1" ref="E9:N9">E8/D8*100</f>
        <v>123.1350330500472</v>
      </c>
      <c r="F9" s="3">
        <f t="shared" si="1"/>
        <v>130.71434049079755</v>
      </c>
      <c r="G9" s="3">
        <f t="shared" si="1"/>
        <v>115.56747813894275</v>
      </c>
      <c r="H9" s="3">
        <f t="shared" si="1"/>
        <v>116.94608513781401</v>
      </c>
      <c r="I9" s="3">
        <f t="shared" si="1"/>
        <v>101.77021114043616</v>
      </c>
      <c r="J9" s="3">
        <f t="shared" si="1"/>
        <v>125.98380863823651</v>
      </c>
      <c r="K9" s="3">
        <f t="shared" si="1"/>
        <v>119.03955796914995</v>
      </c>
      <c r="L9" s="3">
        <f t="shared" si="1"/>
        <v>110.49488054607508</v>
      </c>
      <c r="M9" s="3">
        <f t="shared" si="1"/>
        <v>111.00386100386099</v>
      </c>
      <c r="N9" s="15">
        <f t="shared" si="1"/>
        <v>108.49855072463768</v>
      </c>
    </row>
    <row r="10" spans="1:14" ht="12.75">
      <c r="A10" s="54" t="s">
        <v>103</v>
      </c>
      <c r="B10" s="26" t="s">
        <v>6</v>
      </c>
      <c r="C10" s="61">
        <v>10.4182</v>
      </c>
      <c r="D10" s="61">
        <v>24.038</v>
      </c>
      <c r="E10" s="61">
        <v>19.614</v>
      </c>
      <c r="F10" s="61">
        <v>5.358</v>
      </c>
      <c r="G10" s="61">
        <v>6.748</v>
      </c>
      <c r="H10" s="61">
        <v>5.686</v>
      </c>
      <c r="I10" s="61">
        <v>9.041</v>
      </c>
      <c r="J10" s="61">
        <v>20.2436</v>
      </c>
      <c r="K10" s="61">
        <f>K11-K13</f>
        <v>19.5</v>
      </c>
      <c r="L10" s="61">
        <f>L11-L13</f>
        <v>21.600000000000023</v>
      </c>
      <c r="M10" s="61">
        <f>M11-M13</f>
        <v>23.59999999999991</v>
      </c>
      <c r="N10" s="62">
        <f>N11-N13</f>
        <v>26</v>
      </c>
    </row>
    <row r="11" spans="1:14" ht="12.75">
      <c r="A11" s="43" t="s">
        <v>100</v>
      </c>
      <c r="B11" s="28" t="s">
        <v>6</v>
      </c>
      <c r="C11" s="3">
        <v>62.197</v>
      </c>
      <c r="D11" s="3">
        <v>75.284</v>
      </c>
      <c r="E11" s="3">
        <v>74.201</v>
      </c>
      <c r="F11" s="3">
        <v>67.627</v>
      </c>
      <c r="G11" s="3">
        <v>77.207</v>
      </c>
      <c r="H11" s="3">
        <v>85.861</v>
      </c>
      <c r="I11" s="3">
        <v>85.449</v>
      </c>
      <c r="J11" s="3">
        <v>103.7404</v>
      </c>
      <c r="K11" s="3">
        <f>'HDP-tab'!K50-'PB-tab'!K6</f>
        <v>117.09999999999991</v>
      </c>
      <c r="L11" s="3">
        <f>'HDP-tab'!L50-'PB-tab'!L6</f>
        <v>134.5</v>
      </c>
      <c r="M11" s="3">
        <f>'HDP-tab'!M50-'PB-tab'!M6</f>
        <v>151.79999999999995</v>
      </c>
      <c r="N11" s="15">
        <f>'HDP-tab'!N50-'PB-tab'!N6</f>
        <v>186.79999999999995</v>
      </c>
    </row>
    <row r="12" spans="1:14" ht="12.75">
      <c r="A12" s="43"/>
      <c r="B12" s="28" t="s">
        <v>116</v>
      </c>
      <c r="C12" s="3" t="s">
        <v>15</v>
      </c>
      <c r="D12" s="3">
        <f>D11/C11*100</f>
        <v>121.04120777529464</v>
      </c>
      <c r="E12" s="3">
        <f aca="true" t="shared" si="2" ref="E12:N12">E11/D11*100</f>
        <v>98.56144731948355</v>
      </c>
      <c r="F12" s="3">
        <f t="shared" si="2"/>
        <v>91.14028112828669</v>
      </c>
      <c r="G12" s="3">
        <f t="shared" si="2"/>
        <v>114.1659396394931</v>
      </c>
      <c r="H12" s="3">
        <f t="shared" si="2"/>
        <v>111.20882821505825</v>
      </c>
      <c r="I12" s="3">
        <f t="shared" si="2"/>
        <v>99.52015466859226</v>
      </c>
      <c r="J12" s="3">
        <f t="shared" si="2"/>
        <v>121.40621891420614</v>
      </c>
      <c r="K12" s="3">
        <f t="shared" si="2"/>
        <v>112.87791448654518</v>
      </c>
      <c r="L12" s="3">
        <f t="shared" si="2"/>
        <v>114.8590947907772</v>
      </c>
      <c r="M12" s="3">
        <f t="shared" si="2"/>
        <v>112.86245353159848</v>
      </c>
      <c r="N12" s="15">
        <f t="shared" si="2"/>
        <v>123.05665349143611</v>
      </c>
    </row>
    <row r="13" spans="1:14" ht="12.75">
      <c r="A13" s="43" t="s">
        <v>101</v>
      </c>
      <c r="B13" s="28" t="s">
        <v>6</v>
      </c>
      <c r="C13" s="3">
        <v>51.7788</v>
      </c>
      <c r="D13" s="3">
        <v>51.246</v>
      </c>
      <c r="E13" s="3">
        <v>54.587</v>
      </c>
      <c r="F13" s="3">
        <v>62.269</v>
      </c>
      <c r="G13" s="3">
        <v>70.459</v>
      </c>
      <c r="H13" s="3">
        <v>80.175</v>
      </c>
      <c r="I13" s="3">
        <v>76.408</v>
      </c>
      <c r="J13" s="3">
        <v>83.4968</v>
      </c>
      <c r="K13" s="3">
        <f>'HDP-tab'!K52-'PB-tab'!K8</f>
        <v>97.59999999999991</v>
      </c>
      <c r="L13" s="3">
        <f>'HDP-tab'!L52-'PB-tab'!L8</f>
        <v>112.89999999999998</v>
      </c>
      <c r="M13" s="3">
        <f>'HDP-tab'!M52-'PB-tab'!M8</f>
        <v>128.20000000000005</v>
      </c>
      <c r="N13" s="15">
        <f>'HDP-tab'!N52-'PB-tab'!N8</f>
        <v>160.79999999999995</v>
      </c>
    </row>
    <row r="14" spans="1:14" ht="12.75">
      <c r="A14" s="41"/>
      <c r="B14" s="27" t="s">
        <v>116</v>
      </c>
      <c r="C14" s="31" t="s">
        <v>15</v>
      </c>
      <c r="D14" s="31">
        <f>D13/C13*100</f>
        <v>98.97100743933812</v>
      </c>
      <c r="E14" s="31">
        <f aca="true" t="shared" si="3" ref="E14:N14">E13/D13*100</f>
        <v>106.51953323186201</v>
      </c>
      <c r="F14" s="31">
        <f t="shared" si="3"/>
        <v>114.0729477714474</v>
      </c>
      <c r="G14" s="31">
        <f t="shared" si="3"/>
        <v>113.15261205415214</v>
      </c>
      <c r="H14" s="31">
        <f t="shared" si="3"/>
        <v>113.78957975560253</v>
      </c>
      <c r="I14" s="31">
        <f t="shared" si="3"/>
        <v>95.30152790770191</v>
      </c>
      <c r="J14" s="31">
        <f t="shared" si="3"/>
        <v>109.27756255889433</v>
      </c>
      <c r="K14" s="31">
        <f t="shared" si="3"/>
        <v>116.89070718877839</v>
      </c>
      <c r="L14" s="31">
        <f t="shared" si="3"/>
        <v>115.6762295081968</v>
      </c>
      <c r="M14" s="31">
        <f t="shared" si="3"/>
        <v>113.55181576616482</v>
      </c>
      <c r="N14" s="32">
        <f t="shared" si="3"/>
        <v>125.42901716068636</v>
      </c>
    </row>
    <row r="15" spans="1:14" ht="12.75">
      <c r="A15" s="44" t="s">
        <v>87</v>
      </c>
      <c r="B15" s="28" t="s">
        <v>6</v>
      </c>
      <c r="C15" s="46">
        <v>-1.17</v>
      </c>
      <c r="D15" s="46">
        <v>-3.826</v>
      </c>
      <c r="E15" s="46">
        <v>-0.408</v>
      </c>
      <c r="F15" s="46">
        <v>-1.365</v>
      </c>
      <c r="G15" s="46">
        <v>-4.085</v>
      </c>
      <c r="H15" s="46">
        <v>-5.549</v>
      </c>
      <c r="I15" s="46">
        <v>-12.481</v>
      </c>
      <c r="J15" s="46">
        <v>-16.3231</v>
      </c>
      <c r="K15" s="46">
        <v>-13.9</v>
      </c>
      <c r="L15" s="46">
        <v>-18</v>
      </c>
      <c r="M15" s="46">
        <v>-16</v>
      </c>
      <c r="N15" s="11">
        <v>-14</v>
      </c>
    </row>
    <row r="16" spans="1:14" ht="12.75">
      <c r="A16" s="43" t="s">
        <v>104</v>
      </c>
      <c r="B16" s="28" t="s">
        <v>6</v>
      </c>
      <c r="C16" s="3">
        <f>-3.095-0.481</f>
        <v>-3.576</v>
      </c>
      <c r="D16" s="3">
        <f>-4.996-0.203</f>
        <v>-5.199000000000001</v>
      </c>
      <c r="E16" s="3">
        <f>-0.894-0.204</f>
        <v>-1.098</v>
      </c>
      <c r="F16" s="3">
        <f>-1.47-0.135</f>
        <v>-1.605</v>
      </c>
      <c r="G16" s="3">
        <v>-4.512</v>
      </c>
      <c r="H16" s="3">
        <v>-6.091</v>
      </c>
      <c r="I16" s="3">
        <v>-12.979</v>
      </c>
      <c r="J16" s="3">
        <v>-16.8414</v>
      </c>
      <c r="K16" s="3" t="s">
        <v>15</v>
      </c>
      <c r="L16" s="3" t="s">
        <v>15</v>
      </c>
      <c r="M16" s="3" t="s">
        <v>15</v>
      </c>
      <c r="N16" s="15" t="s">
        <v>15</v>
      </c>
    </row>
    <row r="17" spans="1:14" ht="12.75">
      <c r="A17" s="41" t="s">
        <v>113</v>
      </c>
      <c r="B17" s="27" t="s">
        <v>6</v>
      </c>
      <c r="C17" s="31">
        <v>2.406</v>
      </c>
      <c r="D17" s="31">
        <v>1.373</v>
      </c>
      <c r="E17" s="31">
        <v>0.69</v>
      </c>
      <c r="F17" s="31">
        <v>0.24</v>
      </c>
      <c r="G17" s="31">
        <v>0.427</v>
      </c>
      <c r="H17" s="31">
        <v>0.542</v>
      </c>
      <c r="I17" s="31">
        <v>0.498</v>
      </c>
      <c r="J17" s="31">
        <v>0.5183</v>
      </c>
      <c r="K17" s="31" t="s">
        <v>15</v>
      </c>
      <c r="L17" s="31" t="s">
        <v>15</v>
      </c>
      <c r="M17" s="31" t="s">
        <v>15</v>
      </c>
      <c r="N17" s="32" t="s">
        <v>15</v>
      </c>
    </row>
    <row r="18" spans="1:14" ht="12.75">
      <c r="A18" s="53" t="s">
        <v>88</v>
      </c>
      <c r="B18" s="52" t="s">
        <v>6</v>
      </c>
      <c r="C18" s="55">
        <v>3.077</v>
      </c>
      <c r="D18" s="55">
        <v>2.217</v>
      </c>
      <c r="E18" s="55">
        <v>2.742</v>
      </c>
      <c r="F18" s="55">
        <v>6.213</v>
      </c>
      <c r="G18" s="55">
        <v>5.875</v>
      </c>
      <c r="H18" s="55">
        <v>12.943</v>
      </c>
      <c r="I18" s="55">
        <v>8.11</v>
      </c>
      <c r="J18" s="55">
        <v>5.4394</v>
      </c>
      <c r="K18" s="55">
        <v>8.6</v>
      </c>
      <c r="L18" s="55">
        <v>9</v>
      </c>
      <c r="M18" s="55">
        <v>10</v>
      </c>
      <c r="N18" s="56">
        <v>11</v>
      </c>
    </row>
    <row r="19" spans="1:14" ht="15.75">
      <c r="A19" s="57" t="s">
        <v>89</v>
      </c>
      <c r="B19" s="28" t="s">
        <v>6</v>
      </c>
      <c r="C19" s="46">
        <v>-16.3708</v>
      </c>
      <c r="D19" s="46">
        <v>24.304</v>
      </c>
      <c r="E19" s="46">
        <v>15.182</v>
      </c>
      <c r="F19" s="46">
        <v>-60.054</v>
      </c>
      <c r="G19" s="46">
        <v>-61.418</v>
      </c>
      <c r="H19" s="46">
        <v>-69.849</v>
      </c>
      <c r="I19" s="46">
        <v>-40.574</v>
      </c>
      <c r="J19" s="46">
        <v>-32.9961</v>
      </c>
      <c r="K19" s="46">
        <f>K5+K10+K15+K18</f>
        <v>-54.8</v>
      </c>
      <c r="L19" s="46">
        <f>L5+L10+L15+L18</f>
        <v>-59.39999999999998</v>
      </c>
      <c r="M19" s="46">
        <f>M5+M10+M15+M18</f>
        <v>-64.40000000000009</v>
      </c>
      <c r="N19" s="62">
        <f>N5+N10+N15+N18</f>
        <v>-68.29999999999995</v>
      </c>
    </row>
    <row r="20" spans="1:14" ht="12.75">
      <c r="A20" s="41"/>
      <c r="B20" s="27" t="s">
        <v>90</v>
      </c>
      <c r="C20" s="31">
        <v>-0.5317</v>
      </c>
      <c r="D20" s="31">
        <v>0.7586</v>
      </c>
      <c r="E20" s="31">
        <v>0.5106</v>
      </c>
      <c r="F20" s="31">
        <v>-1.9595</v>
      </c>
      <c r="G20" s="31">
        <v>-1.827</v>
      </c>
      <c r="H20" s="31">
        <v>-1.982</v>
      </c>
      <c r="I20" s="31">
        <v>-0.9796</v>
      </c>
      <c r="J20" s="31">
        <v>-0.7142</v>
      </c>
      <c r="K20" s="31">
        <f>K19/K26</f>
        <v>-1.1561181434599155</v>
      </c>
      <c r="L20" s="31">
        <f>L19/L26</f>
        <v>-1.2349272349272344</v>
      </c>
      <c r="M20" s="31">
        <f>M19/M26</f>
        <v>-1.3223819301848068</v>
      </c>
      <c r="N20" s="32">
        <f>N19/N26</f>
        <v>-1.3853955375253542</v>
      </c>
    </row>
    <row r="21" spans="1:14" ht="12.75">
      <c r="A21" s="44" t="s">
        <v>105</v>
      </c>
      <c r="B21" s="28" t="s">
        <v>6</v>
      </c>
      <c r="C21" s="46">
        <v>17.858</v>
      </c>
      <c r="D21" s="46">
        <v>6.1505</v>
      </c>
      <c r="E21" s="46">
        <v>34.5037</v>
      </c>
      <c r="F21" s="46">
        <v>67.4922</v>
      </c>
      <c r="G21" s="46">
        <v>60.6693</v>
      </c>
      <c r="H21" s="46">
        <v>71.1737</v>
      </c>
      <c r="I21" s="46">
        <v>80.235</v>
      </c>
      <c r="J21" s="46">
        <v>66.6759</v>
      </c>
      <c r="K21" s="46">
        <v>70</v>
      </c>
      <c r="L21" s="46">
        <v>70</v>
      </c>
      <c r="M21" s="46">
        <v>70</v>
      </c>
      <c r="N21" s="11">
        <v>70</v>
      </c>
    </row>
    <row r="22" spans="1:14" ht="12.75">
      <c r="A22" s="50"/>
      <c r="B22" s="27" t="s">
        <v>90</v>
      </c>
      <c r="C22" s="31">
        <v>0.58</v>
      </c>
      <c r="D22" s="31">
        <v>0.215</v>
      </c>
      <c r="E22" s="31">
        <v>1.1658</v>
      </c>
      <c r="F22" s="31">
        <v>2.2158</v>
      </c>
      <c r="G22" s="31">
        <v>1.86203</v>
      </c>
      <c r="H22" s="31">
        <v>2.05298</v>
      </c>
      <c r="I22" s="31">
        <v>1.9241</v>
      </c>
      <c r="J22" s="31">
        <v>1.4871</v>
      </c>
      <c r="K22" s="31">
        <f>K21/K26</f>
        <v>1.4767932489451476</v>
      </c>
      <c r="L22" s="31">
        <f>L21/L26</f>
        <v>1.4553014553014552</v>
      </c>
      <c r="M22" s="31">
        <f>M21/M26</f>
        <v>1.4373716632443532</v>
      </c>
      <c r="N22" s="32">
        <f>N21/N26</f>
        <v>1.4198782961460448</v>
      </c>
    </row>
    <row r="23" spans="1:14" ht="12" customHeight="1">
      <c r="A23" s="44" t="s">
        <v>96</v>
      </c>
      <c r="B23" s="28" t="s">
        <v>44</v>
      </c>
      <c r="C23" s="3">
        <f>C19/'HDP-tab'!C38*100</f>
        <v>-4.191193036354327</v>
      </c>
      <c r="D23" s="3">
        <f>D19/'HDP-tab'!D38*100</f>
        <v>5.213213213213213</v>
      </c>
      <c r="E23" s="3">
        <f>E19/'HDP-tab'!E38*100</f>
        <v>2.7805860805860805</v>
      </c>
      <c r="F23" s="3">
        <f>F19/'HDP-tab'!F38*100</f>
        <v>-9.908265962712424</v>
      </c>
      <c r="G23" s="3">
        <f>G19/'HDP-tab'!G38*100</f>
        <v>-8.951756303745809</v>
      </c>
      <c r="H23" s="3">
        <f>H19/'HDP-tab'!H38*100</f>
        <v>-9.303276505061268</v>
      </c>
      <c r="I23" s="3">
        <f>I19/'HDP-tab'!I38*100</f>
        <v>-4.976573040598552</v>
      </c>
      <c r="J23" s="3">
        <f>J19/'HDP-tab'!J38*100</f>
        <v>-3.7191275924256084</v>
      </c>
      <c r="K23" s="3">
        <f>K19/'HDP-tab'!K38*100</f>
        <v>-5.6367002674346836</v>
      </c>
      <c r="L23" s="3">
        <f>L19/'HDP-tab'!L38*100</f>
        <v>-5.594800791183948</v>
      </c>
      <c r="M23" s="3">
        <f>M19/'HDP-tab'!M38*100</f>
        <v>-5.539308446585248</v>
      </c>
      <c r="N23" s="15">
        <f>N19/'HDP-tab'!N38*100</f>
        <v>-5.3514064091514495</v>
      </c>
    </row>
    <row r="24" spans="1:14" ht="12.75">
      <c r="A24" s="50" t="s">
        <v>110</v>
      </c>
      <c r="B24" s="27" t="s">
        <v>44</v>
      </c>
      <c r="C24" s="31">
        <f>C21/'HDP-tab'!C38*100</f>
        <v>4.5719406041986685</v>
      </c>
      <c r="D24" s="31">
        <f>D21/'HDP-tab'!D38*100</f>
        <v>1.3192835692835694</v>
      </c>
      <c r="E24" s="31">
        <f>E21/'HDP-tab'!E38*100</f>
        <v>6.319358974358975</v>
      </c>
      <c r="F24" s="31">
        <f>F21/'HDP-tab'!F38*100</f>
        <v>11.135489193202442</v>
      </c>
      <c r="G24" s="31">
        <f>G21/'HDP-tab'!G38*100</f>
        <v>8.84263226934849</v>
      </c>
      <c r="H24" s="31">
        <f>H21/'HDP-tab'!H38*100</f>
        <v>9.479714970697922</v>
      </c>
      <c r="I24" s="31">
        <f>I21/'HDP-tab'!I38*100</f>
        <v>9.841162762173433</v>
      </c>
      <c r="J24" s="31">
        <f>J21/'HDP-tab'!J38*100</f>
        <v>7.515317853922452</v>
      </c>
      <c r="K24" s="31">
        <f>K21/'HDP-tab'!K38*100</f>
        <v>7.20016457519029</v>
      </c>
      <c r="L24" s="31">
        <f>L21/'HDP-tab'!L38*100</f>
        <v>6.593199585570312</v>
      </c>
      <c r="M24" s="31">
        <f>M21/'HDP-tab'!M38*100</f>
        <v>6.020987441940479</v>
      </c>
      <c r="N24" s="32">
        <f>N21/'HDP-tab'!N38*100</f>
        <v>5.484603933244536</v>
      </c>
    </row>
    <row r="25" spans="1:14" ht="12.75" hidden="1">
      <c r="A25" s="50" t="s">
        <v>97</v>
      </c>
      <c r="B25" s="27" t="s">
        <v>44</v>
      </c>
      <c r="C25" s="31" t="e">
        <f>#REF!*C26/'HDP-tab'!C38*100</f>
        <v>#REF!</v>
      </c>
      <c r="D25" s="31" t="e">
        <f>#REF!*D26/'HDP-tab'!D38*100</f>
        <v>#REF!</v>
      </c>
      <c r="E25" s="31" t="e">
        <f>#REF!*E26/'HDP-tab'!E38*100</f>
        <v>#REF!</v>
      </c>
      <c r="F25" s="31" t="e">
        <f>#REF!*F26/'HDP-tab'!F38*100</f>
        <v>#REF!</v>
      </c>
      <c r="G25" s="31" t="e">
        <f>#REF!*G26/'HDP-tab'!G38*100</f>
        <v>#REF!</v>
      </c>
      <c r="H25" s="31" t="e">
        <f>#REF!*H26/'HDP-tab'!H38*100</f>
        <v>#REF!</v>
      </c>
      <c r="I25" s="31" t="e">
        <f>#REF!*I26/'HDP-tab'!I38*100</f>
        <v>#REF!</v>
      </c>
      <c r="J25" s="31" t="e">
        <f>#REF!*J26/'HDP-tab'!J38*100</f>
        <v>#REF!</v>
      </c>
      <c r="K25" s="31" t="s">
        <v>15</v>
      </c>
      <c r="L25" s="31" t="s">
        <v>15</v>
      </c>
      <c r="M25" s="31" t="s">
        <v>15</v>
      </c>
      <c r="N25" s="32" t="s">
        <v>15</v>
      </c>
    </row>
    <row r="26" spans="1:14" ht="12.75">
      <c r="A26" s="53" t="s">
        <v>120</v>
      </c>
      <c r="B26" s="52" t="s">
        <v>112</v>
      </c>
      <c r="C26" s="63">
        <v>30.79</v>
      </c>
      <c r="D26" s="63">
        <v>32.039</v>
      </c>
      <c r="E26" s="63">
        <v>29.735</v>
      </c>
      <c r="F26" s="63">
        <v>30.65</v>
      </c>
      <c r="G26" s="63">
        <v>33.616</v>
      </c>
      <c r="H26" s="63">
        <v>35.242</v>
      </c>
      <c r="I26" s="63">
        <v>41.417</v>
      </c>
      <c r="J26" s="63">
        <v>46.2</v>
      </c>
      <c r="K26" s="63">
        <v>47.4</v>
      </c>
      <c r="L26" s="63">
        <v>48.1</v>
      </c>
      <c r="M26" s="63">
        <v>48.7</v>
      </c>
      <c r="N26" s="64">
        <v>49.3</v>
      </c>
    </row>
    <row r="29" spans="1:14" ht="12.75">
      <c r="A29" s="40"/>
      <c r="B29" s="26" t="s">
        <v>8</v>
      </c>
      <c r="C29" s="6">
        <v>1993</v>
      </c>
      <c r="D29" s="6">
        <v>1994</v>
      </c>
      <c r="E29" s="6">
        <v>1995</v>
      </c>
      <c r="F29" s="6">
        <v>1996</v>
      </c>
      <c r="G29" s="6">
        <v>1997</v>
      </c>
      <c r="H29" s="6">
        <v>1998</v>
      </c>
      <c r="I29" s="6">
        <v>1999</v>
      </c>
      <c r="J29" s="7">
        <v>2000</v>
      </c>
      <c r="K29" s="34"/>
      <c r="L29" s="34"/>
      <c r="M29" s="34"/>
      <c r="N29" s="34"/>
    </row>
    <row r="30" spans="1:14" ht="12.75">
      <c r="A30" s="41"/>
      <c r="B30" s="27"/>
      <c r="C30" s="24"/>
      <c r="D30" s="24"/>
      <c r="E30" s="24"/>
      <c r="F30" s="24"/>
      <c r="G30" s="24"/>
      <c r="H30" s="24"/>
      <c r="I30" s="24"/>
      <c r="J30" s="100"/>
      <c r="K30" s="51"/>
      <c r="L30" s="51"/>
      <c r="M30" s="51"/>
      <c r="N30" s="51"/>
    </row>
    <row r="31" spans="1:14" ht="12.75">
      <c r="A31" s="44" t="s">
        <v>105</v>
      </c>
      <c r="B31" s="28" t="s">
        <v>6</v>
      </c>
      <c r="C31" s="46">
        <v>17.858</v>
      </c>
      <c r="D31" s="46">
        <v>6.1505</v>
      </c>
      <c r="E31" s="46">
        <v>34.5037</v>
      </c>
      <c r="F31" s="46">
        <v>67.4922</v>
      </c>
      <c r="G31" s="46">
        <v>60.6693</v>
      </c>
      <c r="H31" s="46">
        <v>71.1737</v>
      </c>
      <c r="I31" s="46">
        <v>80.235</v>
      </c>
      <c r="J31" s="11">
        <v>66.6759</v>
      </c>
      <c r="K31" s="10"/>
      <c r="L31" s="10"/>
      <c r="M31" s="10"/>
      <c r="N31" s="10"/>
    </row>
    <row r="32" spans="1:14" ht="12.75">
      <c r="A32" s="44"/>
      <c r="B32" s="28" t="s">
        <v>90</v>
      </c>
      <c r="C32" s="3">
        <v>0.58</v>
      </c>
      <c r="D32" s="3">
        <v>0.215</v>
      </c>
      <c r="E32" s="3">
        <v>1.1658</v>
      </c>
      <c r="F32" s="3">
        <v>2.2158</v>
      </c>
      <c r="G32" s="3">
        <v>1.86203</v>
      </c>
      <c r="H32" s="3">
        <v>2.05298</v>
      </c>
      <c r="I32" s="3">
        <v>1.9241</v>
      </c>
      <c r="J32" s="15">
        <v>1.4871</v>
      </c>
      <c r="K32" s="14"/>
      <c r="L32" s="14"/>
      <c r="M32" s="14"/>
      <c r="N32" s="14"/>
    </row>
    <row r="33" spans="1:14" ht="12.75">
      <c r="A33" s="43" t="s">
        <v>106</v>
      </c>
      <c r="B33" s="28" t="s">
        <v>6</v>
      </c>
      <c r="C33" s="3">
        <v>5.119</v>
      </c>
      <c r="D33" s="3">
        <v>8.177</v>
      </c>
      <c r="E33" s="3">
        <v>9.093</v>
      </c>
      <c r="F33" s="3">
        <v>9.223</v>
      </c>
      <c r="G33" s="3">
        <v>4.202</v>
      </c>
      <c r="H33" s="3">
        <v>18.94</v>
      </c>
      <c r="I33" s="3">
        <v>31.772</v>
      </c>
      <c r="J33" s="15">
        <v>95.1282</v>
      </c>
      <c r="K33" s="14"/>
      <c r="L33" s="14"/>
      <c r="M33" s="14"/>
      <c r="N33" s="14"/>
    </row>
    <row r="34" spans="1:14" ht="12.75">
      <c r="A34" s="43" t="s">
        <v>91</v>
      </c>
      <c r="B34" s="28" t="s">
        <v>6</v>
      </c>
      <c r="C34" s="3">
        <v>-8.095</v>
      </c>
      <c r="D34" s="3">
        <v>8.704</v>
      </c>
      <c r="E34" s="3">
        <v>7.317</v>
      </c>
      <c r="F34" s="3">
        <v>0.4858</v>
      </c>
      <c r="G34" s="3">
        <v>0.8552</v>
      </c>
      <c r="H34" s="3">
        <v>27.0864</v>
      </c>
      <c r="I34" s="3">
        <v>26.8945</v>
      </c>
      <c r="J34" s="15">
        <v>36.3748</v>
      </c>
      <c r="K34" s="14"/>
      <c r="L34" s="14"/>
      <c r="M34" s="14"/>
      <c r="N34" s="14"/>
    </row>
    <row r="35" spans="1:14" ht="12.75">
      <c r="A35" s="41" t="s">
        <v>92</v>
      </c>
      <c r="B35" s="27" t="s">
        <v>6</v>
      </c>
      <c r="C35" s="31">
        <f>12.575-13.449</f>
        <v>-0.8740000000000006</v>
      </c>
      <c r="D35" s="31">
        <f>16.0751-16.3528</f>
        <v>-0.2776999999999994</v>
      </c>
      <c r="E35" s="31">
        <f>11.6752+2.715</f>
        <v>14.3902</v>
      </c>
      <c r="F35" s="31">
        <f>29.3872+27.4872</f>
        <v>56.8744</v>
      </c>
      <c r="G35" s="31">
        <v>55.6121</v>
      </c>
      <c r="H35" s="31">
        <v>22.6643</v>
      </c>
      <c r="I35" s="31">
        <v>14.9345</v>
      </c>
      <c r="J35" s="32">
        <v>-69.0805</v>
      </c>
      <c r="K35" s="14"/>
      <c r="L35" s="14"/>
      <c r="M35" s="14"/>
      <c r="N35" s="14"/>
    </row>
    <row r="36" spans="1:14" ht="12.75">
      <c r="A36" s="44" t="s">
        <v>93</v>
      </c>
      <c r="B36" s="28" t="s">
        <v>6</v>
      </c>
      <c r="C36" s="46">
        <v>1.69</v>
      </c>
      <c r="D36" s="46">
        <v>39.4786</v>
      </c>
      <c r="E36" s="46">
        <v>46.947</v>
      </c>
      <c r="F36" s="46">
        <v>7.3679</v>
      </c>
      <c r="G36" s="46">
        <v>1.7762</v>
      </c>
      <c r="H36" s="46">
        <v>-19.5432</v>
      </c>
      <c r="I36" s="46">
        <v>30.1373</v>
      </c>
      <c r="J36" s="11">
        <v>34.1688</v>
      </c>
      <c r="K36" s="10"/>
      <c r="L36" s="10"/>
      <c r="M36" s="10"/>
      <c r="N36" s="10"/>
    </row>
    <row r="37" spans="1:14" ht="12.75">
      <c r="A37" s="43"/>
      <c r="B37" s="28" t="s">
        <v>90</v>
      </c>
      <c r="C37" s="3">
        <v>0.0549</v>
      </c>
      <c r="D37" s="3">
        <v>1.2899</v>
      </c>
      <c r="E37" s="3">
        <v>1.579</v>
      </c>
      <c r="F37" s="3">
        <v>0.2371</v>
      </c>
      <c r="G37" s="3">
        <v>0.0461</v>
      </c>
      <c r="H37" s="3">
        <v>-0.5499</v>
      </c>
      <c r="I37" s="3">
        <v>0.7205</v>
      </c>
      <c r="J37" s="15">
        <v>0.8237</v>
      </c>
      <c r="K37" s="14"/>
      <c r="L37" s="14"/>
      <c r="M37" s="14"/>
      <c r="N37" s="14"/>
    </row>
    <row r="38" spans="1:14" ht="15.75">
      <c r="A38" s="59" t="s">
        <v>94</v>
      </c>
      <c r="B38" s="52" t="s">
        <v>114</v>
      </c>
      <c r="C38" s="55">
        <v>449.6</v>
      </c>
      <c r="D38" s="55">
        <v>1745</v>
      </c>
      <c r="E38" s="55">
        <v>3418.4</v>
      </c>
      <c r="F38" s="55">
        <v>3473.3</v>
      </c>
      <c r="G38" s="55">
        <v>3284.9</v>
      </c>
      <c r="H38" s="55">
        <v>2923.3</v>
      </c>
      <c r="I38" s="55">
        <v>3425.2</v>
      </c>
      <c r="J38" s="56">
        <v>4076.8</v>
      </c>
      <c r="K38" s="10"/>
      <c r="L38" s="10"/>
      <c r="M38" s="10"/>
      <c r="N38" s="10"/>
    </row>
    <row r="39" spans="1:14" ht="12.75">
      <c r="A39" s="44" t="s">
        <v>107</v>
      </c>
      <c r="B39" s="28" t="s">
        <v>90</v>
      </c>
      <c r="C39" s="46">
        <v>3.7</v>
      </c>
      <c r="D39" s="46">
        <v>4.7</v>
      </c>
      <c r="E39" s="46">
        <v>5.678</v>
      </c>
      <c r="F39" s="46">
        <v>7.667</v>
      </c>
      <c r="G39" s="46">
        <v>9.768</v>
      </c>
      <c r="H39" s="46">
        <v>11.902</v>
      </c>
      <c r="I39" s="46">
        <v>10.518</v>
      </c>
      <c r="J39" s="11">
        <v>10.8042</v>
      </c>
      <c r="K39" s="10"/>
      <c r="L39" s="10"/>
      <c r="M39" s="10"/>
      <c r="N39" s="10"/>
    </row>
    <row r="40" spans="1:14" ht="12.75">
      <c r="A40" s="43" t="s">
        <v>95</v>
      </c>
      <c r="B40" s="28" t="s">
        <v>90</v>
      </c>
      <c r="C40" s="14" t="s">
        <v>15</v>
      </c>
      <c r="D40" s="14" t="s">
        <v>15</v>
      </c>
      <c r="E40" s="14">
        <v>1.972</v>
      </c>
      <c r="F40" s="14">
        <v>1.654</v>
      </c>
      <c r="G40" s="14">
        <v>1.696</v>
      </c>
      <c r="H40" s="14">
        <v>2.407</v>
      </c>
      <c r="I40" s="14">
        <v>2.547</v>
      </c>
      <c r="J40" s="15">
        <v>2.9165</v>
      </c>
      <c r="K40" s="14"/>
      <c r="L40" s="14"/>
      <c r="M40" s="14"/>
      <c r="N40" s="14"/>
    </row>
    <row r="41" spans="1:14" ht="12.75">
      <c r="A41" s="50" t="s">
        <v>108</v>
      </c>
      <c r="B41" s="27" t="s">
        <v>109</v>
      </c>
      <c r="C41" s="65" t="s">
        <v>15</v>
      </c>
      <c r="D41" s="65" t="s">
        <v>15</v>
      </c>
      <c r="E41" s="65">
        <v>1099</v>
      </c>
      <c r="F41" s="65">
        <v>1473</v>
      </c>
      <c r="G41" s="65">
        <v>1867</v>
      </c>
      <c r="H41" s="65">
        <v>2209</v>
      </c>
      <c r="I41" s="65">
        <v>1952</v>
      </c>
      <c r="J41" s="101">
        <v>2021</v>
      </c>
      <c r="K41" s="10"/>
      <c r="L41" s="10"/>
      <c r="M41" s="10"/>
      <c r="N41" s="10"/>
    </row>
    <row r="42" spans="1:10" ht="12.75">
      <c r="A42" s="102" t="str">
        <f>A25</f>
        <v>Podiel zahraničnej zadlženosti na HDP</v>
      </c>
      <c r="B42" s="52" t="str">
        <f>B25</f>
        <v>%</v>
      </c>
      <c r="C42" s="103">
        <v>29.2</v>
      </c>
      <c r="D42" s="103">
        <v>32.3</v>
      </c>
      <c r="E42" s="103">
        <v>30.9</v>
      </c>
      <c r="F42" s="103">
        <v>38.8</v>
      </c>
      <c r="G42" s="103">
        <v>47.9</v>
      </c>
      <c r="H42" s="103">
        <v>55.9</v>
      </c>
      <c r="I42" s="103">
        <v>53.4</v>
      </c>
      <c r="J42" s="104">
        <v>56.3</v>
      </c>
    </row>
    <row r="43" spans="1:10" ht="12.75">
      <c r="A43" s="53" t="s">
        <v>120</v>
      </c>
      <c r="B43" s="52" t="s">
        <v>112</v>
      </c>
      <c r="C43" s="63">
        <v>30.79</v>
      </c>
      <c r="D43" s="63">
        <v>32.039</v>
      </c>
      <c r="E43" s="63">
        <v>29.735</v>
      </c>
      <c r="F43" s="63">
        <v>30.65</v>
      </c>
      <c r="G43" s="63">
        <v>33.616</v>
      </c>
      <c r="H43" s="63">
        <v>35.242</v>
      </c>
      <c r="I43" s="63">
        <v>41.417</v>
      </c>
      <c r="J43" s="64">
        <v>46.2</v>
      </c>
    </row>
  </sheetData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Y1:AL6"/>
  <sheetViews>
    <sheetView workbookViewId="0" topLeftCell="A1">
      <selection activeCell="A1" sqref="A1"/>
    </sheetView>
  </sheetViews>
  <sheetFormatPr defaultColWidth="9.00390625" defaultRowHeight="12.75"/>
  <cols>
    <col min="25" max="25" width="25.625" style="0" bestFit="1" customWidth="1"/>
    <col min="26" max="26" width="13.125" style="0" bestFit="1" customWidth="1"/>
  </cols>
  <sheetData>
    <row r="1" spans="26:38" ht="12.75">
      <c r="Z1" s="26" t="s">
        <v>8</v>
      </c>
      <c r="AA1" s="6">
        <v>1993</v>
      </c>
      <c r="AB1" s="6">
        <v>1994</v>
      </c>
      <c r="AC1" s="6">
        <v>1995</v>
      </c>
      <c r="AD1" s="6">
        <v>1996</v>
      </c>
      <c r="AE1" s="6">
        <v>1997</v>
      </c>
      <c r="AF1" s="6">
        <v>1998</v>
      </c>
      <c r="AG1" s="6">
        <v>1999</v>
      </c>
      <c r="AH1" s="6">
        <v>2000</v>
      </c>
      <c r="AI1" s="6">
        <v>2001</v>
      </c>
      <c r="AJ1" s="6">
        <v>2002</v>
      </c>
      <c r="AK1" s="6">
        <v>2003</v>
      </c>
      <c r="AL1" s="7">
        <v>2004</v>
      </c>
    </row>
    <row r="2" spans="25:38" ht="12.75">
      <c r="Y2" s="67" t="s">
        <v>115</v>
      </c>
      <c r="Z2" s="68" t="s">
        <v>6</v>
      </c>
      <c r="AA2" s="66">
        <f>'PB-tab'!C15+'PB-tab'!C18</f>
        <v>1.907</v>
      </c>
      <c r="AB2" s="66">
        <f>'PB-tab'!D15+'PB-tab'!D18</f>
        <v>-1.609</v>
      </c>
      <c r="AC2" s="66">
        <f>'PB-tab'!E15+'PB-tab'!E18</f>
        <v>2.334</v>
      </c>
      <c r="AD2" s="66">
        <f>'PB-tab'!F15+'PB-tab'!F18</f>
        <v>4.848</v>
      </c>
      <c r="AE2" s="66">
        <f>'PB-tab'!G15+'PB-tab'!G18</f>
        <v>1.79</v>
      </c>
      <c r="AF2" s="66">
        <f>'PB-tab'!H15+'PB-tab'!H18</f>
        <v>7.393999999999999</v>
      </c>
      <c r="AG2" s="66">
        <f>'PB-tab'!I15+'PB-tab'!I18</f>
        <v>-4.371</v>
      </c>
      <c r="AH2" s="66">
        <f>'PB-tab'!J15+'PB-tab'!J18</f>
        <v>-10.883700000000001</v>
      </c>
      <c r="AI2" s="66">
        <f>'PB-tab'!K15+'PB-tab'!K18</f>
        <v>-5.300000000000001</v>
      </c>
      <c r="AJ2" s="66">
        <f>'PB-tab'!L15+'PB-tab'!L18</f>
        <v>-9</v>
      </c>
      <c r="AK2" s="66">
        <f>'PB-tab'!M15+'PB-tab'!M18</f>
        <v>-6</v>
      </c>
      <c r="AL2" s="66">
        <f>'PB-tab'!N15+'PB-tab'!N18</f>
        <v>-3</v>
      </c>
    </row>
    <row r="3" spans="25:38" ht="12.75">
      <c r="Y3" t="str">
        <f>'PB-tab'!A26</f>
        <v>Použitý kurz Sk / USD</v>
      </c>
      <c r="Z3" s="67" t="str">
        <f>'PB-tab'!B26</f>
        <v>Sk</v>
      </c>
      <c r="AA3">
        <f>'PB-tab'!C26</f>
        <v>30.79</v>
      </c>
      <c r="AB3">
        <f>'PB-tab'!D26</f>
        <v>32.039</v>
      </c>
      <c r="AC3">
        <f>'PB-tab'!E26</f>
        <v>29.735</v>
      </c>
      <c r="AD3">
        <f>'PB-tab'!F26</f>
        <v>30.65</v>
      </c>
      <c r="AE3">
        <f>'PB-tab'!G26</f>
        <v>33.616</v>
      </c>
      <c r="AF3">
        <f>'PB-tab'!H26</f>
        <v>35.242</v>
      </c>
      <c r="AG3">
        <f>'PB-tab'!I26</f>
        <v>41.417</v>
      </c>
      <c r="AH3">
        <f>'PB-tab'!J26</f>
        <v>46.2</v>
      </c>
      <c r="AI3">
        <f>'PB-tab'!K26</f>
        <v>47.4</v>
      </c>
      <c r="AJ3">
        <f>'PB-tab'!L26</f>
        <v>48.1</v>
      </c>
      <c r="AK3">
        <f>'PB-tab'!M26</f>
        <v>48.7</v>
      </c>
      <c r="AL3">
        <f>'PB-tab'!N26</f>
        <v>49.3</v>
      </c>
    </row>
    <row r="4" spans="25:38" ht="12.75">
      <c r="Y4" t="s">
        <v>111</v>
      </c>
      <c r="Z4" s="67" t="s">
        <v>116</v>
      </c>
      <c r="AB4" s="37">
        <f>AB3/AA3*100</f>
        <v>104.05651185449823</v>
      </c>
      <c r="AC4" s="37">
        <f aca="true" t="shared" si="0" ref="AC4:AL4">AC3/AB3*100</f>
        <v>92.80876431848684</v>
      </c>
      <c r="AD4" s="37">
        <f t="shared" si="0"/>
        <v>103.07718177232216</v>
      </c>
      <c r="AE4" s="37">
        <f t="shared" si="0"/>
        <v>109.67699836867864</v>
      </c>
      <c r="AF4" s="37">
        <f t="shared" si="0"/>
        <v>104.8369823893384</v>
      </c>
      <c r="AG4" s="37">
        <f t="shared" si="0"/>
        <v>117.52170705408321</v>
      </c>
      <c r="AH4" s="37">
        <f t="shared" si="0"/>
        <v>111.54839800082092</v>
      </c>
      <c r="AI4" s="37">
        <f t="shared" si="0"/>
        <v>102.59740259740259</v>
      </c>
      <c r="AJ4" s="37">
        <f t="shared" si="0"/>
        <v>101.47679324894516</v>
      </c>
      <c r="AK4" s="37">
        <f t="shared" si="0"/>
        <v>101.24740124740126</v>
      </c>
      <c r="AL4" s="37">
        <f t="shared" si="0"/>
        <v>101.23203285420944</v>
      </c>
    </row>
    <row r="5" spans="25:34" ht="12.75">
      <c r="Y5" t="s">
        <v>94</v>
      </c>
      <c r="Z5" t="s">
        <v>446</v>
      </c>
      <c r="AA5">
        <f>'PB-tab'!C38</f>
        <v>449.6</v>
      </c>
      <c r="AB5">
        <f>'PB-tab'!D38</f>
        <v>1745</v>
      </c>
      <c r="AC5">
        <f>'PB-tab'!E38</f>
        <v>3418.4</v>
      </c>
      <c r="AD5">
        <f>'PB-tab'!F38</f>
        <v>3473.3</v>
      </c>
      <c r="AE5">
        <f>'PB-tab'!G38</f>
        <v>3284.9</v>
      </c>
      <c r="AF5">
        <f>'PB-tab'!H38</f>
        <v>2923.3</v>
      </c>
      <c r="AG5">
        <f>'PB-tab'!I38</f>
        <v>3425.2</v>
      </c>
      <c r="AH5">
        <f>'PB-tab'!J38</f>
        <v>4076.8</v>
      </c>
    </row>
    <row r="6" spans="25:34" ht="12.75">
      <c r="Y6" t="s">
        <v>94</v>
      </c>
      <c r="Z6" t="s">
        <v>90</v>
      </c>
      <c r="AA6">
        <f>AA5/1000</f>
        <v>0.4496</v>
      </c>
      <c r="AB6">
        <f aca="true" t="shared" si="1" ref="AB6:AH6">AB5/1000</f>
        <v>1.745</v>
      </c>
      <c r="AC6">
        <f t="shared" si="1"/>
        <v>3.4184</v>
      </c>
      <c r="AD6">
        <f t="shared" si="1"/>
        <v>3.4733</v>
      </c>
      <c r="AE6">
        <f t="shared" si="1"/>
        <v>3.2849</v>
      </c>
      <c r="AF6">
        <f t="shared" si="1"/>
        <v>2.9233000000000002</v>
      </c>
      <c r="AG6">
        <f t="shared" si="1"/>
        <v>3.4252</v>
      </c>
      <c r="AH6">
        <f t="shared" si="1"/>
        <v>4.0768</v>
      </c>
    </row>
  </sheetData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0" r:id="rId2"/>
  <rowBreaks count="1" manualBreakCount="1">
    <brk id="66" max="255" man="1"/>
  </rowBreaks>
  <colBreaks count="1" manualBreakCount="1">
    <brk id="10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799"/>
  <sheetViews>
    <sheetView workbookViewId="0" topLeftCell="A1">
      <selection activeCell="A1" sqref="A1"/>
    </sheetView>
  </sheetViews>
  <sheetFormatPr defaultColWidth="9.00390625" defaultRowHeight="12.75"/>
  <cols>
    <col min="1" max="1" width="40.25390625" style="2" bestFit="1" customWidth="1"/>
    <col min="2" max="2" width="13.625" style="2" bestFit="1" customWidth="1"/>
    <col min="3" max="16384" width="9.125" style="2" customWidth="1"/>
  </cols>
  <sheetData>
    <row r="1" ht="15.75">
      <c r="A1" s="1" t="s">
        <v>117</v>
      </c>
    </row>
    <row r="3" spans="1:10" ht="12.75">
      <c r="A3" s="40"/>
      <c r="B3" s="26" t="s">
        <v>8</v>
      </c>
      <c r="C3" s="6">
        <v>1993</v>
      </c>
      <c r="D3" s="6">
        <v>1994</v>
      </c>
      <c r="E3" s="6">
        <v>1995</v>
      </c>
      <c r="F3" s="6">
        <v>1996</v>
      </c>
      <c r="G3" s="6">
        <v>1997</v>
      </c>
      <c r="H3" s="6">
        <v>1998</v>
      </c>
      <c r="I3" s="6">
        <v>1999</v>
      </c>
      <c r="J3" s="7">
        <v>2000</v>
      </c>
    </row>
    <row r="4" spans="1:10" ht="12.75">
      <c r="A4" s="41"/>
      <c r="B4" s="27"/>
      <c r="C4" s="24"/>
      <c r="D4" s="24"/>
      <c r="E4" s="24"/>
      <c r="F4" s="24"/>
      <c r="G4" s="24"/>
      <c r="H4" s="24"/>
      <c r="I4" s="24"/>
      <c r="J4" s="100"/>
    </row>
    <row r="5" spans="1:10" ht="15.75">
      <c r="A5" s="57" t="s">
        <v>118</v>
      </c>
      <c r="B5" s="28"/>
      <c r="C5" s="69"/>
      <c r="D5" s="69"/>
      <c r="E5" s="69"/>
      <c r="F5" s="69"/>
      <c r="G5" s="69"/>
      <c r="H5" s="69"/>
      <c r="I5" s="69"/>
      <c r="J5" s="70"/>
    </row>
    <row r="6" spans="1:25" ht="12.75">
      <c r="A6" s="44" t="s">
        <v>119</v>
      </c>
      <c r="B6" s="28" t="s">
        <v>112</v>
      </c>
      <c r="C6" s="71">
        <f>'PB-tab'!C26</f>
        <v>30.79</v>
      </c>
      <c r="D6" s="71">
        <f>'PB-tab'!D26</f>
        <v>32.039</v>
      </c>
      <c r="E6" s="71">
        <f>'PB-tab'!E26</f>
        <v>29.735</v>
      </c>
      <c r="F6" s="71">
        <f>'PB-tab'!F26</f>
        <v>30.65</v>
      </c>
      <c r="G6" s="71">
        <f>'PB-tab'!G26</f>
        <v>33.616</v>
      </c>
      <c r="H6" s="71">
        <f>'PB-tab'!H26</f>
        <v>35.242</v>
      </c>
      <c r="I6" s="71">
        <f>'PB-tab'!I26</f>
        <v>41.417</v>
      </c>
      <c r="J6" s="72">
        <f>'PB-tab'!J26</f>
        <v>46.2</v>
      </c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</row>
    <row r="7" spans="1:10" ht="12.75">
      <c r="A7" s="43" t="s">
        <v>121</v>
      </c>
      <c r="B7" s="28" t="s">
        <v>116</v>
      </c>
      <c r="C7" s="3" t="s">
        <v>15</v>
      </c>
      <c r="D7" s="3">
        <f>100-(D6/C6*100-100)</f>
        <v>95.94348814550177</v>
      </c>
      <c r="E7" s="3">
        <f aca="true" t="shared" si="0" ref="E7:J7">100-(E6/D6*100-100)</f>
        <v>107.19123568151316</v>
      </c>
      <c r="F7" s="3">
        <f t="shared" si="0"/>
        <v>96.92281822767784</v>
      </c>
      <c r="G7" s="3">
        <f t="shared" si="0"/>
        <v>90.32300163132136</v>
      </c>
      <c r="H7" s="3">
        <f t="shared" si="0"/>
        <v>95.1630176106616</v>
      </c>
      <c r="I7" s="3">
        <f t="shared" si="0"/>
        <v>82.47829294591679</v>
      </c>
      <c r="J7" s="15">
        <f t="shared" si="0"/>
        <v>88.45160199917908</v>
      </c>
    </row>
    <row r="8" spans="1:10" ht="12.75">
      <c r="A8" s="44" t="s">
        <v>126</v>
      </c>
      <c r="B8" s="28" t="s">
        <v>112</v>
      </c>
      <c r="C8" s="71">
        <v>35.97</v>
      </c>
      <c r="D8" s="71">
        <v>37.923</v>
      </c>
      <c r="E8" s="71">
        <v>38.448</v>
      </c>
      <c r="F8" s="71">
        <v>38.408</v>
      </c>
      <c r="G8" s="71">
        <v>38.018</v>
      </c>
      <c r="H8" s="71">
        <v>39.583</v>
      </c>
      <c r="I8" s="71">
        <v>44.115</v>
      </c>
      <c r="J8" s="72">
        <v>42.589</v>
      </c>
    </row>
    <row r="9" spans="1:10" ht="12.75">
      <c r="A9" s="43" t="s">
        <v>121</v>
      </c>
      <c r="B9" s="28" t="s">
        <v>116</v>
      </c>
      <c r="C9" s="3" t="s">
        <v>15</v>
      </c>
      <c r="D9" s="3">
        <f>100-(D8/C8*100-100)</f>
        <v>94.57047539616346</v>
      </c>
      <c r="E9" s="3">
        <f aca="true" t="shared" si="1" ref="E9:J9">100-(E8/D8*100-100)</f>
        <v>98.61561585317618</v>
      </c>
      <c r="F9" s="3">
        <f t="shared" si="1"/>
        <v>100.10403662089054</v>
      </c>
      <c r="G9" s="3">
        <f t="shared" si="1"/>
        <v>101.0154134555301</v>
      </c>
      <c r="H9" s="3">
        <f t="shared" si="1"/>
        <v>95.88352885475302</v>
      </c>
      <c r="I9" s="3">
        <f t="shared" si="1"/>
        <v>88.5506404264457</v>
      </c>
      <c r="J9" s="15">
        <f t="shared" si="1"/>
        <v>103.45914088178625</v>
      </c>
    </row>
    <row r="10" spans="1:10" ht="12.75">
      <c r="A10" s="44" t="s">
        <v>122</v>
      </c>
      <c r="B10" s="28" t="s">
        <v>112</v>
      </c>
      <c r="C10" s="71">
        <v>18.609</v>
      </c>
      <c r="D10" s="71">
        <v>19.758</v>
      </c>
      <c r="E10" s="71">
        <v>20.758</v>
      </c>
      <c r="F10" s="71">
        <v>20.385</v>
      </c>
      <c r="G10" s="71">
        <v>19.412</v>
      </c>
      <c r="H10" s="71">
        <v>20.063</v>
      </c>
      <c r="I10" s="71">
        <v>22.555</v>
      </c>
      <c r="J10" s="72">
        <v>21.775</v>
      </c>
    </row>
    <row r="11" spans="1:10" ht="12.75">
      <c r="A11" s="41" t="s">
        <v>121</v>
      </c>
      <c r="B11" s="27" t="s">
        <v>116</v>
      </c>
      <c r="C11" s="31" t="s">
        <v>15</v>
      </c>
      <c r="D11" s="31">
        <f>100-(D10/C10*100-100)</f>
        <v>93.82556827341611</v>
      </c>
      <c r="E11" s="31">
        <f aca="true" t="shared" si="2" ref="E11:J11">100-(E10/D10*100-100)</f>
        <v>94.93875898370281</v>
      </c>
      <c r="F11" s="31">
        <f t="shared" si="2"/>
        <v>101.79689758165526</v>
      </c>
      <c r="G11" s="31">
        <f t="shared" si="2"/>
        <v>104.77311748834929</v>
      </c>
      <c r="H11" s="31">
        <f t="shared" si="2"/>
        <v>96.64640428600866</v>
      </c>
      <c r="I11" s="31">
        <f t="shared" si="2"/>
        <v>87.5791257538753</v>
      </c>
      <c r="J11" s="32">
        <f t="shared" si="2"/>
        <v>103.45821325648416</v>
      </c>
    </row>
    <row r="12" spans="1:10" ht="15.75">
      <c r="A12" s="57" t="s">
        <v>123</v>
      </c>
      <c r="B12" s="28"/>
      <c r="C12" s="3"/>
      <c r="D12" s="3"/>
      <c r="E12" s="3"/>
      <c r="F12" s="3"/>
      <c r="G12" s="3"/>
      <c r="H12" s="3"/>
      <c r="I12" s="3"/>
      <c r="J12" s="15"/>
    </row>
    <row r="13" spans="1:10" ht="12.75">
      <c r="A13" s="44" t="s">
        <v>119</v>
      </c>
      <c r="B13" s="28" t="s">
        <v>112</v>
      </c>
      <c r="C13" s="71">
        <v>33.202</v>
      </c>
      <c r="D13" s="71">
        <v>31.277</v>
      </c>
      <c r="E13" s="71">
        <v>29.569</v>
      </c>
      <c r="F13" s="71">
        <v>31.895</v>
      </c>
      <c r="G13" s="71">
        <v>34.782</v>
      </c>
      <c r="H13" s="71">
        <v>36.913</v>
      </c>
      <c r="I13" s="71">
        <v>42.266</v>
      </c>
      <c r="J13" s="72">
        <v>47.389</v>
      </c>
    </row>
    <row r="14" spans="1:10" ht="12.75">
      <c r="A14" s="43" t="s">
        <v>121</v>
      </c>
      <c r="B14" s="28" t="s">
        <v>116</v>
      </c>
      <c r="C14" s="3" t="s">
        <v>15</v>
      </c>
      <c r="D14" s="3">
        <f>100-(D13/C13*100-100)</f>
        <v>105.7978435034034</v>
      </c>
      <c r="E14" s="3">
        <f aca="true" t="shared" si="3" ref="E14:J14">100-(E13/D13*100-100)</f>
        <v>105.46088179812642</v>
      </c>
      <c r="F14" s="3">
        <f t="shared" si="3"/>
        <v>92.13365348845075</v>
      </c>
      <c r="G14" s="3">
        <f t="shared" si="3"/>
        <v>90.94842451794953</v>
      </c>
      <c r="H14" s="3">
        <f t="shared" si="3"/>
        <v>93.87326778218619</v>
      </c>
      <c r="I14" s="3">
        <f t="shared" si="3"/>
        <v>85.49833392029909</v>
      </c>
      <c r="J14" s="15">
        <f t="shared" si="3"/>
        <v>87.87914635877536</v>
      </c>
    </row>
    <row r="15" spans="1:10" ht="12.75">
      <c r="A15" s="44" t="s">
        <v>125</v>
      </c>
      <c r="B15" s="28" t="s">
        <v>112</v>
      </c>
      <c r="C15" s="71">
        <v>37.219</v>
      </c>
      <c r="D15" s="71">
        <v>38.086</v>
      </c>
      <c r="E15" s="71">
        <v>37.872</v>
      </c>
      <c r="F15" s="71">
        <v>39.55</v>
      </c>
      <c r="G15" s="71">
        <v>38.372</v>
      </c>
      <c r="H15" s="71">
        <v>43.29</v>
      </c>
      <c r="I15" s="71">
        <v>42.458</v>
      </c>
      <c r="J15" s="72">
        <v>43.996</v>
      </c>
    </row>
    <row r="16" spans="1:10" ht="12.75">
      <c r="A16" s="43" t="s">
        <v>121</v>
      </c>
      <c r="B16" s="28" t="s">
        <v>116</v>
      </c>
      <c r="C16" s="3" t="s">
        <v>15</v>
      </c>
      <c r="D16" s="3">
        <f>100-(D15/C15*100-100)</f>
        <v>97.6705446143099</v>
      </c>
      <c r="E16" s="3">
        <f aca="true" t="shared" si="4" ref="E16:J16">100-(E15/D15*100-100)</f>
        <v>100.56188625741743</v>
      </c>
      <c r="F16" s="3">
        <f t="shared" si="4"/>
        <v>95.56928601605408</v>
      </c>
      <c r="G16" s="3">
        <f t="shared" si="4"/>
        <v>102.97850821744626</v>
      </c>
      <c r="H16" s="3">
        <f t="shared" si="4"/>
        <v>87.18336286875848</v>
      </c>
      <c r="I16" s="3">
        <f t="shared" si="4"/>
        <v>101.92192192192192</v>
      </c>
      <c r="J16" s="15">
        <f t="shared" si="4"/>
        <v>96.3775966837816</v>
      </c>
    </row>
    <row r="17" spans="1:10" ht="12.75">
      <c r="A17" s="44" t="s">
        <v>122</v>
      </c>
      <c r="B17" s="28" t="s">
        <v>112</v>
      </c>
      <c r="C17" s="71">
        <v>19.233</v>
      </c>
      <c r="D17" s="71">
        <v>20.06</v>
      </c>
      <c r="E17" s="71">
        <v>20.646</v>
      </c>
      <c r="F17" s="71">
        <v>20.514</v>
      </c>
      <c r="G17" s="71">
        <v>19.398</v>
      </c>
      <c r="H17" s="71">
        <v>22.081</v>
      </c>
      <c r="I17" s="71">
        <v>21.708</v>
      </c>
      <c r="J17" s="72">
        <v>22.495</v>
      </c>
    </row>
    <row r="18" spans="1:10" ht="12.75">
      <c r="A18" s="41" t="s">
        <v>121</v>
      </c>
      <c r="B18" s="27" t="s">
        <v>116</v>
      </c>
      <c r="C18" s="31" t="s">
        <v>15</v>
      </c>
      <c r="D18" s="31">
        <f>100-(D17/C17*100-100)</f>
        <v>95.70009878854053</v>
      </c>
      <c r="E18" s="31">
        <f aca="true" t="shared" si="5" ref="E18:J18">100-(E17/D17*100-100)</f>
        <v>97.07876370887337</v>
      </c>
      <c r="F18" s="31">
        <f t="shared" si="5"/>
        <v>100.63934902644581</v>
      </c>
      <c r="G18" s="31">
        <f t="shared" si="5"/>
        <v>105.44018718923662</v>
      </c>
      <c r="H18" s="31">
        <f t="shared" si="5"/>
        <v>86.16867718321477</v>
      </c>
      <c r="I18" s="31">
        <f t="shared" si="5"/>
        <v>101.68923508899054</v>
      </c>
      <c r="J18" s="32">
        <f t="shared" si="5"/>
        <v>96.37460843928505</v>
      </c>
    </row>
    <row r="19" spans="1:10" ht="15.75">
      <c r="A19" s="57" t="s">
        <v>124</v>
      </c>
      <c r="B19" s="28" t="s">
        <v>128</v>
      </c>
      <c r="C19" s="3"/>
      <c r="D19" s="3"/>
      <c r="E19" s="3"/>
      <c r="F19" s="3"/>
      <c r="G19" s="3"/>
      <c r="H19" s="3"/>
      <c r="I19" s="3"/>
      <c r="J19" s="15"/>
    </row>
    <row r="20" spans="1:10" ht="12.75">
      <c r="A20" s="43" t="s">
        <v>127</v>
      </c>
      <c r="B20" s="28" t="s">
        <v>129</v>
      </c>
      <c r="C20" s="3">
        <v>104</v>
      </c>
      <c r="D20" s="3">
        <v>110.2</v>
      </c>
      <c r="E20" s="3">
        <v>113.7</v>
      </c>
      <c r="F20" s="3">
        <v>116.5</v>
      </c>
      <c r="G20" s="3">
        <v>125.8</v>
      </c>
      <c r="H20" s="3">
        <v>118.8</v>
      </c>
      <c r="I20" s="3">
        <v>131.7</v>
      </c>
      <c r="J20" s="15">
        <v>134.6</v>
      </c>
    </row>
    <row r="21" spans="1:10" ht="12.75">
      <c r="A21" s="43"/>
      <c r="B21" s="28" t="s">
        <v>130</v>
      </c>
      <c r="C21" s="3">
        <v>93.5</v>
      </c>
      <c r="D21" s="3">
        <v>97.8</v>
      </c>
      <c r="E21" s="3">
        <v>101.5</v>
      </c>
      <c r="F21" s="3">
        <v>98.7</v>
      </c>
      <c r="G21" s="3">
        <v>109</v>
      </c>
      <c r="H21" s="3">
        <v>94.5</v>
      </c>
      <c r="I21" s="3">
        <v>106.2</v>
      </c>
      <c r="J21" s="15">
        <v>106.3</v>
      </c>
    </row>
    <row r="22" spans="1:10" ht="12.75">
      <c r="A22" s="43" t="s">
        <v>131</v>
      </c>
      <c r="B22" s="28" t="s">
        <v>129</v>
      </c>
      <c r="C22" s="3">
        <v>107</v>
      </c>
      <c r="D22" s="3">
        <v>109.4</v>
      </c>
      <c r="E22" s="3">
        <v>114.2</v>
      </c>
      <c r="F22" s="3">
        <v>119.1</v>
      </c>
      <c r="G22" s="3">
        <v>127.2</v>
      </c>
      <c r="H22" s="3">
        <v>120.6</v>
      </c>
      <c r="I22" s="3">
        <v>124.2</v>
      </c>
      <c r="J22" s="15">
        <v>124.5</v>
      </c>
    </row>
    <row r="23" spans="1:10" ht="12.75">
      <c r="A23" s="41"/>
      <c r="B23" s="27" t="s">
        <v>130</v>
      </c>
      <c r="C23" s="31">
        <v>88.1</v>
      </c>
      <c r="D23" s="31">
        <v>91.9</v>
      </c>
      <c r="E23" s="31">
        <v>96.2</v>
      </c>
      <c r="F23" s="31">
        <v>96.1</v>
      </c>
      <c r="G23" s="31">
        <v>107</v>
      </c>
      <c r="H23" s="31">
        <v>93.3</v>
      </c>
      <c r="I23" s="31">
        <v>97.7</v>
      </c>
      <c r="J23" s="32">
        <v>96.8</v>
      </c>
    </row>
    <row r="24" spans="2:10" ht="12.75">
      <c r="B24" s="39"/>
      <c r="C24" s="69"/>
      <c r="D24" s="69"/>
      <c r="E24" s="69"/>
      <c r="F24" s="69"/>
      <c r="G24" s="69"/>
      <c r="H24" s="69"/>
      <c r="I24" s="69"/>
      <c r="J24" s="69"/>
    </row>
    <row r="25" spans="1:10" ht="12.75">
      <c r="A25" s="4" t="s">
        <v>136</v>
      </c>
      <c r="B25" s="39"/>
      <c r="C25" s="69"/>
      <c r="D25" s="69"/>
      <c r="E25" s="69"/>
      <c r="F25" s="69"/>
      <c r="G25" s="69"/>
      <c r="H25" s="69"/>
      <c r="I25" s="69"/>
      <c r="J25" s="69"/>
    </row>
    <row r="26" spans="1:10" ht="12.75">
      <c r="A26" s="4" t="s">
        <v>132</v>
      </c>
      <c r="B26" s="39"/>
      <c r="C26" s="69"/>
      <c r="D26" s="69"/>
      <c r="E26" s="69"/>
      <c r="F26" s="69"/>
      <c r="G26" s="69"/>
      <c r="H26" s="69"/>
      <c r="I26" s="69"/>
      <c r="J26" s="69"/>
    </row>
    <row r="27" spans="1:10" ht="12.75">
      <c r="A27" s="4" t="s">
        <v>133</v>
      </c>
      <c r="B27" s="39"/>
      <c r="C27" s="69"/>
      <c r="D27" s="69"/>
      <c r="E27" s="69"/>
      <c r="F27" s="69"/>
      <c r="G27" s="69"/>
      <c r="H27" s="69"/>
      <c r="I27" s="69"/>
      <c r="J27" s="69"/>
    </row>
    <row r="28" spans="1:10" ht="12.75">
      <c r="A28" s="4" t="s">
        <v>134</v>
      </c>
      <c r="B28" s="39"/>
      <c r="C28" s="69"/>
      <c r="D28" s="69"/>
      <c r="E28" s="69"/>
      <c r="F28" s="69"/>
      <c r="G28" s="69"/>
      <c r="H28" s="69"/>
      <c r="I28" s="69"/>
      <c r="J28" s="69"/>
    </row>
    <row r="29" spans="2:10" ht="12.75">
      <c r="B29" s="39"/>
      <c r="C29" s="69"/>
      <c r="D29" s="69"/>
      <c r="E29" s="69"/>
      <c r="F29" s="69"/>
      <c r="G29" s="69"/>
      <c r="H29" s="69"/>
      <c r="I29" s="69"/>
      <c r="J29" s="69"/>
    </row>
    <row r="30" spans="2:10" ht="12.75">
      <c r="B30" s="39"/>
      <c r="C30" s="69"/>
      <c r="D30" s="69"/>
      <c r="E30" s="69"/>
      <c r="F30" s="69"/>
      <c r="G30" s="69"/>
      <c r="H30" s="69"/>
      <c r="I30" s="69"/>
      <c r="J30" s="69"/>
    </row>
    <row r="31" spans="2:10" ht="12.75">
      <c r="B31" s="39"/>
      <c r="C31" s="69"/>
      <c r="D31" s="69"/>
      <c r="E31" s="69"/>
      <c r="F31" s="69"/>
      <c r="G31" s="69"/>
      <c r="H31" s="69"/>
      <c r="I31" s="69"/>
      <c r="J31" s="69"/>
    </row>
    <row r="32" spans="2:10" ht="12.75">
      <c r="B32" s="39"/>
      <c r="C32" s="69"/>
      <c r="D32" s="69"/>
      <c r="E32" s="69"/>
      <c r="F32" s="69"/>
      <c r="G32" s="69"/>
      <c r="H32" s="69"/>
      <c r="I32" s="69"/>
      <c r="J32" s="69"/>
    </row>
    <row r="33" spans="2:10" ht="12.75">
      <c r="B33" s="39"/>
      <c r="C33" s="69"/>
      <c r="D33" s="69"/>
      <c r="E33" s="69"/>
      <c r="F33" s="69"/>
      <c r="G33" s="69"/>
      <c r="H33" s="69"/>
      <c r="I33" s="69"/>
      <c r="J33" s="69"/>
    </row>
    <row r="34" spans="2:10" ht="12.75">
      <c r="B34" s="39"/>
      <c r="C34" s="69"/>
      <c r="D34" s="69"/>
      <c r="E34" s="69"/>
      <c r="F34" s="69"/>
      <c r="G34" s="69"/>
      <c r="H34" s="69"/>
      <c r="I34" s="69"/>
      <c r="J34" s="69"/>
    </row>
    <row r="35" spans="2:10" ht="12.75">
      <c r="B35" s="39"/>
      <c r="C35" s="69"/>
      <c r="D35" s="69"/>
      <c r="E35" s="69"/>
      <c r="F35" s="69"/>
      <c r="G35" s="69"/>
      <c r="H35" s="69"/>
      <c r="I35" s="69"/>
      <c r="J35" s="69"/>
    </row>
    <row r="36" spans="2:10" ht="12.75">
      <c r="B36" s="39"/>
      <c r="C36" s="69"/>
      <c r="D36" s="69"/>
      <c r="E36" s="69"/>
      <c r="F36" s="69"/>
      <c r="G36" s="69"/>
      <c r="H36" s="69"/>
      <c r="I36" s="69"/>
      <c r="J36" s="69"/>
    </row>
    <row r="37" spans="2:10" ht="12.75">
      <c r="B37" s="39"/>
      <c r="C37" s="69"/>
      <c r="D37" s="69"/>
      <c r="E37" s="69"/>
      <c r="F37" s="69"/>
      <c r="G37" s="69"/>
      <c r="H37" s="69"/>
      <c r="I37" s="69"/>
      <c r="J37" s="69"/>
    </row>
    <row r="38" spans="2:10" ht="12.75">
      <c r="B38" s="39"/>
      <c r="C38" s="69"/>
      <c r="D38" s="69"/>
      <c r="E38" s="69"/>
      <c r="F38" s="69"/>
      <c r="G38" s="69"/>
      <c r="H38" s="69"/>
      <c r="I38" s="69"/>
      <c r="J38" s="69"/>
    </row>
    <row r="39" spans="2:10" ht="12.75">
      <c r="B39" s="39"/>
      <c r="C39" s="69"/>
      <c r="D39" s="69"/>
      <c r="E39" s="69"/>
      <c r="F39" s="69"/>
      <c r="G39" s="69"/>
      <c r="H39" s="69"/>
      <c r="I39" s="69"/>
      <c r="J39" s="69"/>
    </row>
    <row r="40" spans="2:10" ht="12.75">
      <c r="B40" s="39"/>
      <c r="C40" s="69"/>
      <c r="D40" s="69"/>
      <c r="E40" s="69"/>
      <c r="F40" s="69"/>
      <c r="G40" s="69"/>
      <c r="H40" s="69"/>
      <c r="I40" s="69"/>
      <c r="J40" s="69"/>
    </row>
    <row r="41" spans="2:10" ht="12.75">
      <c r="B41" s="39"/>
      <c r="C41" s="69"/>
      <c r="D41" s="69"/>
      <c r="E41" s="69"/>
      <c r="F41" s="69"/>
      <c r="G41" s="69"/>
      <c r="H41" s="69"/>
      <c r="I41" s="69"/>
      <c r="J41" s="69"/>
    </row>
    <row r="42" spans="2:10" ht="12.75">
      <c r="B42" s="39"/>
      <c r="C42" s="69"/>
      <c r="D42" s="69"/>
      <c r="E42" s="69"/>
      <c r="F42" s="69"/>
      <c r="G42" s="69"/>
      <c r="H42" s="69"/>
      <c r="I42" s="69"/>
      <c r="J42" s="69"/>
    </row>
    <row r="43" spans="2:10" ht="12.75">
      <c r="B43" s="39"/>
      <c r="C43" s="69"/>
      <c r="D43" s="69"/>
      <c r="E43" s="69"/>
      <c r="F43" s="69"/>
      <c r="G43" s="69"/>
      <c r="H43" s="69"/>
      <c r="I43" s="69"/>
      <c r="J43" s="69"/>
    </row>
    <row r="44" spans="2:10" ht="12.75">
      <c r="B44" s="39"/>
      <c r="C44" s="69"/>
      <c r="D44" s="69"/>
      <c r="E44" s="69"/>
      <c r="F44" s="69"/>
      <c r="G44" s="69"/>
      <c r="H44" s="69"/>
      <c r="I44" s="69"/>
      <c r="J44" s="69"/>
    </row>
    <row r="45" spans="2:10" ht="12.75">
      <c r="B45" s="39"/>
      <c r="C45" s="69"/>
      <c r="D45" s="69"/>
      <c r="E45" s="69"/>
      <c r="F45" s="69"/>
      <c r="G45" s="69"/>
      <c r="H45" s="69"/>
      <c r="I45" s="69"/>
      <c r="J45" s="69"/>
    </row>
    <row r="46" spans="2:10" ht="12.75">
      <c r="B46" s="39"/>
      <c r="C46" s="69"/>
      <c r="D46" s="69"/>
      <c r="E46" s="69"/>
      <c r="F46" s="69"/>
      <c r="G46" s="69"/>
      <c r="H46" s="69"/>
      <c r="I46" s="69"/>
      <c r="J46" s="69"/>
    </row>
    <row r="47" spans="2:10" ht="12.75">
      <c r="B47" s="39"/>
      <c r="C47" s="69"/>
      <c r="D47" s="69"/>
      <c r="E47" s="69"/>
      <c r="F47" s="69"/>
      <c r="G47" s="69"/>
      <c r="H47" s="69"/>
      <c r="I47" s="69"/>
      <c r="J47" s="69"/>
    </row>
    <row r="48" spans="2:10" ht="12.75">
      <c r="B48" s="39"/>
      <c r="C48" s="69"/>
      <c r="D48" s="69"/>
      <c r="E48" s="69"/>
      <c r="F48" s="69"/>
      <c r="G48" s="69"/>
      <c r="H48" s="69"/>
      <c r="I48" s="69"/>
      <c r="J48" s="69"/>
    </row>
    <row r="49" spans="2:10" ht="12.75">
      <c r="B49" s="39"/>
      <c r="C49" s="69"/>
      <c r="D49" s="69"/>
      <c r="E49" s="69"/>
      <c r="F49" s="69"/>
      <c r="G49" s="69"/>
      <c r="H49" s="69"/>
      <c r="I49" s="69"/>
      <c r="J49" s="69"/>
    </row>
    <row r="50" spans="2:10" ht="12.75">
      <c r="B50" s="39"/>
      <c r="C50" s="69"/>
      <c r="D50" s="69"/>
      <c r="E50" s="69"/>
      <c r="F50" s="69"/>
      <c r="G50" s="69"/>
      <c r="H50" s="69"/>
      <c r="I50" s="69"/>
      <c r="J50" s="69"/>
    </row>
    <row r="51" spans="2:10" ht="12.75">
      <c r="B51" s="39"/>
      <c r="C51" s="69"/>
      <c r="D51" s="69"/>
      <c r="E51" s="69"/>
      <c r="F51" s="69"/>
      <c r="G51" s="69"/>
      <c r="H51" s="69"/>
      <c r="I51" s="69"/>
      <c r="J51" s="69"/>
    </row>
    <row r="52" spans="2:10" ht="12.75">
      <c r="B52" s="39"/>
      <c r="C52" s="69"/>
      <c r="D52" s="69"/>
      <c r="E52" s="69"/>
      <c r="F52" s="69"/>
      <c r="G52" s="69"/>
      <c r="H52" s="69"/>
      <c r="I52" s="69"/>
      <c r="J52" s="69"/>
    </row>
    <row r="53" spans="3:10" ht="12.75">
      <c r="C53" s="69"/>
      <c r="D53" s="69"/>
      <c r="E53" s="69"/>
      <c r="F53" s="69"/>
      <c r="G53" s="69"/>
      <c r="H53" s="69"/>
      <c r="I53" s="69"/>
      <c r="J53" s="69"/>
    </row>
    <row r="54" spans="3:10" ht="12.75">
      <c r="C54" s="69"/>
      <c r="D54" s="69"/>
      <c r="E54" s="69"/>
      <c r="F54" s="69"/>
      <c r="G54" s="69"/>
      <c r="H54" s="69"/>
      <c r="I54" s="69"/>
      <c r="J54" s="69"/>
    </row>
    <row r="55" spans="3:10" ht="12.75">
      <c r="C55" s="69"/>
      <c r="D55" s="69"/>
      <c r="E55" s="69"/>
      <c r="F55" s="69"/>
      <c r="G55" s="69"/>
      <c r="H55" s="69"/>
      <c r="I55" s="69"/>
      <c r="J55" s="69"/>
    </row>
    <row r="56" spans="3:10" ht="12.75">
      <c r="C56" s="69"/>
      <c r="D56" s="69"/>
      <c r="E56" s="69"/>
      <c r="F56" s="69"/>
      <c r="G56" s="69"/>
      <c r="H56" s="69"/>
      <c r="I56" s="69"/>
      <c r="J56" s="69"/>
    </row>
    <row r="57" spans="3:10" ht="12.75">
      <c r="C57" s="69"/>
      <c r="D57" s="69"/>
      <c r="E57" s="69"/>
      <c r="F57" s="69"/>
      <c r="G57" s="69"/>
      <c r="H57" s="69"/>
      <c r="I57" s="69"/>
      <c r="J57" s="69"/>
    </row>
    <row r="58" spans="3:10" ht="12.75">
      <c r="C58" s="69"/>
      <c r="D58" s="69"/>
      <c r="E58" s="69"/>
      <c r="F58" s="69"/>
      <c r="G58" s="69"/>
      <c r="H58" s="69"/>
      <c r="I58" s="69"/>
      <c r="J58" s="69"/>
    </row>
    <row r="59" spans="3:10" ht="12.75">
      <c r="C59" s="69"/>
      <c r="D59" s="69"/>
      <c r="E59" s="69"/>
      <c r="F59" s="69"/>
      <c r="G59" s="69"/>
      <c r="H59" s="69"/>
      <c r="I59" s="69"/>
      <c r="J59" s="69"/>
    </row>
    <row r="60" spans="3:10" ht="12.75">
      <c r="C60" s="69"/>
      <c r="D60" s="69"/>
      <c r="E60" s="69"/>
      <c r="F60" s="69"/>
      <c r="G60" s="69"/>
      <c r="H60" s="69"/>
      <c r="I60" s="69"/>
      <c r="J60" s="69"/>
    </row>
    <row r="61" spans="3:10" ht="12.75">
      <c r="C61" s="69"/>
      <c r="D61" s="69"/>
      <c r="E61" s="69"/>
      <c r="F61" s="69"/>
      <c r="G61" s="69"/>
      <c r="H61" s="69"/>
      <c r="I61" s="69"/>
      <c r="J61" s="69"/>
    </row>
    <row r="62" spans="3:10" ht="12.75">
      <c r="C62" s="69"/>
      <c r="D62" s="69"/>
      <c r="E62" s="69"/>
      <c r="F62" s="69"/>
      <c r="G62" s="69"/>
      <c r="H62" s="69"/>
      <c r="I62" s="69"/>
      <c r="J62" s="69"/>
    </row>
    <row r="63" spans="3:10" ht="12.75">
      <c r="C63" s="69"/>
      <c r="D63" s="69"/>
      <c r="E63" s="69"/>
      <c r="F63" s="69"/>
      <c r="G63" s="69"/>
      <c r="H63" s="69"/>
      <c r="I63" s="69"/>
      <c r="J63" s="69"/>
    </row>
    <row r="64" spans="3:10" ht="12.75">
      <c r="C64" s="69"/>
      <c r="D64" s="69"/>
      <c r="E64" s="69"/>
      <c r="F64" s="69"/>
      <c r="G64" s="69"/>
      <c r="H64" s="69"/>
      <c r="I64" s="69"/>
      <c r="J64" s="69"/>
    </row>
    <row r="65" spans="3:10" ht="12.75">
      <c r="C65" s="69"/>
      <c r="D65" s="69"/>
      <c r="E65" s="69"/>
      <c r="F65" s="69"/>
      <c r="G65" s="69"/>
      <c r="H65" s="69"/>
      <c r="I65" s="69"/>
      <c r="J65" s="69"/>
    </row>
    <row r="66" spans="3:10" ht="12.75">
      <c r="C66" s="69"/>
      <c r="D66" s="69"/>
      <c r="E66" s="69"/>
      <c r="F66" s="69"/>
      <c r="G66" s="69"/>
      <c r="H66" s="69"/>
      <c r="I66" s="69"/>
      <c r="J66" s="69"/>
    </row>
    <row r="67" spans="3:10" ht="12.75">
      <c r="C67" s="69"/>
      <c r="D67" s="69"/>
      <c r="E67" s="69"/>
      <c r="F67" s="69"/>
      <c r="G67" s="69"/>
      <c r="H67" s="69"/>
      <c r="I67" s="69"/>
      <c r="J67" s="69"/>
    </row>
    <row r="68" spans="3:10" ht="12.75">
      <c r="C68" s="69"/>
      <c r="D68" s="69"/>
      <c r="E68" s="69"/>
      <c r="F68" s="69"/>
      <c r="G68" s="69"/>
      <c r="H68" s="69"/>
      <c r="I68" s="69"/>
      <c r="J68" s="69"/>
    </row>
    <row r="69" spans="3:10" ht="12.75">
      <c r="C69" s="69"/>
      <c r="D69" s="69"/>
      <c r="E69" s="69"/>
      <c r="F69" s="69"/>
      <c r="G69" s="69"/>
      <c r="H69" s="69"/>
      <c r="I69" s="69"/>
      <c r="J69" s="69"/>
    </row>
    <row r="70" spans="3:10" ht="12.75">
      <c r="C70" s="69"/>
      <c r="D70" s="69"/>
      <c r="E70" s="69"/>
      <c r="F70" s="69"/>
      <c r="G70" s="69"/>
      <c r="H70" s="69"/>
      <c r="I70" s="69"/>
      <c r="J70" s="69"/>
    </row>
    <row r="71" spans="3:10" ht="12.75">
      <c r="C71" s="69"/>
      <c r="D71" s="69"/>
      <c r="E71" s="69"/>
      <c r="F71" s="69"/>
      <c r="G71" s="69"/>
      <c r="H71" s="69"/>
      <c r="I71" s="69"/>
      <c r="J71" s="69"/>
    </row>
    <row r="72" spans="3:10" ht="12.75">
      <c r="C72" s="69"/>
      <c r="D72" s="69"/>
      <c r="E72" s="69"/>
      <c r="F72" s="69"/>
      <c r="G72" s="69"/>
      <c r="H72" s="69"/>
      <c r="I72" s="69"/>
      <c r="J72" s="69"/>
    </row>
    <row r="73" spans="3:10" ht="12.75">
      <c r="C73" s="69"/>
      <c r="D73" s="69"/>
      <c r="E73" s="69"/>
      <c r="F73" s="69"/>
      <c r="G73" s="69"/>
      <c r="H73" s="69"/>
      <c r="I73" s="69"/>
      <c r="J73" s="69"/>
    </row>
    <row r="74" spans="3:10" ht="12.75">
      <c r="C74" s="69"/>
      <c r="D74" s="69"/>
      <c r="E74" s="69"/>
      <c r="F74" s="69"/>
      <c r="G74" s="69"/>
      <c r="H74" s="69"/>
      <c r="I74" s="69"/>
      <c r="J74" s="69"/>
    </row>
    <row r="75" spans="3:10" ht="12.75">
      <c r="C75" s="69"/>
      <c r="D75" s="69"/>
      <c r="E75" s="69"/>
      <c r="F75" s="69"/>
      <c r="G75" s="69"/>
      <c r="H75" s="69"/>
      <c r="I75" s="69"/>
      <c r="J75" s="69"/>
    </row>
    <row r="76" spans="3:10" ht="12.75">
      <c r="C76" s="69"/>
      <c r="D76" s="69"/>
      <c r="E76" s="69"/>
      <c r="F76" s="69"/>
      <c r="G76" s="69"/>
      <c r="H76" s="69"/>
      <c r="I76" s="69"/>
      <c r="J76" s="69"/>
    </row>
    <row r="77" spans="3:10" ht="12.75">
      <c r="C77" s="69"/>
      <c r="D77" s="69"/>
      <c r="E77" s="69"/>
      <c r="F77" s="69"/>
      <c r="G77" s="69"/>
      <c r="H77" s="69"/>
      <c r="I77" s="69"/>
      <c r="J77" s="69"/>
    </row>
    <row r="78" spans="3:10" ht="12.75">
      <c r="C78" s="69"/>
      <c r="D78" s="69"/>
      <c r="E78" s="69"/>
      <c r="F78" s="69"/>
      <c r="G78" s="69"/>
      <c r="H78" s="69"/>
      <c r="I78" s="69"/>
      <c r="J78" s="69"/>
    </row>
    <row r="79" spans="3:10" ht="12.75">
      <c r="C79" s="69"/>
      <c r="D79" s="69"/>
      <c r="E79" s="69"/>
      <c r="F79" s="69"/>
      <c r="G79" s="69"/>
      <c r="H79" s="69"/>
      <c r="I79" s="69"/>
      <c r="J79" s="69"/>
    </row>
    <row r="80" spans="3:10" ht="12.75">
      <c r="C80" s="69"/>
      <c r="D80" s="69"/>
      <c r="E80" s="69"/>
      <c r="F80" s="69"/>
      <c r="G80" s="69"/>
      <c r="H80" s="69"/>
      <c r="I80" s="69"/>
      <c r="J80" s="69"/>
    </row>
    <row r="81" spans="3:10" ht="12.75">
      <c r="C81" s="69"/>
      <c r="D81" s="69"/>
      <c r="E81" s="69"/>
      <c r="F81" s="69"/>
      <c r="G81" s="69"/>
      <c r="H81" s="69"/>
      <c r="I81" s="69"/>
      <c r="J81" s="69"/>
    </row>
    <row r="82" spans="3:10" ht="12.75">
      <c r="C82" s="69"/>
      <c r="D82" s="69"/>
      <c r="E82" s="69"/>
      <c r="F82" s="69"/>
      <c r="G82" s="69"/>
      <c r="H82" s="69"/>
      <c r="I82" s="69"/>
      <c r="J82" s="69"/>
    </row>
    <row r="83" spans="3:10" ht="12.75">
      <c r="C83" s="69"/>
      <c r="D83" s="69"/>
      <c r="E83" s="69"/>
      <c r="F83" s="69"/>
      <c r="G83" s="69"/>
      <c r="H83" s="69"/>
      <c r="I83" s="69"/>
      <c r="J83" s="69"/>
    </row>
    <row r="84" spans="3:10" ht="12.75">
      <c r="C84" s="69"/>
      <c r="D84" s="69"/>
      <c r="E84" s="69"/>
      <c r="F84" s="69"/>
      <c r="G84" s="69"/>
      <c r="H84" s="69"/>
      <c r="I84" s="69"/>
      <c r="J84" s="69"/>
    </row>
    <row r="85" spans="3:10" ht="12.75">
      <c r="C85" s="69"/>
      <c r="D85" s="69"/>
      <c r="E85" s="69"/>
      <c r="F85" s="69"/>
      <c r="G85" s="69"/>
      <c r="H85" s="69"/>
      <c r="I85" s="69"/>
      <c r="J85" s="69"/>
    </row>
    <row r="86" spans="3:10" ht="12.75">
      <c r="C86" s="69"/>
      <c r="D86" s="69"/>
      <c r="E86" s="69"/>
      <c r="F86" s="69"/>
      <c r="G86" s="69"/>
      <c r="H86" s="69"/>
      <c r="I86" s="69"/>
      <c r="J86" s="69"/>
    </row>
    <row r="87" spans="3:10" ht="12.75">
      <c r="C87" s="69"/>
      <c r="D87" s="69"/>
      <c r="E87" s="69"/>
      <c r="F87" s="69"/>
      <c r="G87" s="69"/>
      <c r="H87" s="69"/>
      <c r="I87" s="69"/>
      <c r="J87" s="69"/>
    </row>
    <row r="88" spans="3:10" ht="12.75">
      <c r="C88" s="69"/>
      <c r="D88" s="69"/>
      <c r="E88" s="69"/>
      <c r="F88" s="69"/>
      <c r="G88" s="69"/>
      <c r="H88" s="69"/>
      <c r="I88" s="69"/>
      <c r="J88" s="69"/>
    </row>
    <row r="89" spans="3:10" ht="12.75">
      <c r="C89" s="69"/>
      <c r="D89" s="69"/>
      <c r="E89" s="69"/>
      <c r="F89" s="69"/>
      <c r="G89" s="69"/>
      <c r="H89" s="69"/>
      <c r="I89" s="69"/>
      <c r="J89" s="69"/>
    </row>
    <row r="90" spans="3:10" ht="12.75">
      <c r="C90" s="69"/>
      <c r="D90" s="69"/>
      <c r="E90" s="69"/>
      <c r="F90" s="69"/>
      <c r="G90" s="69"/>
      <c r="H90" s="69"/>
      <c r="I90" s="69"/>
      <c r="J90" s="69"/>
    </row>
    <row r="91" spans="3:10" ht="12.75">
      <c r="C91" s="69"/>
      <c r="D91" s="69"/>
      <c r="E91" s="69"/>
      <c r="F91" s="69"/>
      <c r="G91" s="69"/>
      <c r="H91" s="69"/>
      <c r="I91" s="69"/>
      <c r="J91" s="69"/>
    </row>
    <row r="92" spans="3:10" ht="12.75">
      <c r="C92" s="69"/>
      <c r="D92" s="69"/>
      <c r="E92" s="69"/>
      <c r="F92" s="69"/>
      <c r="G92" s="69"/>
      <c r="H92" s="69"/>
      <c r="I92" s="69"/>
      <c r="J92" s="69"/>
    </row>
    <row r="93" spans="3:10" ht="12.75">
      <c r="C93" s="69"/>
      <c r="D93" s="69"/>
      <c r="E93" s="69"/>
      <c r="F93" s="69"/>
      <c r="G93" s="69"/>
      <c r="H93" s="69"/>
      <c r="I93" s="69"/>
      <c r="J93" s="69"/>
    </row>
    <row r="94" spans="3:10" ht="12.75">
      <c r="C94" s="69"/>
      <c r="D94" s="69"/>
      <c r="E94" s="69"/>
      <c r="F94" s="69"/>
      <c r="G94" s="69"/>
      <c r="H94" s="69"/>
      <c r="I94" s="69"/>
      <c r="J94" s="69"/>
    </row>
    <row r="95" spans="3:10" ht="12.75">
      <c r="C95" s="69"/>
      <c r="D95" s="69"/>
      <c r="E95" s="69"/>
      <c r="F95" s="69"/>
      <c r="G95" s="69"/>
      <c r="H95" s="69"/>
      <c r="I95" s="69"/>
      <c r="J95" s="69"/>
    </row>
    <row r="96" spans="3:10" ht="12.75">
      <c r="C96" s="69"/>
      <c r="D96" s="69"/>
      <c r="E96" s="69"/>
      <c r="F96" s="69"/>
      <c r="G96" s="69"/>
      <c r="H96" s="69"/>
      <c r="I96" s="69"/>
      <c r="J96" s="69"/>
    </row>
    <row r="97" spans="3:10" ht="12.75">
      <c r="C97" s="69"/>
      <c r="D97" s="69"/>
      <c r="E97" s="69"/>
      <c r="F97" s="69"/>
      <c r="G97" s="69"/>
      <c r="H97" s="69"/>
      <c r="I97" s="69"/>
      <c r="J97" s="69"/>
    </row>
    <row r="98" spans="3:10" ht="12.75">
      <c r="C98" s="69"/>
      <c r="D98" s="69"/>
      <c r="E98" s="69"/>
      <c r="F98" s="69"/>
      <c r="G98" s="69"/>
      <c r="H98" s="69"/>
      <c r="I98" s="69"/>
      <c r="J98" s="69"/>
    </row>
    <row r="99" spans="3:10" ht="12.75">
      <c r="C99" s="69"/>
      <c r="D99" s="69"/>
      <c r="E99" s="69"/>
      <c r="F99" s="69"/>
      <c r="G99" s="69"/>
      <c r="H99" s="69"/>
      <c r="I99" s="69"/>
      <c r="J99" s="69"/>
    </row>
    <row r="100" spans="3:10" ht="12.75">
      <c r="C100" s="69"/>
      <c r="D100" s="69"/>
      <c r="E100" s="69"/>
      <c r="F100" s="69"/>
      <c r="G100" s="69"/>
      <c r="H100" s="69"/>
      <c r="I100" s="69"/>
      <c r="J100" s="69"/>
    </row>
    <row r="101" spans="3:10" ht="12.75">
      <c r="C101" s="69"/>
      <c r="D101" s="69"/>
      <c r="E101" s="69"/>
      <c r="F101" s="69"/>
      <c r="G101" s="69"/>
      <c r="H101" s="69"/>
      <c r="I101" s="69"/>
      <c r="J101" s="69"/>
    </row>
    <row r="102" spans="3:10" ht="12.75">
      <c r="C102" s="69"/>
      <c r="D102" s="69"/>
      <c r="E102" s="69"/>
      <c r="F102" s="69"/>
      <c r="G102" s="69"/>
      <c r="H102" s="69"/>
      <c r="I102" s="69"/>
      <c r="J102" s="69"/>
    </row>
    <row r="103" spans="3:10" ht="12.75">
      <c r="C103" s="69"/>
      <c r="D103" s="69"/>
      <c r="E103" s="69"/>
      <c r="F103" s="69"/>
      <c r="G103" s="69"/>
      <c r="H103" s="69"/>
      <c r="I103" s="69"/>
      <c r="J103" s="69"/>
    </row>
    <row r="104" spans="3:10" ht="12.75">
      <c r="C104" s="69"/>
      <c r="D104" s="69"/>
      <c r="E104" s="69"/>
      <c r="F104" s="69"/>
      <c r="G104" s="69"/>
      <c r="H104" s="69"/>
      <c r="I104" s="69"/>
      <c r="J104" s="69"/>
    </row>
    <row r="105" spans="3:10" ht="12.75">
      <c r="C105" s="69"/>
      <c r="D105" s="69"/>
      <c r="E105" s="69"/>
      <c r="F105" s="69"/>
      <c r="G105" s="69"/>
      <c r="H105" s="69"/>
      <c r="I105" s="69"/>
      <c r="J105" s="69"/>
    </row>
    <row r="106" spans="3:10" ht="12.75">
      <c r="C106" s="69"/>
      <c r="D106" s="69"/>
      <c r="E106" s="69"/>
      <c r="F106" s="69"/>
      <c r="G106" s="69"/>
      <c r="H106" s="69"/>
      <c r="I106" s="69"/>
      <c r="J106" s="69"/>
    </row>
    <row r="107" spans="3:10" ht="12.75">
      <c r="C107" s="69"/>
      <c r="D107" s="69"/>
      <c r="E107" s="69"/>
      <c r="F107" s="69"/>
      <c r="G107" s="69"/>
      <c r="H107" s="69"/>
      <c r="I107" s="69"/>
      <c r="J107" s="69"/>
    </row>
    <row r="108" spans="3:10" ht="12.75">
      <c r="C108" s="69"/>
      <c r="D108" s="69"/>
      <c r="E108" s="69"/>
      <c r="F108" s="69"/>
      <c r="G108" s="69"/>
      <c r="H108" s="69"/>
      <c r="I108" s="69"/>
      <c r="J108" s="69"/>
    </row>
    <row r="109" spans="3:10" ht="12.75">
      <c r="C109" s="69"/>
      <c r="D109" s="69"/>
      <c r="E109" s="69"/>
      <c r="F109" s="69"/>
      <c r="G109" s="69"/>
      <c r="H109" s="69"/>
      <c r="I109" s="69"/>
      <c r="J109" s="69"/>
    </row>
    <row r="110" spans="3:10" ht="12.75">
      <c r="C110" s="69"/>
      <c r="D110" s="69"/>
      <c r="E110" s="69"/>
      <c r="F110" s="69"/>
      <c r="G110" s="69"/>
      <c r="H110" s="69"/>
      <c r="I110" s="69"/>
      <c r="J110" s="69"/>
    </row>
    <row r="111" spans="3:10" ht="12.75">
      <c r="C111" s="69"/>
      <c r="D111" s="69"/>
      <c r="E111" s="69"/>
      <c r="F111" s="69"/>
      <c r="G111" s="69"/>
      <c r="H111" s="69"/>
      <c r="I111" s="69"/>
      <c r="J111" s="69"/>
    </row>
    <row r="112" spans="3:10" ht="12.75">
      <c r="C112" s="69"/>
      <c r="D112" s="69"/>
      <c r="E112" s="69"/>
      <c r="F112" s="69"/>
      <c r="G112" s="69"/>
      <c r="H112" s="69"/>
      <c r="I112" s="69"/>
      <c r="J112" s="69"/>
    </row>
    <row r="113" spans="3:10" ht="12.75">
      <c r="C113" s="69"/>
      <c r="D113" s="69"/>
      <c r="E113" s="69"/>
      <c r="F113" s="69"/>
      <c r="G113" s="69"/>
      <c r="H113" s="69"/>
      <c r="I113" s="69"/>
      <c r="J113" s="69"/>
    </row>
    <row r="114" spans="3:10" ht="12.75">
      <c r="C114" s="69"/>
      <c r="D114" s="69"/>
      <c r="E114" s="69"/>
      <c r="F114" s="69"/>
      <c r="G114" s="69"/>
      <c r="H114" s="69"/>
      <c r="I114" s="69"/>
      <c r="J114" s="69"/>
    </row>
    <row r="115" spans="3:10" ht="12.75">
      <c r="C115" s="69"/>
      <c r="D115" s="69"/>
      <c r="E115" s="69"/>
      <c r="F115" s="69"/>
      <c r="G115" s="69"/>
      <c r="H115" s="69"/>
      <c r="I115" s="69"/>
      <c r="J115" s="69"/>
    </row>
    <row r="116" spans="3:10" ht="12.75">
      <c r="C116" s="69"/>
      <c r="D116" s="69"/>
      <c r="E116" s="69"/>
      <c r="F116" s="69"/>
      <c r="G116" s="69"/>
      <c r="H116" s="69"/>
      <c r="I116" s="69"/>
      <c r="J116" s="69"/>
    </row>
    <row r="117" spans="3:10" ht="12.75">
      <c r="C117" s="69"/>
      <c r="D117" s="69"/>
      <c r="E117" s="69"/>
      <c r="F117" s="69"/>
      <c r="G117" s="69"/>
      <c r="H117" s="69"/>
      <c r="I117" s="69"/>
      <c r="J117" s="69"/>
    </row>
    <row r="118" spans="3:10" ht="12.75">
      <c r="C118" s="69"/>
      <c r="D118" s="69"/>
      <c r="E118" s="69"/>
      <c r="F118" s="69"/>
      <c r="G118" s="69"/>
      <c r="H118" s="69"/>
      <c r="I118" s="69"/>
      <c r="J118" s="69"/>
    </row>
    <row r="119" spans="3:10" ht="12.75">
      <c r="C119" s="69"/>
      <c r="D119" s="69"/>
      <c r="E119" s="69"/>
      <c r="F119" s="69"/>
      <c r="G119" s="69"/>
      <c r="H119" s="69"/>
      <c r="I119" s="69"/>
      <c r="J119" s="69"/>
    </row>
    <row r="120" spans="3:10" ht="12.75">
      <c r="C120" s="69"/>
      <c r="D120" s="69"/>
      <c r="E120" s="69"/>
      <c r="F120" s="69"/>
      <c r="G120" s="69"/>
      <c r="H120" s="69"/>
      <c r="I120" s="69"/>
      <c r="J120" s="69"/>
    </row>
    <row r="121" spans="3:10" ht="12.75">
      <c r="C121" s="69"/>
      <c r="D121" s="69"/>
      <c r="E121" s="69"/>
      <c r="F121" s="69"/>
      <c r="G121" s="69"/>
      <c r="H121" s="69"/>
      <c r="I121" s="69"/>
      <c r="J121" s="69"/>
    </row>
    <row r="122" spans="3:10" ht="12.75">
      <c r="C122" s="69"/>
      <c r="D122" s="69"/>
      <c r="E122" s="69"/>
      <c r="F122" s="69"/>
      <c r="G122" s="69"/>
      <c r="H122" s="69"/>
      <c r="I122" s="69"/>
      <c r="J122" s="69"/>
    </row>
    <row r="123" spans="3:10" ht="12.75">
      <c r="C123" s="69"/>
      <c r="D123" s="69"/>
      <c r="E123" s="69"/>
      <c r="F123" s="69"/>
      <c r="G123" s="69"/>
      <c r="H123" s="69"/>
      <c r="I123" s="69"/>
      <c r="J123" s="69"/>
    </row>
    <row r="124" spans="3:10" ht="12.75">
      <c r="C124" s="69"/>
      <c r="D124" s="69"/>
      <c r="E124" s="69"/>
      <c r="F124" s="69"/>
      <c r="G124" s="69"/>
      <c r="H124" s="69"/>
      <c r="I124" s="69"/>
      <c r="J124" s="69"/>
    </row>
    <row r="125" spans="3:10" ht="12.75">
      <c r="C125" s="69"/>
      <c r="D125" s="69"/>
      <c r="E125" s="69"/>
      <c r="F125" s="69"/>
      <c r="G125" s="69"/>
      <c r="H125" s="69"/>
      <c r="I125" s="69"/>
      <c r="J125" s="69"/>
    </row>
    <row r="126" spans="3:10" ht="12.75">
      <c r="C126" s="69"/>
      <c r="D126" s="69"/>
      <c r="E126" s="69"/>
      <c r="F126" s="69"/>
      <c r="G126" s="69"/>
      <c r="H126" s="69"/>
      <c r="I126" s="69"/>
      <c r="J126" s="69"/>
    </row>
    <row r="127" spans="3:10" ht="12.75">
      <c r="C127" s="69"/>
      <c r="D127" s="69"/>
      <c r="E127" s="69"/>
      <c r="F127" s="69"/>
      <c r="G127" s="69"/>
      <c r="H127" s="69"/>
      <c r="I127" s="69"/>
      <c r="J127" s="69"/>
    </row>
    <row r="128" spans="3:10" ht="12.75">
      <c r="C128" s="69"/>
      <c r="D128" s="69"/>
      <c r="E128" s="69"/>
      <c r="F128" s="69"/>
      <c r="G128" s="69"/>
      <c r="H128" s="69"/>
      <c r="I128" s="69"/>
      <c r="J128" s="69"/>
    </row>
    <row r="129" spans="3:10" ht="12.75">
      <c r="C129" s="69"/>
      <c r="D129" s="69"/>
      <c r="E129" s="69"/>
      <c r="F129" s="69"/>
      <c r="G129" s="69"/>
      <c r="H129" s="69"/>
      <c r="I129" s="69"/>
      <c r="J129" s="69"/>
    </row>
    <row r="130" spans="3:10" ht="12.75">
      <c r="C130" s="69"/>
      <c r="D130" s="69"/>
      <c r="E130" s="69"/>
      <c r="F130" s="69"/>
      <c r="G130" s="69"/>
      <c r="H130" s="69"/>
      <c r="I130" s="69"/>
      <c r="J130" s="69"/>
    </row>
    <row r="131" spans="3:10" ht="12.75">
      <c r="C131" s="69"/>
      <c r="D131" s="69"/>
      <c r="E131" s="69"/>
      <c r="F131" s="69"/>
      <c r="G131" s="69"/>
      <c r="H131" s="69"/>
      <c r="I131" s="69"/>
      <c r="J131" s="69"/>
    </row>
    <row r="132" spans="3:10" ht="12.75">
      <c r="C132" s="69"/>
      <c r="D132" s="69"/>
      <c r="E132" s="69"/>
      <c r="F132" s="69"/>
      <c r="G132" s="69"/>
      <c r="H132" s="69"/>
      <c r="I132" s="69"/>
      <c r="J132" s="69"/>
    </row>
    <row r="133" spans="3:10" ht="12.75">
      <c r="C133" s="69"/>
      <c r="D133" s="69"/>
      <c r="E133" s="69"/>
      <c r="F133" s="69"/>
      <c r="G133" s="69"/>
      <c r="H133" s="69"/>
      <c r="I133" s="69"/>
      <c r="J133" s="69"/>
    </row>
    <row r="134" spans="3:10" ht="12.75">
      <c r="C134" s="69"/>
      <c r="D134" s="69"/>
      <c r="E134" s="69"/>
      <c r="F134" s="69"/>
      <c r="G134" s="69"/>
      <c r="H134" s="69"/>
      <c r="I134" s="69"/>
      <c r="J134" s="69"/>
    </row>
    <row r="135" spans="3:10" ht="12.75">
      <c r="C135" s="69"/>
      <c r="D135" s="69"/>
      <c r="E135" s="69"/>
      <c r="F135" s="69"/>
      <c r="G135" s="69"/>
      <c r="H135" s="69"/>
      <c r="I135" s="69"/>
      <c r="J135" s="69"/>
    </row>
    <row r="136" spans="3:10" ht="12.75">
      <c r="C136" s="69"/>
      <c r="D136" s="69"/>
      <c r="E136" s="69"/>
      <c r="F136" s="69"/>
      <c r="G136" s="69"/>
      <c r="H136" s="69"/>
      <c r="I136" s="69"/>
      <c r="J136" s="69"/>
    </row>
    <row r="137" spans="3:10" ht="12.75">
      <c r="C137" s="69"/>
      <c r="D137" s="69"/>
      <c r="E137" s="69"/>
      <c r="F137" s="69"/>
      <c r="G137" s="69"/>
      <c r="H137" s="69"/>
      <c r="I137" s="69"/>
      <c r="J137" s="69"/>
    </row>
    <row r="138" spans="3:10" ht="12.75">
      <c r="C138" s="69"/>
      <c r="D138" s="69"/>
      <c r="E138" s="69"/>
      <c r="F138" s="69"/>
      <c r="G138" s="69"/>
      <c r="H138" s="69"/>
      <c r="I138" s="69"/>
      <c r="J138" s="69"/>
    </row>
    <row r="139" spans="3:10" ht="12.75">
      <c r="C139" s="69"/>
      <c r="D139" s="69"/>
      <c r="E139" s="69"/>
      <c r="F139" s="69"/>
      <c r="G139" s="69"/>
      <c r="H139" s="69"/>
      <c r="I139" s="69"/>
      <c r="J139" s="69"/>
    </row>
    <row r="140" spans="3:10" ht="12.75">
      <c r="C140" s="69"/>
      <c r="D140" s="69"/>
      <c r="E140" s="69"/>
      <c r="F140" s="69"/>
      <c r="G140" s="69"/>
      <c r="H140" s="69"/>
      <c r="I140" s="69"/>
      <c r="J140" s="69"/>
    </row>
    <row r="141" spans="3:10" ht="12.75">
      <c r="C141" s="69"/>
      <c r="D141" s="69"/>
      <c r="E141" s="69"/>
      <c r="F141" s="69"/>
      <c r="G141" s="69"/>
      <c r="H141" s="69"/>
      <c r="I141" s="69"/>
      <c r="J141" s="69"/>
    </row>
    <row r="142" spans="3:10" ht="12.75">
      <c r="C142" s="69"/>
      <c r="D142" s="69"/>
      <c r="E142" s="69"/>
      <c r="F142" s="69"/>
      <c r="G142" s="69"/>
      <c r="H142" s="69"/>
      <c r="I142" s="69"/>
      <c r="J142" s="69"/>
    </row>
    <row r="143" spans="3:10" ht="12.75">
      <c r="C143" s="69"/>
      <c r="D143" s="69"/>
      <c r="E143" s="69"/>
      <c r="F143" s="69"/>
      <c r="G143" s="69"/>
      <c r="H143" s="69"/>
      <c r="I143" s="69"/>
      <c r="J143" s="69"/>
    </row>
    <row r="144" spans="3:10" ht="12.75">
      <c r="C144" s="69"/>
      <c r="D144" s="69"/>
      <c r="E144" s="69"/>
      <c r="F144" s="69"/>
      <c r="G144" s="69"/>
      <c r="H144" s="69"/>
      <c r="I144" s="69"/>
      <c r="J144" s="69"/>
    </row>
    <row r="145" spans="3:10" ht="12.75">
      <c r="C145" s="69"/>
      <c r="D145" s="69"/>
      <c r="E145" s="69"/>
      <c r="F145" s="69"/>
      <c r="G145" s="69"/>
      <c r="H145" s="69"/>
      <c r="I145" s="69"/>
      <c r="J145" s="69"/>
    </row>
    <row r="146" spans="3:10" ht="12.75">
      <c r="C146" s="69"/>
      <c r="D146" s="69"/>
      <c r="E146" s="69"/>
      <c r="F146" s="69"/>
      <c r="G146" s="69"/>
      <c r="H146" s="69"/>
      <c r="I146" s="69"/>
      <c r="J146" s="69"/>
    </row>
    <row r="147" spans="3:10" ht="12.75">
      <c r="C147" s="69"/>
      <c r="D147" s="69"/>
      <c r="E147" s="69"/>
      <c r="F147" s="69"/>
      <c r="G147" s="69"/>
      <c r="H147" s="69"/>
      <c r="I147" s="69"/>
      <c r="J147" s="69"/>
    </row>
    <row r="148" spans="3:10" ht="12.75">
      <c r="C148" s="69"/>
      <c r="D148" s="69"/>
      <c r="E148" s="69"/>
      <c r="F148" s="69"/>
      <c r="G148" s="69"/>
      <c r="H148" s="69"/>
      <c r="I148" s="69"/>
      <c r="J148" s="69"/>
    </row>
    <row r="149" spans="3:10" ht="12.75">
      <c r="C149" s="69"/>
      <c r="D149" s="69"/>
      <c r="E149" s="69"/>
      <c r="F149" s="69"/>
      <c r="G149" s="69"/>
      <c r="H149" s="69"/>
      <c r="I149" s="69"/>
      <c r="J149" s="69"/>
    </row>
    <row r="150" spans="3:10" ht="12.75">
      <c r="C150" s="69"/>
      <c r="D150" s="69"/>
      <c r="E150" s="69"/>
      <c r="F150" s="69"/>
      <c r="G150" s="69"/>
      <c r="H150" s="69"/>
      <c r="I150" s="69"/>
      <c r="J150" s="69"/>
    </row>
    <row r="151" spans="3:10" ht="12.75">
      <c r="C151" s="69"/>
      <c r="D151" s="69"/>
      <c r="E151" s="69"/>
      <c r="F151" s="69"/>
      <c r="G151" s="69"/>
      <c r="H151" s="69"/>
      <c r="I151" s="69"/>
      <c r="J151" s="69"/>
    </row>
    <row r="152" spans="3:10" ht="12.75">
      <c r="C152" s="69"/>
      <c r="D152" s="69"/>
      <c r="E152" s="69"/>
      <c r="F152" s="69"/>
      <c r="G152" s="69"/>
      <c r="H152" s="69"/>
      <c r="I152" s="69"/>
      <c r="J152" s="69"/>
    </row>
    <row r="153" spans="3:10" ht="12.75">
      <c r="C153" s="69"/>
      <c r="D153" s="69"/>
      <c r="E153" s="69"/>
      <c r="F153" s="69"/>
      <c r="G153" s="69"/>
      <c r="H153" s="69"/>
      <c r="I153" s="69"/>
      <c r="J153" s="69"/>
    </row>
    <row r="154" spans="3:10" ht="12.75">
      <c r="C154" s="69"/>
      <c r="D154" s="69"/>
      <c r="E154" s="69"/>
      <c r="F154" s="69"/>
      <c r="G154" s="69"/>
      <c r="H154" s="69"/>
      <c r="I154" s="69"/>
      <c r="J154" s="69"/>
    </row>
    <row r="155" spans="3:10" ht="12.75">
      <c r="C155" s="69"/>
      <c r="D155" s="69"/>
      <c r="E155" s="69"/>
      <c r="F155" s="69"/>
      <c r="G155" s="69"/>
      <c r="H155" s="69"/>
      <c r="I155" s="69"/>
      <c r="J155" s="69"/>
    </row>
    <row r="156" spans="3:10" ht="12.75">
      <c r="C156" s="69"/>
      <c r="D156" s="69"/>
      <c r="E156" s="69"/>
      <c r="F156" s="69"/>
      <c r="G156" s="69"/>
      <c r="H156" s="69"/>
      <c r="I156" s="69"/>
      <c r="J156" s="69"/>
    </row>
    <row r="157" spans="3:10" ht="12.75">
      <c r="C157" s="69"/>
      <c r="D157" s="69"/>
      <c r="E157" s="69"/>
      <c r="F157" s="69"/>
      <c r="G157" s="69"/>
      <c r="H157" s="69"/>
      <c r="I157" s="69"/>
      <c r="J157" s="69"/>
    </row>
    <row r="158" spans="3:10" ht="12.75">
      <c r="C158" s="69"/>
      <c r="D158" s="69"/>
      <c r="E158" s="69"/>
      <c r="F158" s="69"/>
      <c r="G158" s="69"/>
      <c r="H158" s="69"/>
      <c r="I158" s="69"/>
      <c r="J158" s="69"/>
    </row>
    <row r="159" spans="3:10" ht="12.75">
      <c r="C159" s="69"/>
      <c r="D159" s="69"/>
      <c r="E159" s="69"/>
      <c r="F159" s="69"/>
      <c r="G159" s="69"/>
      <c r="H159" s="69"/>
      <c r="I159" s="69"/>
      <c r="J159" s="69"/>
    </row>
    <row r="160" spans="3:10" ht="12.75">
      <c r="C160" s="69"/>
      <c r="D160" s="69"/>
      <c r="E160" s="69"/>
      <c r="F160" s="69"/>
      <c r="G160" s="69"/>
      <c r="H160" s="69"/>
      <c r="I160" s="69"/>
      <c r="J160" s="69"/>
    </row>
    <row r="161" spans="3:10" ht="12.75">
      <c r="C161" s="69"/>
      <c r="D161" s="69"/>
      <c r="E161" s="69"/>
      <c r="F161" s="69"/>
      <c r="G161" s="69"/>
      <c r="H161" s="69"/>
      <c r="I161" s="69"/>
      <c r="J161" s="69"/>
    </row>
    <row r="162" spans="3:10" ht="12.75">
      <c r="C162" s="69"/>
      <c r="D162" s="69"/>
      <c r="E162" s="69"/>
      <c r="F162" s="69"/>
      <c r="G162" s="69"/>
      <c r="H162" s="69"/>
      <c r="I162" s="69"/>
      <c r="J162" s="69"/>
    </row>
    <row r="163" spans="3:10" ht="12.75">
      <c r="C163" s="69"/>
      <c r="D163" s="69"/>
      <c r="E163" s="69"/>
      <c r="F163" s="69"/>
      <c r="G163" s="69"/>
      <c r="H163" s="69"/>
      <c r="I163" s="69"/>
      <c r="J163" s="69"/>
    </row>
    <row r="164" spans="3:10" ht="12.75">
      <c r="C164" s="69"/>
      <c r="D164" s="69"/>
      <c r="E164" s="69"/>
      <c r="F164" s="69"/>
      <c r="G164" s="69"/>
      <c r="H164" s="69"/>
      <c r="I164" s="69"/>
      <c r="J164" s="69"/>
    </row>
    <row r="165" spans="3:10" ht="12.75">
      <c r="C165" s="69"/>
      <c r="D165" s="69"/>
      <c r="E165" s="69"/>
      <c r="F165" s="69"/>
      <c r="G165" s="69"/>
      <c r="H165" s="69"/>
      <c r="I165" s="69"/>
      <c r="J165" s="69"/>
    </row>
    <row r="166" spans="3:10" ht="12.75">
      <c r="C166" s="69"/>
      <c r="D166" s="69"/>
      <c r="E166" s="69"/>
      <c r="F166" s="69"/>
      <c r="G166" s="69"/>
      <c r="H166" s="69"/>
      <c r="I166" s="69"/>
      <c r="J166" s="69"/>
    </row>
    <row r="167" spans="3:10" ht="12.75">
      <c r="C167" s="69"/>
      <c r="D167" s="69"/>
      <c r="E167" s="69"/>
      <c r="F167" s="69"/>
      <c r="G167" s="69"/>
      <c r="H167" s="69"/>
      <c r="I167" s="69"/>
      <c r="J167" s="69"/>
    </row>
    <row r="168" spans="3:10" ht="12.75">
      <c r="C168" s="69"/>
      <c r="D168" s="69"/>
      <c r="E168" s="69"/>
      <c r="F168" s="69"/>
      <c r="G168" s="69"/>
      <c r="H168" s="69"/>
      <c r="I168" s="69"/>
      <c r="J168" s="69"/>
    </row>
    <row r="169" spans="3:10" ht="12.75">
      <c r="C169" s="69"/>
      <c r="D169" s="69"/>
      <c r="E169" s="69"/>
      <c r="F169" s="69"/>
      <c r="G169" s="69"/>
      <c r="H169" s="69"/>
      <c r="I169" s="69"/>
      <c r="J169" s="69"/>
    </row>
    <row r="170" spans="3:10" ht="12.75">
      <c r="C170" s="69"/>
      <c r="D170" s="69"/>
      <c r="E170" s="69"/>
      <c r="F170" s="69"/>
      <c r="G170" s="69"/>
      <c r="H170" s="69"/>
      <c r="I170" s="69"/>
      <c r="J170" s="69"/>
    </row>
    <row r="171" spans="3:10" ht="12.75">
      <c r="C171" s="69"/>
      <c r="D171" s="69"/>
      <c r="E171" s="69"/>
      <c r="F171" s="69"/>
      <c r="G171" s="69"/>
      <c r="H171" s="69"/>
      <c r="I171" s="69"/>
      <c r="J171" s="69"/>
    </row>
    <row r="172" spans="3:10" ht="12.75">
      <c r="C172" s="69"/>
      <c r="D172" s="69"/>
      <c r="E172" s="69"/>
      <c r="F172" s="69"/>
      <c r="G172" s="69"/>
      <c r="H172" s="69"/>
      <c r="I172" s="69"/>
      <c r="J172" s="69"/>
    </row>
    <row r="173" spans="3:10" ht="12.75">
      <c r="C173" s="69"/>
      <c r="D173" s="69"/>
      <c r="E173" s="69"/>
      <c r="F173" s="69"/>
      <c r="G173" s="69"/>
      <c r="H173" s="69"/>
      <c r="I173" s="69"/>
      <c r="J173" s="69"/>
    </row>
    <row r="174" spans="3:10" ht="12.75">
      <c r="C174" s="69"/>
      <c r="D174" s="69"/>
      <c r="E174" s="69"/>
      <c r="F174" s="69"/>
      <c r="G174" s="69"/>
      <c r="H174" s="69"/>
      <c r="I174" s="69"/>
      <c r="J174" s="69"/>
    </row>
    <row r="175" spans="3:10" ht="12.75">
      <c r="C175" s="69"/>
      <c r="D175" s="69"/>
      <c r="E175" s="69"/>
      <c r="F175" s="69"/>
      <c r="G175" s="69"/>
      <c r="H175" s="69"/>
      <c r="I175" s="69"/>
      <c r="J175" s="69"/>
    </row>
    <row r="176" spans="3:10" ht="12.75">
      <c r="C176" s="69"/>
      <c r="D176" s="69"/>
      <c r="E176" s="69"/>
      <c r="F176" s="69"/>
      <c r="G176" s="69"/>
      <c r="H176" s="69"/>
      <c r="I176" s="69"/>
      <c r="J176" s="69"/>
    </row>
    <row r="177" spans="3:10" ht="12.75">
      <c r="C177" s="69"/>
      <c r="D177" s="69"/>
      <c r="E177" s="69"/>
      <c r="F177" s="69"/>
      <c r="G177" s="69"/>
      <c r="H177" s="69"/>
      <c r="I177" s="69"/>
      <c r="J177" s="69"/>
    </row>
    <row r="178" spans="3:10" ht="12.75">
      <c r="C178" s="69"/>
      <c r="D178" s="69"/>
      <c r="E178" s="69"/>
      <c r="F178" s="69"/>
      <c r="G178" s="69"/>
      <c r="H178" s="69"/>
      <c r="I178" s="69"/>
      <c r="J178" s="69"/>
    </row>
    <row r="179" spans="3:10" ht="12.75">
      <c r="C179" s="69"/>
      <c r="D179" s="69"/>
      <c r="E179" s="69"/>
      <c r="F179" s="69"/>
      <c r="G179" s="69"/>
      <c r="H179" s="69"/>
      <c r="I179" s="69"/>
      <c r="J179" s="69"/>
    </row>
    <row r="180" spans="3:10" ht="12.75">
      <c r="C180" s="69"/>
      <c r="D180" s="69"/>
      <c r="E180" s="69"/>
      <c r="F180" s="69"/>
      <c r="G180" s="69"/>
      <c r="H180" s="69"/>
      <c r="I180" s="69"/>
      <c r="J180" s="69"/>
    </row>
    <row r="181" spans="3:10" ht="12.75">
      <c r="C181" s="69"/>
      <c r="D181" s="69"/>
      <c r="E181" s="69"/>
      <c r="F181" s="69"/>
      <c r="G181" s="69"/>
      <c r="H181" s="69"/>
      <c r="I181" s="69"/>
      <c r="J181" s="69"/>
    </row>
    <row r="182" spans="3:10" ht="12.75">
      <c r="C182" s="69"/>
      <c r="D182" s="69"/>
      <c r="E182" s="69"/>
      <c r="F182" s="69"/>
      <c r="G182" s="69"/>
      <c r="H182" s="69"/>
      <c r="I182" s="69"/>
      <c r="J182" s="69"/>
    </row>
    <row r="183" spans="3:10" ht="12.75">
      <c r="C183" s="69"/>
      <c r="D183" s="69"/>
      <c r="E183" s="69"/>
      <c r="F183" s="69"/>
      <c r="G183" s="69"/>
      <c r="H183" s="69"/>
      <c r="I183" s="69"/>
      <c r="J183" s="69"/>
    </row>
    <row r="184" spans="3:10" ht="12.75">
      <c r="C184" s="69"/>
      <c r="D184" s="69"/>
      <c r="E184" s="69"/>
      <c r="F184" s="69"/>
      <c r="G184" s="69"/>
      <c r="H184" s="69"/>
      <c r="I184" s="69"/>
      <c r="J184" s="69"/>
    </row>
    <row r="185" spans="3:10" ht="12.75">
      <c r="C185" s="69"/>
      <c r="D185" s="69"/>
      <c r="E185" s="69"/>
      <c r="F185" s="69"/>
      <c r="G185" s="69"/>
      <c r="H185" s="69"/>
      <c r="I185" s="69"/>
      <c r="J185" s="69"/>
    </row>
    <row r="186" spans="3:10" ht="12.75">
      <c r="C186" s="69"/>
      <c r="D186" s="69"/>
      <c r="E186" s="69"/>
      <c r="F186" s="69"/>
      <c r="G186" s="69"/>
      <c r="H186" s="69"/>
      <c r="I186" s="69"/>
      <c r="J186" s="69"/>
    </row>
    <row r="187" spans="3:10" ht="12.75">
      <c r="C187" s="69"/>
      <c r="D187" s="69"/>
      <c r="E187" s="69"/>
      <c r="F187" s="69"/>
      <c r="G187" s="69"/>
      <c r="H187" s="69"/>
      <c r="I187" s="69"/>
      <c r="J187" s="69"/>
    </row>
    <row r="188" spans="3:10" ht="12.75">
      <c r="C188" s="69"/>
      <c r="D188" s="69"/>
      <c r="E188" s="69"/>
      <c r="F188" s="69"/>
      <c r="G188" s="69"/>
      <c r="H188" s="69"/>
      <c r="I188" s="69"/>
      <c r="J188" s="69"/>
    </row>
    <row r="189" spans="3:10" ht="12.75">
      <c r="C189" s="69"/>
      <c r="D189" s="69"/>
      <c r="E189" s="69"/>
      <c r="F189" s="69"/>
      <c r="G189" s="69"/>
      <c r="H189" s="69"/>
      <c r="I189" s="69"/>
      <c r="J189" s="69"/>
    </row>
    <row r="190" spans="3:10" ht="12.75">
      <c r="C190" s="69"/>
      <c r="D190" s="69"/>
      <c r="E190" s="69"/>
      <c r="F190" s="69"/>
      <c r="G190" s="69"/>
      <c r="H190" s="69"/>
      <c r="I190" s="69"/>
      <c r="J190" s="69"/>
    </row>
    <row r="191" spans="3:10" ht="12.75">
      <c r="C191" s="69"/>
      <c r="D191" s="69"/>
      <c r="E191" s="69"/>
      <c r="F191" s="69"/>
      <c r="G191" s="69"/>
      <c r="H191" s="69"/>
      <c r="I191" s="69"/>
      <c r="J191" s="69"/>
    </row>
    <row r="192" spans="3:10" ht="12.75">
      <c r="C192" s="69"/>
      <c r="D192" s="69"/>
      <c r="E192" s="69"/>
      <c r="F192" s="69"/>
      <c r="G192" s="69"/>
      <c r="H192" s="69"/>
      <c r="I192" s="69"/>
      <c r="J192" s="69"/>
    </row>
    <row r="193" spans="3:10" ht="12.75">
      <c r="C193" s="69"/>
      <c r="D193" s="69"/>
      <c r="E193" s="69"/>
      <c r="F193" s="69"/>
      <c r="G193" s="69"/>
      <c r="H193" s="69"/>
      <c r="I193" s="69"/>
      <c r="J193" s="69"/>
    </row>
    <row r="194" spans="3:10" ht="12.75">
      <c r="C194" s="69"/>
      <c r="D194" s="69"/>
      <c r="E194" s="69"/>
      <c r="F194" s="69"/>
      <c r="G194" s="69"/>
      <c r="H194" s="69"/>
      <c r="I194" s="69"/>
      <c r="J194" s="69"/>
    </row>
    <row r="195" spans="3:10" ht="12.75">
      <c r="C195" s="69"/>
      <c r="D195" s="69"/>
      <c r="E195" s="69"/>
      <c r="F195" s="69"/>
      <c r="G195" s="69"/>
      <c r="H195" s="69"/>
      <c r="I195" s="69"/>
      <c r="J195" s="69"/>
    </row>
    <row r="196" spans="3:10" ht="12.75">
      <c r="C196" s="69"/>
      <c r="D196" s="69"/>
      <c r="E196" s="69"/>
      <c r="F196" s="69"/>
      <c r="G196" s="69"/>
      <c r="H196" s="69"/>
      <c r="I196" s="69"/>
      <c r="J196" s="69"/>
    </row>
    <row r="197" spans="3:10" ht="12.75">
      <c r="C197" s="69"/>
      <c r="D197" s="69"/>
      <c r="E197" s="69"/>
      <c r="F197" s="69"/>
      <c r="G197" s="69"/>
      <c r="H197" s="69"/>
      <c r="I197" s="69"/>
      <c r="J197" s="69"/>
    </row>
    <row r="198" spans="3:10" ht="12.75">
      <c r="C198" s="69"/>
      <c r="D198" s="69"/>
      <c r="E198" s="69"/>
      <c r="F198" s="69"/>
      <c r="G198" s="69"/>
      <c r="H198" s="69"/>
      <c r="I198" s="69"/>
      <c r="J198" s="69"/>
    </row>
    <row r="199" spans="3:10" ht="12.75">
      <c r="C199" s="69"/>
      <c r="D199" s="69"/>
      <c r="E199" s="69"/>
      <c r="F199" s="69"/>
      <c r="G199" s="69"/>
      <c r="H199" s="69"/>
      <c r="I199" s="69"/>
      <c r="J199" s="69"/>
    </row>
    <row r="200" spans="3:10" ht="12.75">
      <c r="C200" s="69"/>
      <c r="D200" s="69"/>
      <c r="E200" s="69"/>
      <c r="F200" s="69"/>
      <c r="G200" s="69"/>
      <c r="H200" s="69"/>
      <c r="I200" s="69"/>
      <c r="J200" s="69"/>
    </row>
    <row r="201" spans="3:10" ht="12.75">
      <c r="C201" s="69"/>
      <c r="D201" s="69"/>
      <c r="E201" s="69"/>
      <c r="F201" s="69"/>
      <c r="G201" s="69"/>
      <c r="H201" s="69"/>
      <c r="I201" s="69"/>
      <c r="J201" s="69"/>
    </row>
    <row r="202" spans="3:10" ht="12.75">
      <c r="C202" s="69"/>
      <c r="D202" s="69"/>
      <c r="E202" s="69"/>
      <c r="F202" s="69"/>
      <c r="G202" s="69"/>
      <c r="H202" s="69"/>
      <c r="I202" s="69"/>
      <c r="J202" s="69"/>
    </row>
    <row r="203" spans="3:10" ht="12.75">
      <c r="C203" s="69"/>
      <c r="D203" s="69"/>
      <c r="E203" s="69"/>
      <c r="F203" s="69"/>
      <c r="G203" s="69"/>
      <c r="H203" s="69"/>
      <c r="I203" s="69"/>
      <c r="J203" s="69"/>
    </row>
    <row r="204" spans="3:10" ht="12.75">
      <c r="C204" s="69"/>
      <c r="D204" s="69"/>
      <c r="E204" s="69"/>
      <c r="F204" s="69"/>
      <c r="G204" s="69"/>
      <c r="H204" s="69"/>
      <c r="I204" s="69"/>
      <c r="J204" s="69"/>
    </row>
    <row r="205" spans="3:10" ht="12.75">
      <c r="C205" s="69"/>
      <c r="D205" s="69"/>
      <c r="E205" s="69"/>
      <c r="F205" s="69"/>
      <c r="G205" s="69"/>
      <c r="H205" s="69"/>
      <c r="I205" s="69"/>
      <c r="J205" s="69"/>
    </row>
    <row r="206" spans="3:10" ht="12.75">
      <c r="C206" s="69"/>
      <c r="D206" s="69"/>
      <c r="E206" s="69"/>
      <c r="F206" s="69"/>
      <c r="G206" s="69"/>
      <c r="H206" s="69"/>
      <c r="I206" s="69"/>
      <c r="J206" s="69"/>
    </row>
    <row r="207" spans="3:10" ht="12.75">
      <c r="C207" s="69"/>
      <c r="D207" s="69"/>
      <c r="E207" s="69"/>
      <c r="F207" s="69"/>
      <c r="G207" s="69"/>
      <c r="H207" s="69"/>
      <c r="I207" s="69"/>
      <c r="J207" s="69"/>
    </row>
    <row r="208" spans="3:10" ht="12.75">
      <c r="C208" s="69"/>
      <c r="D208" s="69"/>
      <c r="E208" s="69"/>
      <c r="F208" s="69"/>
      <c r="G208" s="69"/>
      <c r="H208" s="69"/>
      <c r="I208" s="69"/>
      <c r="J208" s="69"/>
    </row>
    <row r="209" spans="3:10" ht="12.75">
      <c r="C209" s="69"/>
      <c r="D209" s="69"/>
      <c r="E209" s="69"/>
      <c r="F209" s="69"/>
      <c r="G209" s="69"/>
      <c r="H209" s="69"/>
      <c r="I209" s="69"/>
      <c r="J209" s="69"/>
    </row>
    <row r="210" spans="3:10" ht="12.75">
      <c r="C210" s="69"/>
      <c r="D210" s="69"/>
      <c r="E210" s="69"/>
      <c r="F210" s="69"/>
      <c r="G210" s="69"/>
      <c r="H210" s="69"/>
      <c r="I210" s="69"/>
      <c r="J210" s="69"/>
    </row>
    <row r="211" spans="3:10" ht="12.75">
      <c r="C211" s="69"/>
      <c r="D211" s="69"/>
      <c r="E211" s="69"/>
      <c r="F211" s="69"/>
      <c r="G211" s="69"/>
      <c r="H211" s="69"/>
      <c r="I211" s="69"/>
      <c r="J211" s="69"/>
    </row>
    <row r="212" spans="3:10" ht="12.75">
      <c r="C212" s="69"/>
      <c r="D212" s="69"/>
      <c r="E212" s="69"/>
      <c r="F212" s="69"/>
      <c r="G212" s="69"/>
      <c r="H212" s="69"/>
      <c r="I212" s="69"/>
      <c r="J212" s="69"/>
    </row>
    <row r="213" spans="3:10" ht="12.75">
      <c r="C213" s="69"/>
      <c r="D213" s="69"/>
      <c r="E213" s="69"/>
      <c r="F213" s="69"/>
      <c r="G213" s="69"/>
      <c r="H213" s="69"/>
      <c r="I213" s="69"/>
      <c r="J213" s="69"/>
    </row>
    <row r="214" spans="3:10" ht="12.75">
      <c r="C214" s="69"/>
      <c r="D214" s="69"/>
      <c r="E214" s="69"/>
      <c r="F214" s="69"/>
      <c r="G214" s="69"/>
      <c r="H214" s="69"/>
      <c r="I214" s="69"/>
      <c r="J214" s="69"/>
    </row>
    <row r="215" spans="3:10" ht="12.75">
      <c r="C215" s="69"/>
      <c r="D215" s="69"/>
      <c r="E215" s="69"/>
      <c r="F215" s="69"/>
      <c r="G215" s="69"/>
      <c r="H215" s="69"/>
      <c r="I215" s="69"/>
      <c r="J215" s="69"/>
    </row>
    <row r="216" spans="3:10" ht="12.75">
      <c r="C216" s="69"/>
      <c r="D216" s="69"/>
      <c r="E216" s="69"/>
      <c r="F216" s="69"/>
      <c r="G216" s="69"/>
      <c r="H216" s="69"/>
      <c r="I216" s="69"/>
      <c r="J216" s="69"/>
    </row>
    <row r="217" spans="3:10" ht="12.75">
      <c r="C217" s="69"/>
      <c r="D217" s="69"/>
      <c r="E217" s="69"/>
      <c r="F217" s="69"/>
      <c r="G217" s="69"/>
      <c r="H217" s="69"/>
      <c r="I217" s="69"/>
      <c r="J217" s="69"/>
    </row>
    <row r="218" spans="3:10" ht="12.75">
      <c r="C218" s="69"/>
      <c r="D218" s="69"/>
      <c r="E218" s="69"/>
      <c r="F218" s="69"/>
      <c r="G218" s="69"/>
      <c r="H218" s="69"/>
      <c r="I218" s="69"/>
      <c r="J218" s="69"/>
    </row>
    <row r="219" spans="3:10" ht="12.75">
      <c r="C219" s="69"/>
      <c r="D219" s="69"/>
      <c r="E219" s="69"/>
      <c r="F219" s="69"/>
      <c r="G219" s="69"/>
      <c r="H219" s="69"/>
      <c r="I219" s="69"/>
      <c r="J219" s="69"/>
    </row>
    <row r="220" spans="3:10" ht="12.75">
      <c r="C220" s="69"/>
      <c r="D220" s="69"/>
      <c r="E220" s="69"/>
      <c r="F220" s="69"/>
      <c r="G220" s="69"/>
      <c r="H220" s="69"/>
      <c r="I220" s="69"/>
      <c r="J220" s="69"/>
    </row>
    <row r="221" spans="3:10" ht="12.75">
      <c r="C221" s="69"/>
      <c r="D221" s="69"/>
      <c r="E221" s="69"/>
      <c r="F221" s="69"/>
      <c r="G221" s="69"/>
      <c r="H221" s="69"/>
      <c r="I221" s="69"/>
      <c r="J221" s="69"/>
    </row>
    <row r="222" spans="3:10" ht="12.75">
      <c r="C222" s="69"/>
      <c r="D222" s="69"/>
      <c r="E222" s="69"/>
      <c r="F222" s="69"/>
      <c r="G222" s="69"/>
      <c r="H222" s="69"/>
      <c r="I222" s="69"/>
      <c r="J222" s="69"/>
    </row>
    <row r="223" spans="3:10" ht="12.75">
      <c r="C223" s="69"/>
      <c r="D223" s="69"/>
      <c r="E223" s="69"/>
      <c r="F223" s="69"/>
      <c r="G223" s="69"/>
      <c r="H223" s="69"/>
      <c r="I223" s="69"/>
      <c r="J223" s="69"/>
    </row>
    <row r="224" spans="3:10" ht="12.75">
      <c r="C224" s="69"/>
      <c r="D224" s="69"/>
      <c r="E224" s="69"/>
      <c r="F224" s="69"/>
      <c r="G224" s="69"/>
      <c r="H224" s="69"/>
      <c r="I224" s="69"/>
      <c r="J224" s="69"/>
    </row>
    <row r="225" spans="3:10" ht="12.75">
      <c r="C225" s="69"/>
      <c r="D225" s="69"/>
      <c r="E225" s="69"/>
      <c r="F225" s="69"/>
      <c r="G225" s="69"/>
      <c r="H225" s="69"/>
      <c r="I225" s="69"/>
      <c r="J225" s="69"/>
    </row>
    <row r="226" spans="3:10" ht="12.75">
      <c r="C226" s="69"/>
      <c r="D226" s="69"/>
      <c r="E226" s="69"/>
      <c r="F226" s="69"/>
      <c r="G226" s="69"/>
      <c r="H226" s="69"/>
      <c r="I226" s="69"/>
      <c r="J226" s="69"/>
    </row>
    <row r="227" spans="3:10" ht="12.75">
      <c r="C227" s="69"/>
      <c r="D227" s="69"/>
      <c r="E227" s="69"/>
      <c r="F227" s="69"/>
      <c r="G227" s="69"/>
      <c r="H227" s="69"/>
      <c r="I227" s="69"/>
      <c r="J227" s="69"/>
    </row>
    <row r="228" spans="3:10" ht="12.75">
      <c r="C228" s="69"/>
      <c r="D228" s="69"/>
      <c r="E228" s="69"/>
      <c r="F228" s="69"/>
      <c r="G228" s="69"/>
      <c r="H228" s="69"/>
      <c r="I228" s="69"/>
      <c r="J228" s="69"/>
    </row>
    <row r="229" spans="3:10" ht="12.75">
      <c r="C229" s="69"/>
      <c r="D229" s="69"/>
      <c r="E229" s="69"/>
      <c r="F229" s="69"/>
      <c r="G229" s="69"/>
      <c r="H229" s="69"/>
      <c r="I229" s="69"/>
      <c r="J229" s="69"/>
    </row>
    <row r="230" spans="3:10" ht="12.75">
      <c r="C230" s="69"/>
      <c r="D230" s="69"/>
      <c r="E230" s="69"/>
      <c r="F230" s="69"/>
      <c r="G230" s="69"/>
      <c r="H230" s="69"/>
      <c r="I230" s="69"/>
      <c r="J230" s="69"/>
    </row>
    <row r="231" spans="3:10" ht="12.75">
      <c r="C231" s="69"/>
      <c r="D231" s="69"/>
      <c r="E231" s="69"/>
      <c r="F231" s="69"/>
      <c r="G231" s="69"/>
      <c r="H231" s="69"/>
      <c r="I231" s="69"/>
      <c r="J231" s="69"/>
    </row>
    <row r="232" spans="3:10" ht="12.75">
      <c r="C232" s="69"/>
      <c r="D232" s="69"/>
      <c r="E232" s="69"/>
      <c r="F232" s="69"/>
      <c r="G232" s="69"/>
      <c r="H232" s="69"/>
      <c r="I232" s="69"/>
      <c r="J232" s="69"/>
    </row>
    <row r="233" spans="3:10" ht="12.75">
      <c r="C233" s="69"/>
      <c r="D233" s="69"/>
      <c r="E233" s="69"/>
      <c r="F233" s="69"/>
      <c r="G233" s="69"/>
      <c r="H233" s="69"/>
      <c r="I233" s="69"/>
      <c r="J233" s="69"/>
    </row>
    <row r="234" spans="3:10" ht="12.75">
      <c r="C234" s="69"/>
      <c r="D234" s="69"/>
      <c r="E234" s="69"/>
      <c r="F234" s="69"/>
      <c r="G234" s="69"/>
      <c r="H234" s="69"/>
      <c r="I234" s="69"/>
      <c r="J234" s="69"/>
    </row>
    <row r="235" spans="3:10" ht="12.75">
      <c r="C235" s="69"/>
      <c r="D235" s="69"/>
      <c r="E235" s="69"/>
      <c r="F235" s="69"/>
      <c r="G235" s="69"/>
      <c r="H235" s="69"/>
      <c r="I235" s="69"/>
      <c r="J235" s="69"/>
    </row>
    <row r="236" spans="3:10" ht="12.75">
      <c r="C236" s="69"/>
      <c r="D236" s="69"/>
      <c r="E236" s="69"/>
      <c r="F236" s="69"/>
      <c r="G236" s="69"/>
      <c r="H236" s="69"/>
      <c r="I236" s="69"/>
      <c r="J236" s="69"/>
    </row>
    <row r="237" spans="3:10" ht="12.75">
      <c r="C237" s="69"/>
      <c r="D237" s="69"/>
      <c r="E237" s="69"/>
      <c r="F237" s="69"/>
      <c r="G237" s="69"/>
      <c r="H237" s="69"/>
      <c r="I237" s="69"/>
      <c r="J237" s="69"/>
    </row>
    <row r="238" spans="3:10" ht="12.75">
      <c r="C238" s="69"/>
      <c r="D238" s="69"/>
      <c r="E238" s="69"/>
      <c r="F238" s="69"/>
      <c r="G238" s="69"/>
      <c r="H238" s="69"/>
      <c r="I238" s="69"/>
      <c r="J238" s="69"/>
    </row>
    <row r="239" spans="3:10" ht="12.75">
      <c r="C239" s="69"/>
      <c r="D239" s="69"/>
      <c r="E239" s="69"/>
      <c r="F239" s="69"/>
      <c r="G239" s="69"/>
      <c r="H239" s="69"/>
      <c r="I239" s="69"/>
      <c r="J239" s="69"/>
    </row>
    <row r="240" spans="3:10" ht="12.75">
      <c r="C240" s="69"/>
      <c r="D240" s="69"/>
      <c r="E240" s="69"/>
      <c r="F240" s="69"/>
      <c r="G240" s="69"/>
      <c r="H240" s="69"/>
      <c r="I240" s="69"/>
      <c r="J240" s="69"/>
    </row>
    <row r="241" spans="3:10" ht="12.75">
      <c r="C241" s="69"/>
      <c r="D241" s="69"/>
      <c r="E241" s="69"/>
      <c r="F241" s="69"/>
      <c r="G241" s="69"/>
      <c r="H241" s="69"/>
      <c r="I241" s="69"/>
      <c r="J241" s="69"/>
    </row>
    <row r="242" spans="3:10" ht="12.75">
      <c r="C242" s="69"/>
      <c r="D242" s="69"/>
      <c r="E242" s="69"/>
      <c r="F242" s="69"/>
      <c r="G242" s="69"/>
      <c r="H242" s="69"/>
      <c r="I242" s="69"/>
      <c r="J242" s="69"/>
    </row>
    <row r="243" spans="3:10" ht="12.75">
      <c r="C243" s="69"/>
      <c r="D243" s="69"/>
      <c r="E243" s="69"/>
      <c r="F243" s="69"/>
      <c r="G243" s="69"/>
      <c r="H243" s="69"/>
      <c r="I243" s="69"/>
      <c r="J243" s="69"/>
    </row>
    <row r="244" spans="3:10" ht="12.75">
      <c r="C244" s="69"/>
      <c r="D244" s="69"/>
      <c r="E244" s="69"/>
      <c r="F244" s="69"/>
      <c r="G244" s="69"/>
      <c r="H244" s="69"/>
      <c r="I244" s="69"/>
      <c r="J244" s="69"/>
    </row>
    <row r="245" spans="3:10" ht="12.75">
      <c r="C245" s="69"/>
      <c r="D245" s="69"/>
      <c r="E245" s="69"/>
      <c r="F245" s="69"/>
      <c r="G245" s="69"/>
      <c r="H245" s="69"/>
      <c r="I245" s="69"/>
      <c r="J245" s="69"/>
    </row>
    <row r="246" spans="3:10" ht="12.75">
      <c r="C246" s="69"/>
      <c r="D246" s="69"/>
      <c r="E246" s="69"/>
      <c r="F246" s="69"/>
      <c r="G246" s="69"/>
      <c r="H246" s="69"/>
      <c r="I246" s="69"/>
      <c r="J246" s="69"/>
    </row>
    <row r="247" spans="3:10" ht="12.75">
      <c r="C247" s="69"/>
      <c r="D247" s="69"/>
      <c r="E247" s="69"/>
      <c r="F247" s="69"/>
      <c r="G247" s="69"/>
      <c r="H247" s="69"/>
      <c r="I247" s="69"/>
      <c r="J247" s="69"/>
    </row>
    <row r="248" spans="3:10" ht="12.75">
      <c r="C248" s="69"/>
      <c r="D248" s="69"/>
      <c r="E248" s="69"/>
      <c r="F248" s="69"/>
      <c r="G248" s="69"/>
      <c r="H248" s="69"/>
      <c r="I248" s="69"/>
      <c r="J248" s="69"/>
    </row>
    <row r="249" spans="3:10" ht="12.75">
      <c r="C249" s="69"/>
      <c r="D249" s="69"/>
      <c r="E249" s="69"/>
      <c r="F249" s="69"/>
      <c r="G249" s="69"/>
      <c r="H249" s="69"/>
      <c r="I249" s="69"/>
      <c r="J249" s="69"/>
    </row>
    <row r="250" spans="3:10" ht="12.75">
      <c r="C250" s="69"/>
      <c r="D250" s="69"/>
      <c r="E250" s="69"/>
      <c r="F250" s="69"/>
      <c r="G250" s="69"/>
      <c r="H250" s="69"/>
      <c r="I250" s="69"/>
      <c r="J250" s="69"/>
    </row>
    <row r="251" spans="3:10" ht="12.75">
      <c r="C251" s="69"/>
      <c r="D251" s="69"/>
      <c r="E251" s="69"/>
      <c r="F251" s="69"/>
      <c r="G251" s="69"/>
      <c r="H251" s="69"/>
      <c r="I251" s="69"/>
      <c r="J251" s="69"/>
    </row>
    <row r="252" spans="3:10" ht="12.75">
      <c r="C252" s="69"/>
      <c r="D252" s="69"/>
      <c r="E252" s="69"/>
      <c r="F252" s="69"/>
      <c r="G252" s="69"/>
      <c r="H252" s="69"/>
      <c r="I252" s="69"/>
      <c r="J252" s="69"/>
    </row>
    <row r="253" spans="3:10" ht="12.75">
      <c r="C253" s="69"/>
      <c r="D253" s="69"/>
      <c r="E253" s="69"/>
      <c r="F253" s="69"/>
      <c r="G253" s="69"/>
      <c r="H253" s="69"/>
      <c r="I253" s="69"/>
      <c r="J253" s="69"/>
    </row>
    <row r="254" spans="3:10" ht="12.75">
      <c r="C254" s="69"/>
      <c r="D254" s="69"/>
      <c r="E254" s="69"/>
      <c r="F254" s="69"/>
      <c r="G254" s="69"/>
      <c r="H254" s="69"/>
      <c r="I254" s="69"/>
      <c r="J254" s="69"/>
    </row>
    <row r="255" spans="3:10" ht="12.75">
      <c r="C255" s="69"/>
      <c r="D255" s="69"/>
      <c r="E255" s="69"/>
      <c r="F255" s="69"/>
      <c r="G255" s="69"/>
      <c r="H255" s="69"/>
      <c r="I255" s="69"/>
      <c r="J255" s="69"/>
    </row>
    <row r="256" spans="3:10" ht="12.75">
      <c r="C256" s="69"/>
      <c r="D256" s="69"/>
      <c r="E256" s="69"/>
      <c r="F256" s="69"/>
      <c r="G256" s="69"/>
      <c r="H256" s="69"/>
      <c r="I256" s="69"/>
      <c r="J256" s="69"/>
    </row>
    <row r="257" spans="3:10" ht="12.75">
      <c r="C257" s="69"/>
      <c r="D257" s="69"/>
      <c r="E257" s="69"/>
      <c r="F257" s="69"/>
      <c r="G257" s="69"/>
      <c r="H257" s="69"/>
      <c r="I257" s="69"/>
      <c r="J257" s="69"/>
    </row>
    <row r="258" spans="3:10" ht="12.75">
      <c r="C258" s="69"/>
      <c r="D258" s="69"/>
      <c r="E258" s="69"/>
      <c r="F258" s="69"/>
      <c r="G258" s="69"/>
      <c r="H258" s="69"/>
      <c r="I258" s="69"/>
      <c r="J258" s="69"/>
    </row>
    <row r="259" spans="3:10" ht="12.75">
      <c r="C259" s="69"/>
      <c r="D259" s="69"/>
      <c r="E259" s="69"/>
      <c r="F259" s="69"/>
      <c r="G259" s="69"/>
      <c r="H259" s="69"/>
      <c r="I259" s="69"/>
      <c r="J259" s="69"/>
    </row>
    <row r="260" spans="3:10" ht="12.75">
      <c r="C260" s="69"/>
      <c r="D260" s="69"/>
      <c r="E260" s="69"/>
      <c r="F260" s="69"/>
      <c r="G260" s="69"/>
      <c r="H260" s="69"/>
      <c r="I260" s="69"/>
      <c r="J260" s="69"/>
    </row>
    <row r="261" spans="3:10" ht="12.75">
      <c r="C261" s="69"/>
      <c r="D261" s="69"/>
      <c r="E261" s="69"/>
      <c r="F261" s="69"/>
      <c r="G261" s="69"/>
      <c r="H261" s="69"/>
      <c r="I261" s="69"/>
      <c r="J261" s="69"/>
    </row>
    <row r="262" spans="3:10" ht="12.75">
      <c r="C262" s="69"/>
      <c r="D262" s="69"/>
      <c r="E262" s="69"/>
      <c r="F262" s="69"/>
      <c r="G262" s="69"/>
      <c r="H262" s="69"/>
      <c r="I262" s="69"/>
      <c r="J262" s="69"/>
    </row>
    <row r="263" spans="3:10" ht="12.75">
      <c r="C263" s="69"/>
      <c r="D263" s="69"/>
      <c r="E263" s="69"/>
      <c r="F263" s="69"/>
      <c r="G263" s="69"/>
      <c r="H263" s="69"/>
      <c r="I263" s="69"/>
      <c r="J263" s="69"/>
    </row>
    <row r="264" spans="3:10" ht="12.75">
      <c r="C264" s="69"/>
      <c r="D264" s="69"/>
      <c r="E264" s="69"/>
      <c r="F264" s="69"/>
      <c r="G264" s="69"/>
      <c r="H264" s="69"/>
      <c r="I264" s="69"/>
      <c r="J264" s="69"/>
    </row>
    <row r="265" spans="3:10" ht="12.75">
      <c r="C265" s="69"/>
      <c r="D265" s="69"/>
      <c r="E265" s="69"/>
      <c r="F265" s="69"/>
      <c r="G265" s="69"/>
      <c r="H265" s="69"/>
      <c r="I265" s="69"/>
      <c r="J265" s="69"/>
    </row>
    <row r="266" spans="3:10" ht="12.75">
      <c r="C266" s="69"/>
      <c r="D266" s="69"/>
      <c r="E266" s="69"/>
      <c r="F266" s="69"/>
      <c r="G266" s="69"/>
      <c r="H266" s="69"/>
      <c r="I266" s="69"/>
      <c r="J266" s="69"/>
    </row>
    <row r="267" spans="3:10" ht="12.75">
      <c r="C267" s="69"/>
      <c r="D267" s="69"/>
      <c r="E267" s="69"/>
      <c r="F267" s="69"/>
      <c r="G267" s="69"/>
      <c r="H267" s="69"/>
      <c r="I267" s="69"/>
      <c r="J267" s="69"/>
    </row>
    <row r="268" spans="3:10" ht="12.75">
      <c r="C268" s="69"/>
      <c r="D268" s="69"/>
      <c r="E268" s="69"/>
      <c r="F268" s="69"/>
      <c r="G268" s="69"/>
      <c r="H268" s="69"/>
      <c r="I268" s="69"/>
      <c r="J268" s="69"/>
    </row>
    <row r="269" spans="3:10" ht="12.75">
      <c r="C269" s="69"/>
      <c r="D269" s="69"/>
      <c r="E269" s="69"/>
      <c r="F269" s="69"/>
      <c r="G269" s="69"/>
      <c r="H269" s="69"/>
      <c r="I269" s="69"/>
      <c r="J269" s="69"/>
    </row>
    <row r="270" spans="3:10" ht="12.75">
      <c r="C270" s="69"/>
      <c r="D270" s="69"/>
      <c r="E270" s="69"/>
      <c r="F270" s="69"/>
      <c r="G270" s="69"/>
      <c r="H270" s="69"/>
      <c r="I270" s="69"/>
      <c r="J270" s="69"/>
    </row>
    <row r="271" spans="3:10" ht="12.75">
      <c r="C271" s="69"/>
      <c r="D271" s="69"/>
      <c r="E271" s="69"/>
      <c r="F271" s="69"/>
      <c r="G271" s="69"/>
      <c r="H271" s="69"/>
      <c r="I271" s="69"/>
      <c r="J271" s="69"/>
    </row>
    <row r="272" spans="3:10" ht="12.75">
      <c r="C272" s="69"/>
      <c r="D272" s="69"/>
      <c r="E272" s="69"/>
      <c r="F272" s="69"/>
      <c r="G272" s="69"/>
      <c r="H272" s="69"/>
      <c r="I272" s="69"/>
      <c r="J272" s="69"/>
    </row>
    <row r="273" spans="3:10" ht="12.75">
      <c r="C273" s="69"/>
      <c r="D273" s="69"/>
      <c r="E273" s="69"/>
      <c r="F273" s="69"/>
      <c r="G273" s="69"/>
      <c r="H273" s="69"/>
      <c r="I273" s="69"/>
      <c r="J273" s="69"/>
    </row>
    <row r="274" spans="3:10" ht="12.75">
      <c r="C274" s="69"/>
      <c r="D274" s="69"/>
      <c r="E274" s="69"/>
      <c r="F274" s="69"/>
      <c r="G274" s="69"/>
      <c r="H274" s="69"/>
      <c r="I274" s="69"/>
      <c r="J274" s="69"/>
    </row>
    <row r="275" spans="3:10" ht="12.75">
      <c r="C275" s="69"/>
      <c r="D275" s="69"/>
      <c r="E275" s="69"/>
      <c r="F275" s="69"/>
      <c r="G275" s="69"/>
      <c r="H275" s="69"/>
      <c r="I275" s="69"/>
      <c r="J275" s="69"/>
    </row>
    <row r="276" spans="3:10" ht="12.75">
      <c r="C276" s="69"/>
      <c r="D276" s="69"/>
      <c r="E276" s="69"/>
      <c r="F276" s="69"/>
      <c r="G276" s="69"/>
      <c r="H276" s="69"/>
      <c r="I276" s="69"/>
      <c r="J276" s="69"/>
    </row>
    <row r="277" spans="3:10" ht="12.75">
      <c r="C277" s="69"/>
      <c r="D277" s="69"/>
      <c r="E277" s="69"/>
      <c r="F277" s="69"/>
      <c r="G277" s="69"/>
      <c r="H277" s="69"/>
      <c r="I277" s="69"/>
      <c r="J277" s="69"/>
    </row>
    <row r="278" spans="3:10" ht="12.75">
      <c r="C278" s="69"/>
      <c r="D278" s="69"/>
      <c r="E278" s="69"/>
      <c r="F278" s="69"/>
      <c r="G278" s="69"/>
      <c r="H278" s="69"/>
      <c r="I278" s="69"/>
      <c r="J278" s="69"/>
    </row>
    <row r="279" spans="3:10" ht="12.75">
      <c r="C279" s="69"/>
      <c r="D279" s="69"/>
      <c r="E279" s="69"/>
      <c r="F279" s="69"/>
      <c r="G279" s="69"/>
      <c r="H279" s="69"/>
      <c r="I279" s="69"/>
      <c r="J279" s="69"/>
    </row>
    <row r="280" spans="3:10" ht="12.75">
      <c r="C280" s="69"/>
      <c r="D280" s="69"/>
      <c r="E280" s="69"/>
      <c r="F280" s="69"/>
      <c r="G280" s="69"/>
      <c r="H280" s="69"/>
      <c r="I280" s="69"/>
      <c r="J280" s="69"/>
    </row>
    <row r="281" spans="3:10" ht="12.75">
      <c r="C281" s="69"/>
      <c r="D281" s="69"/>
      <c r="E281" s="69"/>
      <c r="F281" s="69"/>
      <c r="G281" s="69"/>
      <c r="H281" s="69"/>
      <c r="I281" s="69"/>
      <c r="J281" s="69"/>
    </row>
    <row r="282" spans="3:10" ht="12.75">
      <c r="C282" s="69"/>
      <c r="D282" s="69"/>
      <c r="E282" s="69"/>
      <c r="F282" s="69"/>
      <c r="G282" s="69"/>
      <c r="H282" s="69"/>
      <c r="I282" s="69"/>
      <c r="J282" s="69"/>
    </row>
    <row r="283" spans="3:10" ht="12.75">
      <c r="C283" s="69"/>
      <c r="D283" s="69"/>
      <c r="E283" s="69"/>
      <c r="F283" s="69"/>
      <c r="G283" s="69"/>
      <c r="H283" s="69"/>
      <c r="I283" s="69"/>
      <c r="J283" s="69"/>
    </row>
    <row r="284" spans="3:10" ht="12.75">
      <c r="C284" s="69"/>
      <c r="D284" s="69"/>
      <c r="E284" s="69"/>
      <c r="F284" s="69"/>
      <c r="G284" s="69"/>
      <c r="H284" s="69"/>
      <c r="I284" s="69"/>
      <c r="J284" s="69"/>
    </row>
    <row r="285" spans="3:10" ht="12.75">
      <c r="C285" s="69"/>
      <c r="D285" s="69"/>
      <c r="E285" s="69"/>
      <c r="F285" s="69"/>
      <c r="G285" s="69"/>
      <c r="H285" s="69"/>
      <c r="I285" s="69"/>
      <c r="J285" s="69"/>
    </row>
    <row r="286" spans="3:10" ht="12.75">
      <c r="C286" s="69"/>
      <c r="D286" s="69"/>
      <c r="E286" s="69"/>
      <c r="F286" s="69"/>
      <c r="G286" s="69"/>
      <c r="H286" s="69"/>
      <c r="I286" s="69"/>
      <c r="J286" s="69"/>
    </row>
    <row r="287" spans="3:10" ht="12.75">
      <c r="C287" s="69"/>
      <c r="D287" s="69"/>
      <c r="E287" s="69"/>
      <c r="F287" s="69"/>
      <c r="G287" s="69"/>
      <c r="H287" s="69"/>
      <c r="I287" s="69"/>
      <c r="J287" s="69"/>
    </row>
    <row r="288" spans="3:10" ht="12.75">
      <c r="C288" s="69"/>
      <c r="D288" s="69"/>
      <c r="E288" s="69"/>
      <c r="F288" s="69"/>
      <c r="G288" s="69"/>
      <c r="H288" s="69"/>
      <c r="I288" s="69"/>
      <c r="J288" s="69"/>
    </row>
    <row r="289" spans="3:10" ht="12.75">
      <c r="C289" s="69"/>
      <c r="D289" s="69"/>
      <c r="E289" s="69"/>
      <c r="F289" s="69"/>
      <c r="G289" s="69"/>
      <c r="H289" s="69"/>
      <c r="I289" s="69"/>
      <c r="J289" s="69"/>
    </row>
    <row r="290" spans="3:10" ht="12.75">
      <c r="C290" s="69"/>
      <c r="D290" s="69"/>
      <c r="E290" s="69"/>
      <c r="F290" s="69"/>
      <c r="G290" s="69"/>
      <c r="H290" s="69"/>
      <c r="I290" s="69"/>
      <c r="J290" s="69"/>
    </row>
    <row r="291" spans="3:10" ht="12.75">
      <c r="C291" s="69"/>
      <c r="D291" s="69"/>
      <c r="E291" s="69"/>
      <c r="F291" s="69"/>
      <c r="G291" s="69"/>
      <c r="H291" s="69"/>
      <c r="I291" s="69"/>
      <c r="J291" s="69"/>
    </row>
    <row r="292" spans="3:10" ht="12.75">
      <c r="C292" s="69"/>
      <c r="D292" s="69"/>
      <c r="E292" s="69"/>
      <c r="F292" s="69"/>
      <c r="G292" s="69"/>
      <c r="H292" s="69"/>
      <c r="I292" s="69"/>
      <c r="J292" s="69"/>
    </row>
    <row r="293" spans="3:10" ht="12.75">
      <c r="C293" s="69"/>
      <c r="D293" s="69"/>
      <c r="E293" s="69"/>
      <c r="F293" s="69"/>
      <c r="G293" s="69"/>
      <c r="H293" s="69"/>
      <c r="I293" s="69"/>
      <c r="J293" s="69"/>
    </row>
    <row r="294" spans="3:10" ht="12.75">
      <c r="C294" s="69"/>
      <c r="D294" s="69"/>
      <c r="E294" s="69"/>
      <c r="F294" s="69"/>
      <c r="G294" s="69"/>
      <c r="H294" s="69"/>
      <c r="I294" s="69"/>
      <c r="J294" s="69"/>
    </row>
    <row r="295" spans="3:10" ht="12.75">
      <c r="C295" s="69"/>
      <c r="D295" s="69"/>
      <c r="E295" s="69"/>
      <c r="F295" s="69"/>
      <c r="G295" s="69"/>
      <c r="H295" s="69"/>
      <c r="I295" s="69"/>
      <c r="J295" s="69"/>
    </row>
    <row r="296" spans="3:10" ht="12.75">
      <c r="C296" s="69"/>
      <c r="D296" s="69"/>
      <c r="E296" s="69"/>
      <c r="F296" s="69"/>
      <c r="G296" s="69"/>
      <c r="H296" s="69"/>
      <c r="I296" s="69"/>
      <c r="J296" s="69"/>
    </row>
    <row r="297" spans="3:10" ht="12.75">
      <c r="C297" s="69"/>
      <c r="D297" s="69"/>
      <c r="E297" s="69"/>
      <c r="F297" s="69"/>
      <c r="G297" s="69"/>
      <c r="H297" s="69"/>
      <c r="I297" s="69"/>
      <c r="J297" s="69"/>
    </row>
    <row r="298" spans="3:10" ht="12.75">
      <c r="C298" s="69"/>
      <c r="D298" s="69"/>
      <c r="E298" s="69"/>
      <c r="F298" s="69"/>
      <c r="G298" s="69"/>
      <c r="H298" s="69"/>
      <c r="I298" s="69"/>
      <c r="J298" s="69"/>
    </row>
    <row r="299" spans="3:10" ht="12.75">
      <c r="C299" s="69"/>
      <c r="D299" s="69"/>
      <c r="E299" s="69"/>
      <c r="F299" s="69"/>
      <c r="G299" s="69"/>
      <c r="H299" s="69"/>
      <c r="I299" s="69"/>
      <c r="J299" s="69"/>
    </row>
    <row r="300" spans="3:10" ht="12.75">
      <c r="C300" s="69"/>
      <c r="D300" s="69"/>
      <c r="E300" s="69"/>
      <c r="F300" s="69"/>
      <c r="G300" s="69"/>
      <c r="H300" s="69"/>
      <c r="I300" s="69"/>
      <c r="J300" s="69"/>
    </row>
    <row r="301" spans="3:10" ht="12.75">
      <c r="C301" s="69"/>
      <c r="D301" s="69"/>
      <c r="E301" s="69"/>
      <c r="F301" s="69"/>
      <c r="G301" s="69"/>
      <c r="H301" s="69"/>
      <c r="I301" s="69"/>
      <c r="J301" s="69"/>
    </row>
    <row r="302" spans="3:10" ht="12.75">
      <c r="C302" s="69"/>
      <c r="D302" s="69"/>
      <c r="E302" s="69"/>
      <c r="F302" s="69"/>
      <c r="G302" s="69"/>
      <c r="H302" s="69"/>
      <c r="I302" s="69"/>
      <c r="J302" s="69"/>
    </row>
    <row r="303" spans="3:10" ht="12.75">
      <c r="C303" s="69"/>
      <c r="D303" s="69"/>
      <c r="E303" s="69"/>
      <c r="F303" s="69"/>
      <c r="G303" s="69"/>
      <c r="H303" s="69"/>
      <c r="I303" s="69"/>
      <c r="J303" s="69"/>
    </row>
    <row r="304" spans="3:10" ht="12.75">
      <c r="C304" s="69"/>
      <c r="D304" s="69"/>
      <c r="E304" s="69"/>
      <c r="F304" s="69"/>
      <c r="G304" s="69"/>
      <c r="H304" s="69"/>
      <c r="I304" s="69"/>
      <c r="J304" s="69"/>
    </row>
    <row r="305" spans="3:10" ht="12.75">
      <c r="C305" s="69"/>
      <c r="D305" s="69"/>
      <c r="E305" s="69"/>
      <c r="F305" s="69"/>
      <c r="G305" s="69"/>
      <c r="H305" s="69"/>
      <c r="I305" s="69"/>
      <c r="J305" s="69"/>
    </row>
    <row r="306" spans="3:10" ht="12.75">
      <c r="C306" s="69"/>
      <c r="D306" s="69"/>
      <c r="E306" s="69"/>
      <c r="F306" s="69"/>
      <c r="G306" s="69"/>
      <c r="H306" s="69"/>
      <c r="I306" s="69"/>
      <c r="J306" s="69"/>
    </row>
    <row r="307" spans="3:10" ht="12.75">
      <c r="C307" s="69"/>
      <c r="D307" s="69"/>
      <c r="E307" s="69"/>
      <c r="F307" s="69"/>
      <c r="G307" s="69"/>
      <c r="H307" s="69"/>
      <c r="I307" s="69"/>
      <c r="J307" s="69"/>
    </row>
    <row r="308" spans="3:10" ht="12.75">
      <c r="C308" s="69"/>
      <c r="D308" s="69"/>
      <c r="E308" s="69"/>
      <c r="F308" s="69"/>
      <c r="G308" s="69"/>
      <c r="H308" s="69"/>
      <c r="I308" s="69"/>
      <c r="J308" s="69"/>
    </row>
    <row r="309" spans="3:10" ht="12.75">
      <c r="C309" s="69"/>
      <c r="D309" s="69"/>
      <c r="E309" s="69"/>
      <c r="F309" s="69"/>
      <c r="G309" s="69"/>
      <c r="H309" s="69"/>
      <c r="I309" s="69"/>
      <c r="J309" s="69"/>
    </row>
    <row r="310" spans="3:10" ht="12.75">
      <c r="C310" s="69"/>
      <c r="D310" s="69"/>
      <c r="E310" s="69"/>
      <c r="F310" s="69"/>
      <c r="G310" s="69"/>
      <c r="H310" s="69"/>
      <c r="I310" s="69"/>
      <c r="J310" s="69"/>
    </row>
    <row r="311" spans="3:10" ht="12.75">
      <c r="C311" s="69"/>
      <c r="D311" s="69"/>
      <c r="E311" s="69"/>
      <c r="F311" s="69"/>
      <c r="G311" s="69"/>
      <c r="H311" s="69"/>
      <c r="I311" s="69"/>
      <c r="J311" s="69"/>
    </row>
    <row r="312" spans="3:10" ht="12.75">
      <c r="C312" s="69"/>
      <c r="D312" s="69"/>
      <c r="E312" s="69"/>
      <c r="F312" s="69"/>
      <c r="G312" s="69"/>
      <c r="H312" s="69"/>
      <c r="I312" s="69"/>
      <c r="J312" s="69"/>
    </row>
    <row r="313" spans="3:10" ht="12.75">
      <c r="C313" s="69"/>
      <c r="D313" s="69"/>
      <c r="E313" s="69"/>
      <c r="F313" s="69"/>
      <c r="G313" s="69"/>
      <c r="H313" s="69"/>
      <c r="I313" s="69"/>
      <c r="J313" s="69"/>
    </row>
    <row r="314" spans="3:10" ht="12.75">
      <c r="C314" s="69"/>
      <c r="D314" s="69"/>
      <c r="E314" s="69"/>
      <c r="F314" s="69"/>
      <c r="G314" s="69"/>
      <c r="H314" s="69"/>
      <c r="I314" s="69"/>
      <c r="J314" s="69"/>
    </row>
    <row r="315" spans="3:10" ht="12.75">
      <c r="C315" s="69"/>
      <c r="D315" s="69"/>
      <c r="E315" s="69"/>
      <c r="F315" s="69"/>
      <c r="G315" s="69"/>
      <c r="H315" s="69"/>
      <c r="I315" s="69"/>
      <c r="J315" s="69"/>
    </row>
    <row r="316" spans="3:10" ht="12.75">
      <c r="C316" s="69"/>
      <c r="D316" s="69"/>
      <c r="E316" s="69"/>
      <c r="F316" s="69"/>
      <c r="G316" s="69"/>
      <c r="H316" s="69"/>
      <c r="I316" s="69"/>
      <c r="J316" s="69"/>
    </row>
    <row r="317" spans="3:10" ht="12.75">
      <c r="C317" s="69"/>
      <c r="D317" s="69"/>
      <c r="E317" s="69"/>
      <c r="F317" s="69"/>
      <c r="G317" s="69"/>
      <c r="H317" s="69"/>
      <c r="I317" s="69"/>
      <c r="J317" s="69"/>
    </row>
    <row r="318" spans="3:10" ht="12.75">
      <c r="C318" s="69"/>
      <c r="D318" s="69"/>
      <c r="E318" s="69"/>
      <c r="F318" s="69"/>
      <c r="G318" s="69"/>
      <c r="H318" s="69"/>
      <c r="I318" s="69"/>
      <c r="J318" s="69"/>
    </row>
    <row r="319" spans="3:10" ht="12.75">
      <c r="C319" s="69"/>
      <c r="D319" s="69"/>
      <c r="E319" s="69"/>
      <c r="F319" s="69"/>
      <c r="G319" s="69"/>
      <c r="H319" s="69"/>
      <c r="I319" s="69"/>
      <c r="J319" s="69"/>
    </row>
    <row r="320" spans="3:10" ht="12.75">
      <c r="C320" s="69"/>
      <c r="D320" s="69"/>
      <c r="E320" s="69"/>
      <c r="F320" s="69"/>
      <c r="G320" s="69"/>
      <c r="H320" s="69"/>
      <c r="I320" s="69"/>
      <c r="J320" s="69"/>
    </row>
    <row r="321" spans="3:10" ht="12.75">
      <c r="C321" s="69"/>
      <c r="D321" s="69"/>
      <c r="E321" s="69"/>
      <c r="F321" s="69"/>
      <c r="G321" s="69"/>
      <c r="H321" s="69"/>
      <c r="I321" s="69"/>
      <c r="J321" s="69"/>
    </row>
    <row r="322" spans="3:10" ht="12.75">
      <c r="C322" s="69"/>
      <c r="D322" s="69"/>
      <c r="E322" s="69"/>
      <c r="F322" s="69"/>
      <c r="G322" s="69"/>
      <c r="H322" s="69"/>
      <c r="I322" s="69"/>
      <c r="J322" s="69"/>
    </row>
    <row r="323" spans="3:10" ht="12.75">
      <c r="C323" s="69"/>
      <c r="D323" s="69"/>
      <c r="E323" s="69"/>
      <c r="F323" s="69"/>
      <c r="G323" s="69"/>
      <c r="H323" s="69"/>
      <c r="I323" s="69"/>
      <c r="J323" s="69"/>
    </row>
    <row r="324" spans="3:10" ht="12.75">
      <c r="C324" s="69"/>
      <c r="D324" s="69"/>
      <c r="E324" s="69"/>
      <c r="F324" s="69"/>
      <c r="G324" s="69"/>
      <c r="H324" s="69"/>
      <c r="I324" s="69"/>
      <c r="J324" s="69"/>
    </row>
    <row r="325" spans="3:10" ht="12.75">
      <c r="C325" s="69"/>
      <c r="D325" s="69"/>
      <c r="E325" s="69"/>
      <c r="F325" s="69"/>
      <c r="G325" s="69"/>
      <c r="H325" s="69"/>
      <c r="I325" s="69"/>
      <c r="J325" s="69"/>
    </row>
    <row r="326" spans="3:10" ht="12.75">
      <c r="C326" s="69"/>
      <c r="D326" s="69"/>
      <c r="E326" s="69"/>
      <c r="F326" s="69"/>
      <c r="G326" s="69"/>
      <c r="H326" s="69"/>
      <c r="I326" s="69"/>
      <c r="J326" s="69"/>
    </row>
    <row r="327" spans="3:10" ht="12.75">
      <c r="C327" s="69"/>
      <c r="D327" s="69"/>
      <c r="E327" s="69"/>
      <c r="F327" s="69"/>
      <c r="G327" s="69"/>
      <c r="H327" s="69"/>
      <c r="I327" s="69"/>
      <c r="J327" s="69"/>
    </row>
    <row r="328" spans="3:10" ht="12.75">
      <c r="C328" s="69"/>
      <c r="D328" s="69"/>
      <c r="E328" s="69"/>
      <c r="F328" s="69"/>
      <c r="G328" s="69"/>
      <c r="H328" s="69"/>
      <c r="I328" s="69"/>
      <c r="J328" s="69"/>
    </row>
    <row r="329" spans="3:10" ht="12.75">
      <c r="C329" s="69"/>
      <c r="D329" s="69"/>
      <c r="E329" s="69"/>
      <c r="F329" s="69"/>
      <c r="G329" s="69"/>
      <c r="H329" s="69"/>
      <c r="I329" s="69"/>
      <c r="J329" s="69"/>
    </row>
    <row r="330" spans="3:10" ht="12.75">
      <c r="C330" s="69"/>
      <c r="D330" s="69"/>
      <c r="E330" s="69"/>
      <c r="F330" s="69"/>
      <c r="G330" s="69"/>
      <c r="H330" s="69"/>
      <c r="I330" s="69"/>
      <c r="J330" s="69"/>
    </row>
    <row r="331" spans="3:10" ht="12.75">
      <c r="C331" s="69"/>
      <c r="D331" s="69"/>
      <c r="E331" s="69"/>
      <c r="F331" s="69"/>
      <c r="G331" s="69"/>
      <c r="H331" s="69"/>
      <c r="I331" s="69"/>
      <c r="J331" s="69"/>
    </row>
    <row r="332" spans="3:10" ht="12.75">
      <c r="C332" s="69"/>
      <c r="D332" s="69"/>
      <c r="E332" s="69"/>
      <c r="F332" s="69"/>
      <c r="G332" s="69"/>
      <c r="H332" s="69"/>
      <c r="I332" s="69"/>
      <c r="J332" s="69"/>
    </row>
    <row r="333" spans="3:10" ht="12.75">
      <c r="C333" s="69"/>
      <c r="D333" s="69"/>
      <c r="E333" s="69"/>
      <c r="F333" s="69"/>
      <c r="G333" s="69"/>
      <c r="H333" s="69"/>
      <c r="I333" s="69"/>
      <c r="J333" s="69"/>
    </row>
    <row r="334" spans="3:10" ht="12.75">
      <c r="C334" s="69"/>
      <c r="D334" s="69"/>
      <c r="E334" s="69"/>
      <c r="F334" s="69"/>
      <c r="G334" s="69"/>
      <c r="H334" s="69"/>
      <c r="I334" s="69"/>
      <c r="J334" s="69"/>
    </row>
    <row r="335" spans="3:10" ht="12.75">
      <c r="C335" s="69"/>
      <c r="D335" s="69"/>
      <c r="E335" s="69"/>
      <c r="F335" s="69"/>
      <c r="G335" s="69"/>
      <c r="H335" s="69"/>
      <c r="I335" s="69"/>
      <c r="J335" s="69"/>
    </row>
    <row r="336" spans="3:10" ht="12.75">
      <c r="C336" s="69"/>
      <c r="D336" s="69"/>
      <c r="E336" s="69"/>
      <c r="F336" s="69"/>
      <c r="G336" s="69"/>
      <c r="H336" s="69"/>
      <c r="I336" s="69"/>
      <c r="J336" s="69"/>
    </row>
    <row r="337" spans="3:10" ht="12.75">
      <c r="C337" s="69"/>
      <c r="D337" s="69"/>
      <c r="E337" s="69"/>
      <c r="F337" s="69"/>
      <c r="G337" s="69"/>
      <c r="H337" s="69"/>
      <c r="I337" s="69"/>
      <c r="J337" s="69"/>
    </row>
    <row r="338" spans="3:10" ht="12.75">
      <c r="C338" s="69"/>
      <c r="D338" s="69"/>
      <c r="E338" s="69"/>
      <c r="F338" s="69"/>
      <c r="G338" s="69"/>
      <c r="H338" s="69"/>
      <c r="I338" s="69"/>
      <c r="J338" s="69"/>
    </row>
    <row r="339" spans="3:10" ht="12.75">
      <c r="C339" s="69"/>
      <c r="D339" s="69"/>
      <c r="E339" s="69"/>
      <c r="F339" s="69"/>
      <c r="G339" s="69"/>
      <c r="H339" s="69"/>
      <c r="I339" s="69"/>
      <c r="J339" s="69"/>
    </row>
    <row r="340" spans="3:10" ht="12.75">
      <c r="C340" s="69"/>
      <c r="D340" s="69"/>
      <c r="E340" s="69"/>
      <c r="F340" s="69"/>
      <c r="G340" s="69"/>
      <c r="H340" s="69"/>
      <c r="I340" s="69"/>
      <c r="J340" s="69"/>
    </row>
    <row r="341" spans="3:10" ht="12.75">
      <c r="C341" s="69"/>
      <c r="D341" s="69"/>
      <c r="E341" s="69"/>
      <c r="F341" s="69"/>
      <c r="G341" s="69"/>
      <c r="H341" s="69"/>
      <c r="I341" s="69"/>
      <c r="J341" s="69"/>
    </row>
    <row r="342" spans="3:10" ht="12.75">
      <c r="C342" s="69"/>
      <c r="D342" s="69"/>
      <c r="E342" s="69"/>
      <c r="F342" s="69"/>
      <c r="G342" s="69"/>
      <c r="H342" s="69"/>
      <c r="I342" s="69"/>
      <c r="J342" s="69"/>
    </row>
    <row r="343" spans="3:10" ht="12.75">
      <c r="C343" s="69"/>
      <c r="D343" s="69"/>
      <c r="E343" s="69"/>
      <c r="F343" s="69"/>
      <c r="G343" s="69"/>
      <c r="H343" s="69"/>
      <c r="I343" s="69"/>
      <c r="J343" s="69"/>
    </row>
    <row r="344" spans="3:10" ht="12.75">
      <c r="C344" s="69"/>
      <c r="D344" s="69"/>
      <c r="E344" s="69"/>
      <c r="F344" s="69"/>
      <c r="G344" s="69"/>
      <c r="H344" s="69"/>
      <c r="I344" s="69"/>
      <c r="J344" s="69"/>
    </row>
    <row r="345" spans="3:10" ht="12.75">
      <c r="C345" s="69"/>
      <c r="D345" s="69"/>
      <c r="E345" s="69"/>
      <c r="F345" s="69"/>
      <c r="G345" s="69"/>
      <c r="H345" s="69"/>
      <c r="I345" s="69"/>
      <c r="J345" s="69"/>
    </row>
    <row r="346" spans="3:10" ht="12.75">
      <c r="C346" s="69"/>
      <c r="D346" s="69"/>
      <c r="E346" s="69"/>
      <c r="F346" s="69"/>
      <c r="G346" s="69"/>
      <c r="H346" s="69"/>
      <c r="I346" s="69"/>
      <c r="J346" s="69"/>
    </row>
    <row r="347" spans="3:10" ht="12.75">
      <c r="C347" s="69"/>
      <c r="D347" s="69"/>
      <c r="E347" s="69"/>
      <c r="F347" s="69"/>
      <c r="G347" s="69"/>
      <c r="H347" s="69"/>
      <c r="I347" s="69"/>
      <c r="J347" s="69"/>
    </row>
    <row r="348" spans="3:10" ht="12.75">
      <c r="C348" s="69"/>
      <c r="D348" s="69"/>
      <c r="E348" s="69"/>
      <c r="F348" s="69"/>
      <c r="G348" s="69"/>
      <c r="H348" s="69"/>
      <c r="I348" s="69"/>
      <c r="J348" s="69"/>
    </row>
    <row r="349" spans="3:10" ht="12.75">
      <c r="C349" s="69"/>
      <c r="D349" s="69"/>
      <c r="E349" s="69"/>
      <c r="F349" s="69"/>
      <c r="G349" s="69"/>
      <c r="H349" s="69"/>
      <c r="I349" s="69"/>
      <c r="J349" s="69"/>
    </row>
    <row r="350" spans="3:10" ht="12.75">
      <c r="C350" s="69"/>
      <c r="D350" s="69"/>
      <c r="E350" s="69"/>
      <c r="F350" s="69"/>
      <c r="G350" s="69"/>
      <c r="H350" s="69"/>
      <c r="I350" s="69"/>
      <c r="J350" s="69"/>
    </row>
    <row r="351" spans="3:10" ht="12.75">
      <c r="C351" s="69"/>
      <c r="D351" s="69"/>
      <c r="E351" s="69"/>
      <c r="F351" s="69"/>
      <c r="G351" s="69"/>
      <c r="H351" s="69"/>
      <c r="I351" s="69"/>
      <c r="J351" s="69"/>
    </row>
    <row r="352" spans="3:10" ht="12.75">
      <c r="C352" s="69"/>
      <c r="D352" s="69"/>
      <c r="E352" s="69"/>
      <c r="F352" s="69"/>
      <c r="G352" s="69"/>
      <c r="H352" s="69"/>
      <c r="I352" s="69"/>
      <c r="J352" s="69"/>
    </row>
    <row r="353" spans="3:10" ht="12.75">
      <c r="C353" s="69"/>
      <c r="D353" s="69"/>
      <c r="E353" s="69"/>
      <c r="F353" s="69"/>
      <c r="G353" s="69"/>
      <c r="H353" s="69"/>
      <c r="I353" s="69"/>
      <c r="J353" s="69"/>
    </row>
    <row r="354" spans="3:10" ht="12.75">
      <c r="C354" s="69"/>
      <c r="D354" s="69"/>
      <c r="E354" s="69"/>
      <c r="F354" s="69"/>
      <c r="G354" s="69"/>
      <c r="H354" s="69"/>
      <c r="I354" s="69"/>
      <c r="J354" s="69"/>
    </row>
    <row r="355" spans="3:10" ht="12.75">
      <c r="C355" s="69"/>
      <c r="D355" s="69"/>
      <c r="E355" s="69"/>
      <c r="F355" s="69"/>
      <c r="G355" s="69"/>
      <c r="H355" s="69"/>
      <c r="I355" s="69"/>
      <c r="J355" s="69"/>
    </row>
    <row r="356" spans="3:10" ht="12.75">
      <c r="C356" s="69"/>
      <c r="D356" s="69"/>
      <c r="E356" s="69"/>
      <c r="F356" s="69"/>
      <c r="G356" s="69"/>
      <c r="H356" s="69"/>
      <c r="I356" s="69"/>
      <c r="J356" s="69"/>
    </row>
    <row r="357" spans="3:10" ht="12.75">
      <c r="C357" s="69"/>
      <c r="D357" s="69"/>
      <c r="E357" s="69"/>
      <c r="F357" s="69"/>
      <c r="G357" s="69"/>
      <c r="H357" s="69"/>
      <c r="I357" s="69"/>
      <c r="J357" s="69"/>
    </row>
    <row r="358" spans="3:10" ht="12.75">
      <c r="C358" s="69"/>
      <c r="D358" s="69"/>
      <c r="E358" s="69"/>
      <c r="F358" s="69"/>
      <c r="G358" s="69"/>
      <c r="H358" s="69"/>
      <c r="I358" s="69"/>
      <c r="J358" s="69"/>
    </row>
    <row r="359" spans="3:10" ht="12.75">
      <c r="C359" s="69"/>
      <c r="D359" s="69"/>
      <c r="E359" s="69"/>
      <c r="F359" s="69"/>
      <c r="G359" s="69"/>
      <c r="H359" s="69"/>
      <c r="I359" s="69"/>
      <c r="J359" s="69"/>
    </row>
    <row r="360" spans="3:10" ht="12.75">
      <c r="C360" s="69"/>
      <c r="D360" s="69"/>
      <c r="E360" s="69"/>
      <c r="F360" s="69"/>
      <c r="G360" s="69"/>
      <c r="H360" s="69"/>
      <c r="I360" s="69"/>
      <c r="J360" s="69"/>
    </row>
    <row r="361" spans="3:10" ht="12.75">
      <c r="C361" s="69"/>
      <c r="D361" s="69"/>
      <c r="E361" s="69"/>
      <c r="F361" s="69"/>
      <c r="G361" s="69"/>
      <c r="H361" s="69"/>
      <c r="I361" s="69"/>
      <c r="J361" s="69"/>
    </row>
    <row r="362" spans="3:10" ht="12.75">
      <c r="C362" s="69"/>
      <c r="D362" s="69"/>
      <c r="E362" s="69"/>
      <c r="F362" s="69"/>
      <c r="G362" s="69"/>
      <c r="H362" s="69"/>
      <c r="I362" s="69"/>
      <c r="J362" s="69"/>
    </row>
    <row r="363" spans="3:10" ht="12.75">
      <c r="C363" s="69"/>
      <c r="D363" s="69"/>
      <c r="E363" s="69"/>
      <c r="F363" s="69"/>
      <c r="G363" s="69"/>
      <c r="H363" s="69"/>
      <c r="I363" s="69"/>
      <c r="J363" s="69"/>
    </row>
    <row r="364" spans="3:10" ht="12.75">
      <c r="C364" s="69"/>
      <c r="D364" s="69"/>
      <c r="E364" s="69"/>
      <c r="F364" s="69"/>
      <c r="G364" s="69"/>
      <c r="H364" s="69"/>
      <c r="I364" s="69"/>
      <c r="J364" s="69"/>
    </row>
    <row r="365" spans="3:10" ht="12.75">
      <c r="C365" s="69"/>
      <c r="D365" s="69"/>
      <c r="E365" s="69"/>
      <c r="F365" s="69"/>
      <c r="G365" s="69"/>
      <c r="H365" s="69"/>
      <c r="I365" s="69"/>
      <c r="J365" s="69"/>
    </row>
    <row r="366" spans="3:10" ht="12.75">
      <c r="C366" s="69"/>
      <c r="D366" s="69"/>
      <c r="E366" s="69"/>
      <c r="F366" s="69"/>
      <c r="G366" s="69"/>
      <c r="H366" s="69"/>
      <c r="I366" s="69"/>
      <c r="J366" s="69"/>
    </row>
    <row r="367" spans="3:10" ht="12.75">
      <c r="C367" s="69"/>
      <c r="D367" s="69"/>
      <c r="E367" s="69"/>
      <c r="F367" s="69"/>
      <c r="G367" s="69"/>
      <c r="H367" s="69"/>
      <c r="I367" s="69"/>
      <c r="J367" s="69"/>
    </row>
    <row r="368" spans="3:10" ht="12.75">
      <c r="C368" s="69"/>
      <c r="D368" s="69"/>
      <c r="E368" s="69"/>
      <c r="F368" s="69"/>
      <c r="G368" s="69"/>
      <c r="H368" s="69"/>
      <c r="I368" s="69"/>
      <c r="J368" s="69"/>
    </row>
    <row r="369" spans="3:10" ht="12.75">
      <c r="C369" s="69"/>
      <c r="D369" s="69"/>
      <c r="E369" s="69"/>
      <c r="F369" s="69"/>
      <c r="G369" s="69"/>
      <c r="H369" s="69"/>
      <c r="I369" s="69"/>
      <c r="J369" s="69"/>
    </row>
    <row r="370" spans="3:10" ht="12.75">
      <c r="C370" s="69"/>
      <c r="D370" s="69"/>
      <c r="E370" s="69"/>
      <c r="F370" s="69"/>
      <c r="G370" s="69"/>
      <c r="H370" s="69"/>
      <c r="I370" s="69"/>
      <c r="J370" s="69"/>
    </row>
    <row r="371" spans="3:10" ht="12.75">
      <c r="C371" s="69"/>
      <c r="D371" s="69"/>
      <c r="E371" s="69"/>
      <c r="F371" s="69"/>
      <c r="G371" s="69"/>
      <c r="H371" s="69"/>
      <c r="I371" s="69"/>
      <c r="J371" s="69"/>
    </row>
    <row r="372" spans="3:10" ht="12.75">
      <c r="C372" s="69"/>
      <c r="D372" s="69"/>
      <c r="E372" s="69"/>
      <c r="F372" s="69"/>
      <c r="G372" s="69"/>
      <c r="H372" s="69"/>
      <c r="I372" s="69"/>
      <c r="J372" s="69"/>
    </row>
    <row r="373" spans="3:10" ht="12.75">
      <c r="C373" s="69"/>
      <c r="D373" s="69"/>
      <c r="E373" s="69"/>
      <c r="F373" s="69"/>
      <c r="G373" s="69"/>
      <c r="H373" s="69"/>
      <c r="I373" s="69"/>
      <c r="J373" s="69"/>
    </row>
    <row r="374" spans="3:10" ht="12.75">
      <c r="C374" s="69"/>
      <c r="D374" s="69"/>
      <c r="E374" s="69"/>
      <c r="F374" s="69"/>
      <c r="G374" s="69"/>
      <c r="H374" s="69"/>
      <c r="I374" s="69"/>
      <c r="J374" s="69"/>
    </row>
    <row r="375" spans="3:10" ht="12.75">
      <c r="C375" s="69"/>
      <c r="D375" s="69"/>
      <c r="E375" s="69"/>
      <c r="F375" s="69"/>
      <c r="G375" s="69"/>
      <c r="H375" s="69"/>
      <c r="I375" s="69"/>
      <c r="J375" s="69"/>
    </row>
    <row r="376" spans="3:10" ht="12.75">
      <c r="C376" s="69"/>
      <c r="D376" s="69"/>
      <c r="E376" s="69"/>
      <c r="F376" s="69"/>
      <c r="G376" s="69"/>
      <c r="H376" s="69"/>
      <c r="I376" s="69"/>
      <c r="J376" s="69"/>
    </row>
    <row r="377" spans="3:10" ht="12.75">
      <c r="C377" s="69"/>
      <c r="D377" s="69"/>
      <c r="E377" s="69"/>
      <c r="F377" s="69"/>
      <c r="G377" s="69"/>
      <c r="H377" s="69"/>
      <c r="I377" s="69"/>
      <c r="J377" s="69"/>
    </row>
    <row r="378" spans="3:10" ht="12.75">
      <c r="C378" s="69"/>
      <c r="D378" s="69"/>
      <c r="E378" s="69"/>
      <c r="F378" s="69"/>
      <c r="G378" s="69"/>
      <c r="H378" s="69"/>
      <c r="I378" s="69"/>
      <c r="J378" s="69"/>
    </row>
    <row r="379" spans="3:10" ht="12.75">
      <c r="C379" s="69"/>
      <c r="D379" s="69"/>
      <c r="E379" s="69"/>
      <c r="F379" s="69"/>
      <c r="G379" s="69"/>
      <c r="H379" s="69"/>
      <c r="I379" s="69"/>
      <c r="J379" s="69"/>
    </row>
    <row r="380" spans="3:10" ht="12.75">
      <c r="C380" s="69"/>
      <c r="D380" s="69"/>
      <c r="E380" s="69"/>
      <c r="F380" s="69"/>
      <c r="G380" s="69"/>
      <c r="H380" s="69"/>
      <c r="I380" s="69"/>
      <c r="J380" s="69"/>
    </row>
    <row r="381" spans="3:10" ht="12.75">
      <c r="C381" s="69"/>
      <c r="D381" s="69"/>
      <c r="E381" s="69"/>
      <c r="F381" s="69"/>
      <c r="G381" s="69"/>
      <c r="H381" s="69"/>
      <c r="I381" s="69"/>
      <c r="J381" s="69"/>
    </row>
    <row r="382" spans="3:10" ht="12.75">
      <c r="C382" s="69"/>
      <c r="D382" s="69"/>
      <c r="E382" s="69"/>
      <c r="F382" s="69"/>
      <c r="G382" s="69"/>
      <c r="H382" s="69"/>
      <c r="I382" s="69"/>
      <c r="J382" s="69"/>
    </row>
    <row r="383" spans="3:10" ht="12.75">
      <c r="C383" s="69"/>
      <c r="D383" s="69"/>
      <c r="E383" s="69"/>
      <c r="F383" s="69"/>
      <c r="G383" s="69"/>
      <c r="H383" s="69"/>
      <c r="I383" s="69"/>
      <c r="J383" s="69"/>
    </row>
    <row r="384" spans="3:10" ht="12.75">
      <c r="C384" s="69"/>
      <c r="D384" s="69"/>
      <c r="E384" s="69"/>
      <c r="F384" s="69"/>
      <c r="G384" s="69"/>
      <c r="H384" s="69"/>
      <c r="I384" s="69"/>
      <c r="J384" s="69"/>
    </row>
    <row r="385" spans="3:10" ht="12.75">
      <c r="C385" s="69"/>
      <c r="D385" s="69"/>
      <c r="E385" s="69"/>
      <c r="F385" s="69"/>
      <c r="G385" s="69"/>
      <c r="H385" s="69"/>
      <c r="I385" s="69"/>
      <c r="J385" s="69"/>
    </row>
    <row r="386" spans="3:10" ht="12.75">
      <c r="C386" s="69"/>
      <c r="D386" s="69"/>
      <c r="E386" s="69"/>
      <c r="F386" s="69"/>
      <c r="G386" s="69"/>
      <c r="H386" s="69"/>
      <c r="I386" s="69"/>
      <c r="J386" s="69"/>
    </row>
    <row r="387" spans="3:10" ht="12.75">
      <c r="C387" s="69"/>
      <c r="D387" s="69"/>
      <c r="E387" s="69"/>
      <c r="F387" s="69"/>
      <c r="G387" s="69"/>
      <c r="H387" s="69"/>
      <c r="I387" s="69"/>
      <c r="J387" s="69"/>
    </row>
    <row r="388" spans="3:10" ht="12.75">
      <c r="C388" s="69"/>
      <c r="D388" s="69"/>
      <c r="E388" s="69"/>
      <c r="F388" s="69"/>
      <c r="G388" s="69"/>
      <c r="H388" s="69"/>
      <c r="I388" s="69"/>
      <c r="J388" s="69"/>
    </row>
    <row r="389" spans="3:10" ht="12.75">
      <c r="C389" s="69"/>
      <c r="D389" s="69"/>
      <c r="E389" s="69"/>
      <c r="F389" s="69"/>
      <c r="G389" s="69"/>
      <c r="H389" s="69"/>
      <c r="I389" s="69"/>
      <c r="J389" s="69"/>
    </row>
    <row r="390" spans="3:10" ht="12.75">
      <c r="C390" s="69"/>
      <c r="D390" s="69"/>
      <c r="E390" s="69"/>
      <c r="F390" s="69"/>
      <c r="G390" s="69"/>
      <c r="H390" s="69"/>
      <c r="I390" s="69"/>
      <c r="J390" s="69"/>
    </row>
    <row r="391" spans="3:10" ht="12.75">
      <c r="C391" s="69"/>
      <c r="D391" s="69"/>
      <c r="E391" s="69"/>
      <c r="F391" s="69"/>
      <c r="G391" s="69"/>
      <c r="H391" s="69"/>
      <c r="I391" s="69"/>
      <c r="J391" s="69"/>
    </row>
    <row r="392" spans="3:10" ht="12.75">
      <c r="C392" s="69"/>
      <c r="D392" s="69"/>
      <c r="E392" s="69"/>
      <c r="F392" s="69"/>
      <c r="G392" s="69"/>
      <c r="H392" s="69"/>
      <c r="I392" s="69"/>
      <c r="J392" s="69"/>
    </row>
    <row r="393" spans="3:10" ht="12.75">
      <c r="C393" s="69"/>
      <c r="D393" s="69"/>
      <c r="E393" s="69"/>
      <c r="F393" s="69"/>
      <c r="G393" s="69"/>
      <c r="H393" s="69"/>
      <c r="I393" s="69"/>
      <c r="J393" s="69"/>
    </row>
    <row r="394" spans="3:10" ht="12.75">
      <c r="C394" s="69"/>
      <c r="D394" s="69"/>
      <c r="E394" s="69"/>
      <c r="F394" s="69"/>
      <c r="G394" s="69"/>
      <c r="H394" s="69"/>
      <c r="I394" s="69"/>
      <c r="J394" s="69"/>
    </row>
    <row r="395" spans="3:10" ht="12.75">
      <c r="C395" s="69"/>
      <c r="D395" s="69"/>
      <c r="E395" s="69"/>
      <c r="F395" s="69"/>
      <c r="G395" s="69"/>
      <c r="H395" s="69"/>
      <c r="I395" s="69"/>
      <c r="J395" s="69"/>
    </row>
    <row r="396" spans="3:10" ht="12.75">
      <c r="C396" s="69"/>
      <c r="D396" s="69"/>
      <c r="E396" s="69"/>
      <c r="F396" s="69"/>
      <c r="G396" s="69"/>
      <c r="H396" s="69"/>
      <c r="I396" s="69"/>
      <c r="J396" s="69"/>
    </row>
    <row r="397" spans="3:10" ht="12.75">
      <c r="C397" s="69"/>
      <c r="D397" s="69"/>
      <c r="E397" s="69"/>
      <c r="F397" s="69"/>
      <c r="G397" s="69"/>
      <c r="H397" s="69"/>
      <c r="I397" s="69"/>
      <c r="J397" s="69"/>
    </row>
    <row r="398" spans="3:10" ht="12.75">
      <c r="C398" s="69"/>
      <c r="D398" s="69"/>
      <c r="E398" s="69"/>
      <c r="F398" s="69"/>
      <c r="G398" s="69"/>
      <c r="H398" s="69"/>
      <c r="I398" s="69"/>
      <c r="J398" s="69"/>
    </row>
    <row r="399" spans="3:10" ht="12.75">
      <c r="C399" s="69"/>
      <c r="D399" s="69"/>
      <c r="E399" s="69"/>
      <c r="F399" s="69"/>
      <c r="G399" s="69"/>
      <c r="H399" s="69"/>
      <c r="I399" s="69"/>
      <c r="J399" s="69"/>
    </row>
    <row r="400" spans="3:10" ht="12.75">
      <c r="C400" s="69"/>
      <c r="D400" s="69"/>
      <c r="E400" s="69"/>
      <c r="F400" s="69"/>
      <c r="G400" s="69"/>
      <c r="H400" s="69"/>
      <c r="I400" s="69"/>
      <c r="J400" s="69"/>
    </row>
    <row r="401" spans="3:10" ht="12.75">
      <c r="C401" s="69"/>
      <c r="D401" s="69"/>
      <c r="E401" s="69"/>
      <c r="F401" s="69"/>
      <c r="G401" s="69"/>
      <c r="H401" s="69"/>
      <c r="I401" s="69"/>
      <c r="J401" s="69"/>
    </row>
    <row r="402" spans="3:10" ht="12.75">
      <c r="C402" s="69"/>
      <c r="D402" s="69"/>
      <c r="E402" s="69"/>
      <c r="F402" s="69"/>
      <c r="G402" s="69"/>
      <c r="H402" s="69"/>
      <c r="I402" s="69"/>
      <c r="J402" s="69"/>
    </row>
    <row r="403" spans="3:10" ht="12.75">
      <c r="C403" s="69"/>
      <c r="D403" s="69"/>
      <c r="E403" s="69"/>
      <c r="F403" s="69"/>
      <c r="G403" s="69"/>
      <c r="H403" s="69"/>
      <c r="I403" s="69"/>
      <c r="J403" s="69"/>
    </row>
    <row r="404" spans="3:10" ht="12.75">
      <c r="C404" s="69"/>
      <c r="D404" s="69"/>
      <c r="E404" s="69"/>
      <c r="F404" s="69"/>
      <c r="G404" s="69"/>
      <c r="H404" s="69"/>
      <c r="I404" s="69"/>
      <c r="J404" s="69"/>
    </row>
    <row r="405" spans="3:10" ht="12.75">
      <c r="C405" s="69"/>
      <c r="D405" s="69"/>
      <c r="E405" s="69"/>
      <c r="F405" s="69"/>
      <c r="G405" s="69"/>
      <c r="H405" s="69"/>
      <c r="I405" s="69"/>
      <c r="J405" s="69"/>
    </row>
    <row r="406" spans="3:10" ht="12.75">
      <c r="C406" s="69"/>
      <c r="D406" s="69"/>
      <c r="E406" s="69"/>
      <c r="F406" s="69"/>
      <c r="G406" s="69"/>
      <c r="H406" s="69"/>
      <c r="I406" s="69"/>
      <c r="J406" s="69"/>
    </row>
    <row r="407" spans="3:10" ht="12.75">
      <c r="C407" s="69"/>
      <c r="D407" s="69"/>
      <c r="E407" s="69"/>
      <c r="F407" s="69"/>
      <c r="G407" s="69"/>
      <c r="H407" s="69"/>
      <c r="I407" s="69"/>
      <c r="J407" s="69"/>
    </row>
    <row r="408" spans="3:10" ht="12.75">
      <c r="C408" s="69"/>
      <c r="D408" s="69"/>
      <c r="E408" s="69"/>
      <c r="F408" s="69"/>
      <c r="G408" s="69"/>
      <c r="H408" s="69"/>
      <c r="I408" s="69"/>
      <c r="J408" s="69"/>
    </row>
    <row r="409" spans="3:10" ht="12.75">
      <c r="C409" s="69"/>
      <c r="D409" s="69"/>
      <c r="E409" s="69"/>
      <c r="F409" s="69"/>
      <c r="G409" s="69"/>
      <c r="H409" s="69"/>
      <c r="I409" s="69"/>
      <c r="J409" s="69"/>
    </row>
    <row r="410" spans="3:10" ht="12.75">
      <c r="C410" s="69"/>
      <c r="D410" s="69"/>
      <c r="E410" s="69"/>
      <c r="F410" s="69"/>
      <c r="G410" s="69"/>
      <c r="H410" s="69"/>
      <c r="I410" s="69"/>
      <c r="J410" s="69"/>
    </row>
    <row r="411" spans="3:10" ht="12.75">
      <c r="C411" s="69"/>
      <c r="D411" s="69"/>
      <c r="E411" s="69"/>
      <c r="F411" s="69"/>
      <c r="G411" s="69"/>
      <c r="H411" s="69"/>
      <c r="I411" s="69"/>
      <c r="J411" s="69"/>
    </row>
    <row r="412" spans="3:10" ht="12.75">
      <c r="C412" s="69"/>
      <c r="D412" s="69"/>
      <c r="E412" s="69"/>
      <c r="F412" s="69"/>
      <c r="G412" s="69"/>
      <c r="H412" s="69"/>
      <c r="I412" s="69"/>
      <c r="J412" s="69"/>
    </row>
    <row r="413" spans="3:10" ht="12.75">
      <c r="C413" s="69"/>
      <c r="D413" s="69"/>
      <c r="E413" s="69"/>
      <c r="F413" s="69"/>
      <c r="G413" s="69"/>
      <c r="H413" s="69"/>
      <c r="I413" s="69"/>
      <c r="J413" s="69"/>
    </row>
    <row r="414" spans="3:10" ht="12.75">
      <c r="C414" s="69"/>
      <c r="D414" s="69"/>
      <c r="E414" s="69"/>
      <c r="F414" s="69"/>
      <c r="G414" s="69"/>
      <c r="H414" s="69"/>
      <c r="I414" s="69"/>
      <c r="J414" s="69"/>
    </row>
    <row r="415" spans="3:10" ht="12.75">
      <c r="C415" s="69"/>
      <c r="D415" s="69"/>
      <c r="E415" s="69"/>
      <c r="F415" s="69"/>
      <c r="G415" s="69"/>
      <c r="H415" s="69"/>
      <c r="I415" s="69"/>
      <c r="J415" s="69"/>
    </row>
    <row r="416" spans="3:10" ht="12.75">
      <c r="C416" s="69"/>
      <c r="D416" s="69"/>
      <c r="E416" s="69"/>
      <c r="F416" s="69"/>
      <c r="G416" s="69"/>
      <c r="H416" s="69"/>
      <c r="I416" s="69"/>
      <c r="J416" s="69"/>
    </row>
    <row r="417" spans="3:10" ht="12.75">
      <c r="C417" s="69"/>
      <c r="D417" s="69"/>
      <c r="E417" s="69"/>
      <c r="F417" s="69"/>
      <c r="G417" s="69"/>
      <c r="H417" s="69"/>
      <c r="I417" s="69"/>
      <c r="J417" s="69"/>
    </row>
    <row r="418" spans="3:10" ht="12.75">
      <c r="C418" s="69"/>
      <c r="D418" s="69"/>
      <c r="E418" s="69"/>
      <c r="F418" s="69"/>
      <c r="G418" s="69"/>
      <c r="H418" s="69"/>
      <c r="I418" s="69"/>
      <c r="J418" s="69"/>
    </row>
    <row r="419" spans="3:10" ht="12.75">
      <c r="C419" s="69"/>
      <c r="D419" s="69"/>
      <c r="E419" s="69"/>
      <c r="F419" s="69"/>
      <c r="G419" s="69"/>
      <c r="H419" s="69"/>
      <c r="I419" s="69"/>
      <c r="J419" s="69"/>
    </row>
    <row r="420" spans="3:10" ht="12.75">
      <c r="C420" s="69"/>
      <c r="D420" s="69"/>
      <c r="E420" s="69"/>
      <c r="F420" s="69"/>
      <c r="G420" s="69"/>
      <c r="H420" s="69"/>
      <c r="I420" s="69"/>
      <c r="J420" s="69"/>
    </row>
    <row r="421" spans="3:10" ht="12.75">
      <c r="C421" s="69"/>
      <c r="D421" s="69"/>
      <c r="E421" s="69"/>
      <c r="F421" s="69"/>
      <c r="G421" s="69"/>
      <c r="H421" s="69"/>
      <c r="I421" s="69"/>
      <c r="J421" s="69"/>
    </row>
    <row r="422" spans="3:10" ht="12.75">
      <c r="C422" s="69"/>
      <c r="D422" s="69"/>
      <c r="E422" s="69"/>
      <c r="F422" s="69"/>
      <c r="G422" s="69"/>
      <c r="H422" s="69"/>
      <c r="I422" s="69"/>
      <c r="J422" s="69"/>
    </row>
    <row r="423" spans="3:10" ht="12.75">
      <c r="C423" s="69"/>
      <c r="D423" s="69"/>
      <c r="E423" s="69"/>
      <c r="F423" s="69"/>
      <c r="G423" s="69"/>
      <c r="H423" s="69"/>
      <c r="I423" s="69"/>
      <c r="J423" s="69"/>
    </row>
    <row r="424" spans="3:10" ht="12.75">
      <c r="C424" s="69"/>
      <c r="D424" s="69"/>
      <c r="E424" s="69"/>
      <c r="F424" s="69"/>
      <c r="G424" s="69"/>
      <c r="H424" s="69"/>
      <c r="I424" s="69"/>
      <c r="J424" s="69"/>
    </row>
    <row r="425" spans="3:10" ht="12.75">
      <c r="C425" s="69"/>
      <c r="D425" s="69"/>
      <c r="E425" s="69"/>
      <c r="F425" s="69"/>
      <c r="G425" s="69"/>
      <c r="H425" s="69"/>
      <c r="I425" s="69"/>
      <c r="J425" s="69"/>
    </row>
    <row r="426" spans="3:10" ht="12.75">
      <c r="C426" s="69"/>
      <c r="D426" s="69"/>
      <c r="E426" s="69"/>
      <c r="F426" s="69"/>
      <c r="G426" s="69"/>
      <c r="H426" s="69"/>
      <c r="I426" s="69"/>
      <c r="J426" s="69"/>
    </row>
    <row r="427" spans="3:10" ht="12.75">
      <c r="C427" s="69"/>
      <c r="D427" s="69"/>
      <c r="E427" s="69"/>
      <c r="F427" s="69"/>
      <c r="G427" s="69"/>
      <c r="H427" s="69"/>
      <c r="I427" s="69"/>
      <c r="J427" s="69"/>
    </row>
    <row r="428" spans="3:10" ht="12.75">
      <c r="C428" s="69"/>
      <c r="D428" s="69"/>
      <c r="E428" s="69"/>
      <c r="F428" s="69"/>
      <c r="G428" s="69"/>
      <c r="H428" s="69"/>
      <c r="I428" s="69"/>
      <c r="J428" s="69"/>
    </row>
    <row r="429" spans="3:10" ht="12.75">
      <c r="C429" s="69"/>
      <c r="D429" s="69"/>
      <c r="E429" s="69"/>
      <c r="F429" s="69"/>
      <c r="G429" s="69"/>
      <c r="H429" s="69"/>
      <c r="I429" s="69"/>
      <c r="J429" s="69"/>
    </row>
    <row r="430" spans="3:10" ht="12.75">
      <c r="C430" s="69"/>
      <c r="D430" s="69"/>
      <c r="E430" s="69"/>
      <c r="F430" s="69"/>
      <c r="G430" s="69"/>
      <c r="H430" s="69"/>
      <c r="I430" s="69"/>
      <c r="J430" s="69"/>
    </row>
    <row r="431" spans="3:10" ht="12.75">
      <c r="C431" s="69"/>
      <c r="D431" s="69"/>
      <c r="E431" s="69"/>
      <c r="F431" s="69"/>
      <c r="G431" s="69"/>
      <c r="H431" s="69"/>
      <c r="I431" s="69"/>
      <c r="J431" s="69"/>
    </row>
    <row r="432" spans="3:10" ht="12.75">
      <c r="C432" s="69"/>
      <c r="D432" s="69"/>
      <c r="E432" s="69"/>
      <c r="F432" s="69"/>
      <c r="G432" s="69"/>
      <c r="H432" s="69"/>
      <c r="I432" s="69"/>
      <c r="J432" s="69"/>
    </row>
    <row r="433" spans="3:10" ht="12.75">
      <c r="C433" s="69"/>
      <c r="D433" s="69"/>
      <c r="E433" s="69"/>
      <c r="F433" s="69"/>
      <c r="G433" s="69"/>
      <c r="H433" s="69"/>
      <c r="I433" s="69"/>
      <c r="J433" s="69"/>
    </row>
    <row r="434" spans="3:10" ht="12.75">
      <c r="C434" s="69"/>
      <c r="D434" s="69"/>
      <c r="E434" s="69"/>
      <c r="F434" s="69"/>
      <c r="G434" s="69"/>
      <c r="H434" s="69"/>
      <c r="I434" s="69"/>
      <c r="J434" s="69"/>
    </row>
    <row r="435" spans="3:10" ht="12.75">
      <c r="C435" s="69"/>
      <c r="D435" s="69"/>
      <c r="E435" s="69"/>
      <c r="F435" s="69"/>
      <c r="G435" s="69"/>
      <c r="H435" s="69"/>
      <c r="I435" s="69"/>
      <c r="J435" s="69"/>
    </row>
    <row r="436" spans="3:10" ht="12.75">
      <c r="C436" s="69"/>
      <c r="D436" s="69"/>
      <c r="E436" s="69"/>
      <c r="F436" s="69"/>
      <c r="G436" s="69"/>
      <c r="H436" s="69"/>
      <c r="I436" s="69"/>
      <c r="J436" s="69"/>
    </row>
    <row r="437" spans="3:10" ht="12.75">
      <c r="C437" s="69"/>
      <c r="D437" s="69"/>
      <c r="E437" s="69"/>
      <c r="F437" s="69"/>
      <c r="G437" s="69"/>
      <c r="H437" s="69"/>
      <c r="I437" s="69"/>
      <c r="J437" s="69"/>
    </row>
    <row r="438" spans="3:10" ht="12.75">
      <c r="C438" s="69"/>
      <c r="D438" s="69"/>
      <c r="E438" s="69"/>
      <c r="F438" s="69"/>
      <c r="G438" s="69"/>
      <c r="H438" s="69"/>
      <c r="I438" s="69"/>
      <c r="J438" s="69"/>
    </row>
    <row r="439" spans="3:10" ht="12.75">
      <c r="C439" s="69"/>
      <c r="D439" s="69"/>
      <c r="E439" s="69"/>
      <c r="F439" s="69"/>
      <c r="G439" s="69"/>
      <c r="H439" s="69"/>
      <c r="I439" s="69"/>
      <c r="J439" s="69"/>
    </row>
    <row r="440" spans="3:10" ht="12.75">
      <c r="C440" s="69"/>
      <c r="D440" s="69"/>
      <c r="E440" s="69"/>
      <c r="F440" s="69"/>
      <c r="G440" s="69"/>
      <c r="H440" s="69"/>
      <c r="I440" s="69"/>
      <c r="J440" s="69"/>
    </row>
    <row r="441" spans="3:10" ht="12.75">
      <c r="C441" s="69"/>
      <c r="D441" s="69"/>
      <c r="E441" s="69"/>
      <c r="F441" s="69"/>
      <c r="G441" s="69"/>
      <c r="H441" s="69"/>
      <c r="I441" s="69"/>
      <c r="J441" s="69"/>
    </row>
    <row r="442" spans="3:10" ht="12.75">
      <c r="C442" s="69"/>
      <c r="D442" s="69"/>
      <c r="E442" s="69"/>
      <c r="F442" s="69"/>
      <c r="G442" s="69"/>
      <c r="H442" s="69"/>
      <c r="I442" s="69"/>
      <c r="J442" s="69"/>
    </row>
    <row r="443" spans="3:10" ht="12.75">
      <c r="C443" s="69"/>
      <c r="D443" s="69"/>
      <c r="E443" s="69"/>
      <c r="F443" s="69"/>
      <c r="G443" s="69"/>
      <c r="H443" s="69"/>
      <c r="I443" s="69"/>
      <c r="J443" s="69"/>
    </row>
    <row r="444" spans="3:10" ht="12.75">
      <c r="C444" s="69"/>
      <c r="D444" s="69"/>
      <c r="E444" s="69"/>
      <c r="F444" s="69"/>
      <c r="G444" s="69"/>
      <c r="H444" s="69"/>
      <c r="I444" s="69"/>
      <c r="J444" s="69"/>
    </row>
    <row r="445" spans="3:10" ht="12.75">
      <c r="C445" s="69"/>
      <c r="D445" s="69"/>
      <c r="E445" s="69"/>
      <c r="F445" s="69"/>
      <c r="G445" s="69"/>
      <c r="H445" s="69"/>
      <c r="I445" s="69"/>
      <c r="J445" s="69"/>
    </row>
    <row r="446" spans="3:10" ht="12.75">
      <c r="C446" s="69"/>
      <c r="D446" s="69"/>
      <c r="E446" s="69"/>
      <c r="F446" s="69"/>
      <c r="G446" s="69"/>
      <c r="H446" s="69"/>
      <c r="I446" s="69"/>
      <c r="J446" s="69"/>
    </row>
    <row r="447" spans="3:10" ht="12.75">
      <c r="C447" s="69"/>
      <c r="D447" s="69"/>
      <c r="E447" s="69"/>
      <c r="F447" s="69"/>
      <c r="G447" s="69"/>
      <c r="H447" s="69"/>
      <c r="I447" s="69"/>
      <c r="J447" s="69"/>
    </row>
    <row r="448" spans="3:10" ht="12.75">
      <c r="C448" s="69"/>
      <c r="D448" s="69"/>
      <c r="E448" s="69"/>
      <c r="F448" s="69"/>
      <c r="G448" s="69"/>
      <c r="H448" s="69"/>
      <c r="I448" s="69"/>
      <c r="J448" s="69"/>
    </row>
    <row r="449" spans="3:10" ht="12.75">
      <c r="C449" s="69"/>
      <c r="D449" s="69"/>
      <c r="E449" s="69"/>
      <c r="F449" s="69"/>
      <c r="G449" s="69"/>
      <c r="H449" s="69"/>
      <c r="I449" s="69"/>
      <c r="J449" s="69"/>
    </row>
    <row r="450" spans="3:10" ht="12.75">
      <c r="C450" s="69"/>
      <c r="D450" s="69"/>
      <c r="E450" s="69"/>
      <c r="F450" s="69"/>
      <c r="G450" s="69"/>
      <c r="H450" s="69"/>
      <c r="I450" s="69"/>
      <c r="J450" s="69"/>
    </row>
    <row r="451" spans="3:10" ht="12.75">
      <c r="C451" s="69"/>
      <c r="D451" s="69"/>
      <c r="E451" s="69"/>
      <c r="F451" s="69"/>
      <c r="G451" s="69"/>
      <c r="H451" s="69"/>
      <c r="I451" s="69"/>
      <c r="J451" s="69"/>
    </row>
    <row r="452" spans="3:10" ht="12.75">
      <c r="C452" s="69"/>
      <c r="D452" s="69"/>
      <c r="E452" s="69"/>
      <c r="F452" s="69"/>
      <c r="G452" s="69"/>
      <c r="H452" s="69"/>
      <c r="I452" s="69"/>
      <c r="J452" s="69"/>
    </row>
    <row r="453" spans="3:10" ht="12.75">
      <c r="C453" s="69"/>
      <c r="D453" s="69"/>
      <c r="E453" s="69"/>
      <c r="F453" s="69"/>
      <c r="G453" s="69"/>
      <c r="H453" s="69"/>
      <c r="I453" s="69"/>
      <c r="J453" s="69"/>
    </row>
    <row r="454" spans="3:10" ht="12.75">
      <c r="C454" s="69"/>
      <c r="D454" s="69"/>
      <c r="E454" s="69"/>
      <c r="F454" s="69"/>
      <c r="G454" s="69"/>
      <c r="H454" s="69"/>
      <c r="I454" s="69"/>
      <c r="J454" s="69"/>
    </row>
    <row r="455" spans="3:10" ht="12.75">
      <c r="C455" s="69"/>
      <c r="D455" s="69"/>
      <c r="E455" s="69"/>
      <c r="F455" s="69"/>
      <c r="G455" s="69"/>
      <c r="H455" s="69"/>
      <c r="I455" s="69"/>
      <c r="J455" s="69"/>
    </row>
    <row r="456" spans="3:10" ht="12.75">
      <c r="C456" s="69"/>
      <c r="D456" s="69"/>
      <c r="E456" s="69"/>
      <c r="F456" s="69"/>
      <c r="G456" s="69"/>
      <c r="H456" s="69"/>
      <c r="I456" s="69"/>
      <c r="J456" s="69"/>
    </row>
    <row r="457" spans="3:10" ht="12.75">
      <c r="C457" s="69"/>
      <c r="D457" s="69"/>
      <c r="E457" s="69"/>
      <c r="F457" s="69"/>
      <c r="G457" s="69"/>
      <c r="H457" s="69"/>
      <c r="I457" s="69"/>
      <c r="J457" s="69"/>
    </row>
    <row r="458" spans="3:10" ht="12.75">
      <c r="C458" s="69"/>
      <c r="D458" s="69"/>
      <c r="E458" s="69"/>
      <c r="F458" s="69"/>
      <c r="G458" s="69"/>
      <c r="H458" s="69"/>
      <c r="I458" s="69"/>
      <c r="J458" s="69"/>
    </row>
    <row r="459" spans="3:10" ht="12.75">
      <c r="C459" s="69"/>
      <c r="D459" s="69"/>
      <c r="E459" s="69"/>
      <c r="F459" s="69"/>
      <c r="G459" s="69"/>
      <c r="H459" s="69"/>
      <c r="I459" s="69"/>
      <c r="J459" s="69"/>
    </row>
    <row r="460" spans="3:10" ht="12.75">
      <c r="C460" s="69"/>
      <c r="D460" s="69"/>
      <c r="E460" s="69"/>
      <c r="F460" s="69"/>
      <c r="G460" s="69"/>
      <c r="H460" s="69"/>
      <c r="I460" s="69"/>
      <c r="J460" s="69"/>
    </row>
    <row r="461" spans="3:10" ht="12.75">
      <c r="C461" s="69"/>
      <c r="D461" s="69"/>
      <c r="E461" s="69"/>
      <c r="F461" s="69"/>
      <c r="G461" s="69"/>
      <c r="H461" s="69"/>
      <c r="I461" s="69"/>
      <c r="J461" s="69"/>
    </row>
    <row r="462" spans="3:10" ht="12.75">
      <c r="C462" s="69"/>
      <c r="D462" s="69"/>
      <c r="E462" s="69"/>
      <c r="F462" s="69"/>
      <c r="G462" s="69"/>
      <c r="H462" s="69"/>
      <c r="I462" s="69"/>
      <c r="J462" s="69"/>
    </row>
    <row r="463" spans="3:10" ht="12.75">
      <c r="C463" s="69"/>
      <c r="D463" s="69"/>
      <c r="E463" s="69"/>
      <c r="F463" s="69"/>
      <c r="G463" s="69"/>
      <c r="H463" s="69"/>
      <c r="I463" s="69"/>
      <c r="J463" s="69"/>
    </row>
    <row r="464" spans="3:10" ht="12.75">
      <c r="C464" s="69"/>
      <c r="D464" s="69"/>
      <c r="E464" s="69"/>
      <c r="F464" s="69"/>
      <c r="G464" s="69"/>
      <c r="H464" s="69"/>
      <c r="I464" s="69"/>
      <c r="J464" s="69"/>
    </row>
    <row r="465" spans="3:10" ht="12.75">
      <c r="C465" s="69"/>
      <c r="D465" s="69"/>
      <c r="E465" s="69"/>
      <c r="F465" s="69"/>
      <c r="G465" s="69"/>
      <c r="H465" s="69"/>
      <c r="I465" s="69"/>
      <c r="J465" s="69"/>
    </row>
    <row r="466" spans="3:10" ht="12.75">
      <c r="C466" s="69"/>
      <c r="D466" s="69"/>
      <c r="E466" s="69"/>
      <c r="F466" s="69"/>
      <c r="G466" s="69"/>
      <c r="H466" s="69"/>
      <c r="I466" s="69"/>
      <c r="J466" s="69"/>
    </row>
    <row r="467" spans="3:10" ht="12.75">
      <c r="C467" s="69"/>
      <c r="D467" s="69"/>
      <c r="E467" s="69"/>
      <c r="F467" s="69"/>
      <c r="G467" s="69"/>
      <c r="H467" s="69"/>
      <c r="I467" s="69"/>
      <c r="J467" s="69"/>
    </row>
    <row r="468" spans="3:10" ht="12.75">
      <c r="C468" s="69"/>
      <c r="D468" s="69"/>
      <c r="E468" s="69"/>
      <c r="F468" s="69"/>
      <c r="G468" s="69"/>
      <c r="H468" s="69"/>
      <c r="I468" s="69"/>
      <c r="J468" s="69"/>
    </row>
    <row r="469" spans="3:10" ht="12.75">
      <c r="C469" s="69"/>
      <c r="D469" s="69"/>
      <c r="E469" s="69"/>
      <c r="F469" s="69"/>
      <c r="G469" s="69"/>
      <c r="H469" s="69"/>
      <c r="I469" s="69"/>
      <c r="J469" s="69"/>
    </row>
    <row r="470" spans="3:10" ht="12.75">
      <c r="C470" s="69"/>
      <c r="D470" s="69"/>
      <c r="E470" s="69"/>
      <c r="F470" s="69"/>
      <c r="G470" s="69"/>
      <c r="H470" s="69"/>
      <c r="I470" s="69"/>
      <c r="J470" s="69"/>
    </row>
    <row r="471" spans="3:10" ht="12.75">
      <c r="C471" s="69"/>
      <c r="D471" s="69"/>
      <c r="E471" s="69"/>
      <c r="F471" s="69"/>
      <c r="G471" s="69"/>
      <c r="H471" s="69"/>
      <c r="I471" s="69"/>
      <c r="J471" s="69"/>
    </row>
    <row r="472" spans="3:10" ht="12.75">
      <c r="C472" s="69"/>
      <c r="D472" s="69"/>
      <c r="E472" s="69"/>
      <c r="F472" s="69"/>
      <c r="G472" s="69"/>
      <c r="H472" s="69"/>
      <c r="I472" s="69"/>
      <c r="J472" s="69"/>
    </row>
    <row r="473" spans="3:10" ht="12.75">
      <c r="C473" s="69"/>
      <c r="D473" s="69"/>
      <c r="E473" s="69"/>
      <c r="F473" s="69"/>
      <c r="G473" s="69"/>
      <c r="H473" s="69"/>
      <c r="I473" s="69"/>
      <c r="J473" s="69"/>
    </row>
    <row r="474" spans="3:10" ht="12.75">
      <c r="C474" s="69"/>
      <c r="D474" s="69"/>
      <c r="E474" s="69"/>
      <c r="F474" s="69"/>
      <c r="G474" s="69"/>
      <c r="H474" s="69"/>
      <c r="I474" s="69"/>
      <c r="J474" s="69"/>
    </row>
    <row r="475" spans="3:10" ht="12.75">
      <c r="C475" s="69"/>
      <c r="D475" s="69"/>
      <c r="E475" s="69"/>
      <c r="F475" s="69"/>
      <c r="G475" s="69"/>
      <c r="H475" s="69"/>
      <c r="I475" s="69"/>
      <c r="J475" s="69"/>
    </row>
    <row r="476" spans="3:10" ht="12.75">
      <c r="C476" s="69"/>
      <c r="D476" s="69"/>
      <c r="E476" s="69"/>
      <c r="F476" s="69"/>
      <c r="G476" s="69"/>
      <c r="H476" s="69"/>
      <c r="I476" s="69"/>
      <c r="J476" s="69"/>
    </row>
    <row r="477" spans="3:10" ht="12.75">
      <c r="C477" s="69"/>
      <c r="D477" s="69"/>
      <c r="E477" s="69"/>
      <c r="F477" s="69"/>
      <c r="G477" s="69"/>
      <c r="H477" s="69"/>
      <c r="I477" s="69"/>
      <c r="J477" s="69"/>
    </row>
    <row r="478" spans="3:10" ht="12.75">
      <c r="C478" s="69"/>
      <c r="D478" s="69"/>
      <c r="E478" s="69"/>
      <c r="F478" s="69"/>
      <c r="G478" s="69"/>
      <c r="H478" s="69"/>
      <c r="I478" s="69"/>
      <c r="J478" s="69"/>
    </row>
    <row r="479" spans="3:10" ht="12.75">
      <c r="C479" s="69"/>
      <c r="D479" s="69"/>
      <c r="E479" s="69"/>
      <c r="F479" s="69"/>
      <c r="G479" s="69"/>
      <c r="H479" s="69"/>
      <c r="I479" s="69"/>
      <c r="J479" s="69"/>
    </row>
    <row r="480" spans="3:10" ht="12.75">
      <c r="C480" s="69"/>
      <c r="D480" s="69"/>
      <c r="E480" s="69"/>
      <c r="F480" s="69"/>
      <c r="G480" s="69"/>
      <c r="H480" s="69"/>
      <c r="I480" s="69"/>
      <c r="J480" s="69"/>
    </row>
    <row r="481" spans="3:10" ht="12.75">
      <c r="C481" s="69"/>
      <c r="D481" s="69"/>
      <c r="E481" s="69"/>
      <c r="F481" s="69"/>
      <c r="G481" s="69"/>
      <c r="H481" s="69"/>
      <c r="I481" s="69"/>
      <c r="J481" s="69"/>
    </row>
    <row r="482" spans="3:10" ht="12.75">
      <c r="C482" s="69"/>
      <c r="D482" s="69"/>
      <c r="E482" s="69"/>
      <c r="F482" s="69"/>
      <c r="G482" s="69"/>
      <c r="H482" s="69"/>
      <c r="I482" s="69"/>
      <c r="J482" s="69"/>
    </row>
    <row r="483" spans="3:10" ht="12.75">
      <c r="C483" s="69"/>
      <c r="D483" s="69"/>
      <c r="E483" s="69"/>
      <c r="F483" s="69"/>
      <c r="G483" s="69"/>
      <c r="H483" s="69"/>
      <c r="I483" s="69"/>
      <c r="J483" s="69"/>
    </row>
    <row r="484" spans="3:10" ht="12.75">
      <c r="C484" s="69"/>
      <c r="D484" s="69"/>
      <c r="E484" s="69"/>
      <c r="F484" s="69"/>
      <c r="G484" s="69"/>
      <c r="H484" s="69"/>
      <c r="I484" s="69"/>
      <c r="J484" s="69"/>
    </row>
    <row r="485" spans="3:10" ht="12.75">
      <c r="C485" s="69"/>
      <c r="D485" s="69"/>
      <c r="E485" s="69"/>
      <c r="F485" s="69"/>
      <c r="G485" s="69"/>
      <c r="H485" s="69"/>
      <c r="I485" s="69"/>
      <c r="J485" s="69"/>
    </row>
    <row r="486" spans="3:10" ht="12.75">
      <c r="C486" s="69"/>
      <c r="D486" s="69"/>
      <c r="E486" s="69"/>
      <c r="F486" s="69"/>
      <c r="G486" s="69"/>
      <c r="H486" s="69"/>
      <c r="I486" s="69"/>
      <c r="J486" s="69"/>
    </row>
    <row r="487" spans="3:10" ht="12.75">
      <c r="C487" s="69"/>
      <c r="D487" s="69"/>
      <c r="E487" s="69"/>
      <c r="F487" s="69"/>
      <c r="G487" s="69"/>
      <c r="H487" s="69"/>
      <c r="I487" s="69"/>
      <c r="J487" s="69"/>
    </row>
    <row r="488" spans="3:10" ht="12.75">
      <c r="C488" s="69"/>
      <c r="D488" s="69"/>
      <c r="E488" s="69"/>
      <c r="F488" s="69"/>
      <c r="G488" s="69"/>
      <c r="H488" s="69"/>
      <c r="I488" s="69"/>
      <c r="J488" s="69"/>
    </row>
    <row r="489" spans="3:10" ht="12.75">
      <c r="C489" s="69"/>
      <c r="D489" s="69"/>
      <c r="E489" s="69"/>
      <c r="F489" s="69"/>
      <c r="G489" s="69"/>
      <c r="H489" s="69"/>
      <c r="I489" s="69"/>
      <c r="J489" s="69"/>
    </row>
    <row r="490" spans="3:10" ht="12.75">
      <c r="C490" s="69"/>
      <c r="D490" s="69"/>
      <c r="E490" s="69"/>
      <c r="F490" s="69"/>
      <c r="G490" s="69"/>
      <c r="H490" s="69"/>
      <c r="I490" s="69"/>
      <c r="J490" s="69"/>
    </row>
    <row r="491" spans="3:10" ht="12.75">
      <c r="C491" s="69"/>
      <c r="D491" s="69"/>
      <c r="E491" s="69"/>
      <c r="F491" s="69"/>
      <c r="G491" s="69"/>
      <c r="H491" s="69"/>
      <c r="I491" s="69"/>
      <c r="J491" s="69"/>
    </row>
    <row r="492" spans="3:10" ht="12.75">
      <c r="C492" s="69"/>
      <c r="D492" s="69"/>
      <c r="E492" s="69"/>
      <c r="F492" s="69"/>
      <c r="G492" s="69"/>
      <c r="H492" s="69"/>
      <c r="I492" s="69"/>
      <c r="J492" s="69"/>
    </row>
    <row r="493" spans="3:10" ht="12.75">
      <c r="C493" s="69"/>
      <c r="D493" s="69"/>
      <c r="E493" s="69"/>
      <c r="F493" s="69"/>
      <c r="G493" s="69"/>
      <c r="H493" s="69"/>
      <c r="I493" s="69"/>
      <c r="J493" s="69"/>
    </row>
    <row r="494" spans="3:10" ht="12.75">
      <c r="C494" s="69"/>
      <c r="D494" s="69"/>
      <c r="E494" s="69"/>
      <c r="F494" s="69"/>
      <c r="G494" s="69"/>
      <c r="H494" s="69"/>
      <c r="I494" s="69"/>
      <c r="J494" s="69"/>
    </row>
    <row r="495" spans="3:10" ht="12.75">
      <c r="C495" s="69"/>
      <c r="D495" s="69"/>
      <c r="E495" s="69"/>
      <c r="F495" s="69"/>
      <c r="G495" s="69"/>
      <c r="H495" s="69"/>
      <c r="I495" s="69"/>
      <c r="J495" s="69"/>
    </row>
    <row r="496" spans="3:10" ht="12.75">
      <c r="C496" s="69"/>
      <c r="D496" s="69"/>
      <c r="E496" s="69"/>
      <c r="F496" s="69"/>
      <c r="G496" s="69"/>
      <c r="H496" s="69"/>
      <c r="I496" s="69"/>
      <c r="J496" s="69"/>
    </row>
    <row r="497" spans="3:10" ht="12.75">
      <c r="C497" s="69"/>
      <c r="D497" s="69"/>
      <c r="E497" s="69"/>
      <c r="F497" s="69"/>
      <c r="G497" s="69"/>
      <c r="H497" s="69"/>
      <c r="I497" s="69"/>
      <c r="J497" s="69"/>
    </row>
    <row r="498" spans="3:10" ht="12.75">
      <c r="C498" s="69"/>
      <c r="D498" s="69"/>
      <c r="E498" s="69"/>
      <c r="F498" s="69"/>
      <c r="G498" s="69"/>
      <c r="H498" s="69"/>
      <c r="I498" s="69"/>
      <c r="J498" s="69"/>
    </row>
    <row r="499" spans="3:10" ht="12.75">
      <c r="C499" s="69"/>
      <c r="D499" s="69"/>
      <c r="E499" s="69"/>
      <c r="F499" s="69"/>
      <c r="G499" s="69"/>
      <c r="H499" s="69"/>
      <c r="I499" s="69"/>
      <c r="J499" s="69"/>
    </row>
    <row r="500" spans="3:10" ht="12.75">
      <c r="C500" s="69"/>
      <c r="D500" s="69"/>
      <c r="E500" s="69"/>
      <c r="F500" s="69"/>
      <c r="G500" s="69"/>
      <c r="H500" s="69"/>
      <c r="I500" s="69"/>
      <c r="J500" s="69"/>
    </row>
    <row r="501" spans="3:10" ht="12.75">
      <c r="C501" s="69"/>
      <c r="D501" s="69"/>
      <c r="E501" s="69"/>
      <c r="F501" s="69"/>
      <c r="G501" s="69"/>
      <c r="H501" s="69"/>
      <c r="I501" s="69"/>
      <c r="J501" s="69"/>
    </row>
    <row r="502" spans="3:10" ht="12.75">
      <c r="C502" s="69"/>
      <c r="D502" s="69"/>
      <c r="E502" s="69"/>
      <c r="F502" s="69"/>
      <c r="G502" s="69"/>
      <c r="H502" s="69"/>
      <c r="I502" s="69"/>
      <c r="J502" s="69"/>
    </row>
    <row r="503" spans="3:10" ht="12.75">
      <c r="C503" s="69"/>
      <c r="D503" s="69"/>
      <c r="E503" s="69"/>
      <c r="F503" s="69"/>
      <c r="G503" s="69"/>
      <c r="H503" s="69"/>
      <c r="I503" s="69"/>
      <c r="J503" s="69"/>
    </row>
    <row r="504" spans="3:10" ht="12.75">
      <c r="C504" s="69"/>
      <c r="D504" s="69"/>
      <c r="E504" s="69"/>
      <c r="F504" s="69"/>
      <c r="G504" s="69"/>
      <c r="H504" s="69"/>
      <c r="I504" s="69"/>
      <c r="J504" s="69"/>
    </row>
    <row r="505" spans="3:10" ht="12.75">
      <c r="C505" s="69"/>
      <c r="D505" s="69"/>
      <c r="E505" s="69"/>
      <c r="F505" s="69"/>
      <c r="G505" s="69"/>
      <c r="H505" s="69"/>
      <c r="I505" s="69"/>
      <c r="J505" s="69"/>
    </row>
    <row r="506" spans="3:10" ht="12.75">
      <c r="C506" s="69"/>
      <c r="D506" s="69"/>
      <c r="E506" s="69"/>
      <c r="F506" s="69"/>
      <c r="G506" s="69"/>
      <c r="H506" s="69"/>
      <c r="I506" s="69"/>
      <c r="J506" s="69"/>
    </row>
    <row r="507" spans="3:10" ht="12.75">
      <c r="C507" s="69"/>
      <c r="D507" s="69"/>
      <c r="E507" s="69"/>
      <c r="F507" s="69"/>
      <c r="G507" s="69"/>
      <c r="H507" s="69"/>
      <c r="I507" s="69"/>
      <c r="J507" s="69"/>
    </row>
    <row r="508" spans="3:10" ht="12.75">
      <c r="C508" s="69"/>
      <c r="D508" s="69"/>
      <c r="E508" s="69"/>
      <c r="F508" s="69"/>
      <c r="G508" s="69"/>
      <c r="H508" s="69"/>
      <c r="I508" s="69"/>
      <c r="J508" s="69"/>
    </row>
    <row r="509" spans="3:10" ht="12.75">
      <c r="C509" s="69"/>
      <c r="D509" s="69"/>
      <c r="E509" s="69"/>
      <c r="F509" s="69"/>
      <c r="G509" s="69"/>
      <c r="H509" s="69"/>
      <c r="I509" s="69"/>
      <c r="J509" s="69"/>
    </row>
    <row r="510" spans="3:10" ht="12.75">
      <c r="C510" s="69"/>
      <c r="D510" s="69"/>
      <c r="E510" s="69"/>
      <c r="F510" s="69"/>
      <c r="G510" s="69"/>
      <c r="H510" s="69"/>
      <c r="I510" s="69"/>
      <c r="J510" s="69"/>
    </row>
    <row r="511" spans="3:10" ht="12.75">
      <c r="C511" s="69"/>
      <c r="D511" s="69"/>
      <c r="E511" s="69"/>
      <c r="F511" s="69"/>
      <c r="G511" s="69"/>
      <c r="H511" s="69"/>
      <c r="I511" s="69"/>
      <c r="J511" s="69"/>
    </row>
    <row r="512" spans="3:10" ht="12.75">
      <c r="C512" s="69"/>
      <c r="D512" s="69"/>
      <c r="E512" s="69"/>
      <c r="F512" s="69"/>
      <c r="G512" s="69"/>
      <c r="H512" s="69"/>
      <c r="I512" s="69"/>
      <c r="J512" s="69"/>
    </row>
    <row r="513" spans="3:10" ht="12.75">
      <c r="C513" s="69"/>
      <c r="D513" s="69"/>
      <c r="E513" s="69"/>
      <c r="F513" s="69"/>
      <c r="G513" s="69"/>
      <c r="H513" s="69"/>
      <c r="I513" s="69"/>
      <c r="J513" s="69"/>
    </row>
    <row r="514" spans="3:10" ht="12.75">
      <c r="C514" s="69"/>
      <c r="D514" s="69"/>
      <c r="E514" s="69"/>
      <c r="F514" s="69"/>
      <c r="G514" s="69"/>
      <c r="H514" s="69"/>
      <c r="I514" s="69"/>
      <c r="J514" s="69"/>
    </row>
    <row r="515" spans="3:10" ht="12.75">
      <c r="C515" s="69"/>
      <c r="D515" s="69"/>
      <c r="E515" s="69"/>
      <c r="F515" s="69"/>
      <c r="G515" s="69"/>
      <c r="H515" s="69"/>
      <c r="I515" s="69"/>
      <c r="J515" s="69"/>
    </row>
    <row r="516" spans="3:10" ht="12.75">
      <c r="C516" s="69"/>
      <c r="D516" s="69"/>
      <c r="E516" s="69"/>
      <c r="F516" s="69"/>
      <c r="G516" s="69"/>
      <c r="H516" s="69"/>
      <c r="I516" s="69"/>
      <c r="J516" s="69"/>
    </row>
    <row r="517" spans="3:10" ht="12.75">
      <c r="C517" s="69"/>
      <c r="D517" s="69"/>
      <c r="E517" s="69"/>
      <c r="F517" s="69"/>
      <c r="G517" s="69"/>
      <c r="H517" s="69"/>
      <c r="I517" s="69"/>
      <c r="J517" s="69"/>
    </row>
    <row r="518" spans="3:10" ht="12.75">
      <c r="C518" s="69"/>
      <c r="D518" s="69"/>
      <c r="E518" s="69"/>
      <c r="F518" s="69"/>
      <c r="G518" s="69"/>
      <c r="H518" s="69"/>
      <c r="I518" s="69"/>
      <c r="J518" s="69"/>
    </row>
    <row r="519" spans="3:10" ht="12.75">
      <c r="C519" s="69"/>
      <c r="D519" s="69"/>
      <c r="E519" s="69"/>
      <c r="F519" s="69"/>
      <c r="G519" s="69"/>
      <c r="H519" s="69"/>
      <c r="I519" s="69"/>
      <c r="J519" s="69"/>
    </row>
    <row r="520" spans="3:10" ht="12.75">
      <c r="C520" s="69"/>
      <c r="D520" s="69"/>
      <c r="E520" s="69"/>
      <c r="F520" s="69"/>
      <c r="G520" s="69"/>
      <c r="H520" s="69"/>
      <c r="I520" s="69"/>
      <c r="J520" s="69"/>
    </row>
    <row r="521" spans="3:10" ht="12.75">
      <c r="C521" s="69"/>
      <c r="D521" s="69"/>
      <c r="E521" s="69"/>
      <c r="F521" s="69"/>
      <c r="G521" s="69"/>
      <c r="H521" s="69"/>
      <c r="I521" s="69"/>
      <c r="J521" s="69"/>
    </row>
    <row r="522" spans="3:10" ht="12.75">
      <c r="C522" s="69"/>
      <c r="D522" s="69"/>
      <c r="E522" s="69"/>
      <c r="F522" s="69"/>
      <c r="G522" s="69"/>
      <c r="H522" s="69"/>
      <c r="I522" s="69"/>
      <c r="J522" s="69"/>
    </row>
    <row r="523" spans="3:10" ht="12.75">
      <c r="C523" s="69"/>
      <c r="D523" s="69"/>
      <c r="E523" s="69"/>
      <c r="F523" s="69"/>
      <c r="G523" s="69"/>
      <c r="H523" s="69"/>
      <c r="I523" s="69"/>
      <c r="J523" s="69"/>
    </row>
    <row r="524" spans="3:10" ht="12.75">
      <c r="C524" s="69"/>
      <c r="D524" s="69"/>
      <c r="E524" s="69"/>
      <c r="F524" s="69"/>
      <c r="G524" s="69"/>
      <c r="H524" s="69"/>
      <c r="I524" s="69"/>
      <c r="J524" s="69"/>
    </row>
    <row r="525" spans="3:10" ht="12.75">
      <c r="C525" s="69"/>
      <c r="D525" s="69"/>
      <c r="E525" s="69"/>
      <c r="F525" s="69"/>
      <c r="G525" s="69"/>
      <c r="H525" s="69"/>
      <c r="I525" s="69"/>
      <c r="J525" s="69"/>
    </row>
    <row r="526" spans="3:10" ht="12.75">
      <c r="C526" s="69"/>
      <c r="D526" s="69"/>
      <c r="E526" s="69"/>
      <c r="F526" s="69"/>
      <c r="G526" s="69"/>
      <c r="H526" s="69"/>
      <c r="I526" s="69"/>
      <c r="J526" s="69"/>
    </row>
    <row r="527" spans="3:10" ht="12.75">
      <c r="C527" s="69"/>
      <c r="D527" s="69"/>
      <c r="E527" s="69"/>
      <c r="F527" s="69"/>
      <c r="G527" s="69"/>
      <c r="H527" s="69"/>
      <c r="I527" s="69"/>
      <c r="J527" s="69"/>
    </row>
    <row r="528" spans="3:10" ht="12.75">
      <c r="C528" s="69"/>
      <c r="D528" s="69"/>
      <c r="E528" s="69"/>
      <c r="F528" s="69"/>
      <c r="G528" s="69"/>
      <c r="H528" s="69"/>
      <c r="I528" s="69"/>
      <c r="J528" s="69"/>
    </row>
    <row r="529" spans="3:10" ht="12.75">
      <c r="C529" s="69"/>
      <c r="D529" s="69"/>
      <c r="E529" s="69"/>
      <c r="F529" s="69"/>
      <c r="G529" s="69"/>
      <c r="H529" s="69"/>
      <c r="I529" s="69"/>
      <c r="J529" s="69"/>
    </row>
    <row r="530" spans="3:10" ht="12.75">
      <c r="C530" s="69"/>
      <c r="D530" s="69"/>
      <c r="E530" s="69"/>
      <c r="F530" s="69"/>
      <c r="G530" s="69"/>
      <c r="H530" s="69"/>
      <c r="I530" s="69"/>
      <c r="J530" s="69"/>
    </row>
    <row r="531" spans="3:10" ht="12.75">
      <c r="C531" s="69"/>
      <c r="D531" s="69"/>
      <c r="E531" s="69"/>
      <c r="F531" s="69"/>
      <c r="G531" s="69"/>
      <c r="H531" s="69"/>
      <c r="I531" s="69"/>
      <c r="J531" s="69"/>
    </row>
    <row r="532" spans="3:10" ht="12.75">
      <c r="C532" s="69"/>
      <c r="D532" s="69"/>
      <c r="E532" s="69"/>
      <c r="F532" s="69"/>
      <c r="G532" s="69"/>
      <c r="H532" s="69"/>
      <c r="I532" s="69"/>
      <c r="J532" s="69"/>
    </row>
    <row r="533" spans="3:10" ht="12.75">
      <c r="C533" s="69"/>
      <c r="D533" s="69"/>
      <c r="E533" s="69"/>
      <c r="F533" s="69"/>
      <c r="G533" s="69"/>
      <c r="H533" s="69"/>
      <c r="I533" s="69"/>
      <c r="J533" s="69"/>
    </row>
    <row r="534" spans="3:10" ht="12.75">
      <c r="C534" s="69"/>
      <c r="D534" s="69"/>
      <c r="E534" s="69"/>
      <c r="F534" s="69"/>
      <c r="G534" s="69"/>
      <c r="H534" s="69"/>
      <c r="I534" s="69"/>
      <c r="J534" s="69"/>
    </row>
    <row r="535" spans="3:10" ht="12.75">
      <c r="C535" s="69"/>
      <c r="D535" s="69"/>
      <c r="E535" s="69"/>
      <c r="F535" s="69"/>
      <c r="G535" s="69"/>
      <c r="H535" s="69"/>
      <c r="I535" s="69"/>
      <c r="J535" s="69"/>
    </row>
    <row r="536" spans="3:10" ht="12.75">
      <c r="C536" s="69"/>
      <c r="D536" s="69"/>
      <c r="E536" s="69"/>
      <c r="F536" s="69"/>
      <c r="G536" s="69"/>
      <c r="H536" s="69"/>
      <c r="I536" s="69"/>
      <c r="J536" s="69"/>
    </row>
    <row r="537" spans="3:10" ht="12.75">
      <c r="C537" s="69"/>
      <c r="D537" s="69"/>
      <c r="E537" s="69"/>
      <c r="F537" s="69"/>
      <c r="G537" s="69"/>
      <c r="H537" s="69"/>
      <c r="I537" s="69"/>
      <c r="J537" s="69"/>
    </row>
    <row r="538" spans="3:10" ht="12.75">
      <c r="C538" s="69"/>
      <c r="D538" s="69"/>
      <c r="E538" s="69"/>
      <c r="F538" s="69"/>
      <c r="G538" s="69"/>
      <c r="H538" s="69"/>
      <c r="I538" s="69"/>
      <c r="J538" s="69"/>
    </row>
    <row r="539" spans="3:10" ht="12.75">
      <c r="C539" s="69"/>
      <c r="D539" s="69"/>
      <c r="E539" s="69"/>
      <c r="F539" s="69"/>
      <c r="G539" s="69"/>
      <c r="H539" s="69"/>
      <c r="I539" s="69"/>
      <c r="J539" s="69"/>
    </row>
    <row r="540" spans="3:10" ht="12.75">
      <c r="C540" s="69"/>
      <c r="D540" s="69"/>
      <c r="E540" s="69"/>
      <c r="F540" s="69"/>
      <c r="G540" s="69"/>
      <c r="H540" s="69"/>
      <c r="I540" s="69"/>
      <c r="J540" s="69"/>
    </row>
    <row r="541" spans="3:10" ht="12.75">
      <c r="C541" s="69"/>
      <c r="D541" s="69"/>
      <c r="E541" s="69"/>
      <c r="F541" s="69"/>
      <c r="G541" s="69"/>
      <c r="H541" s="69"/>
      <c r="I541" s="69"/>
      <c r="J541" s="69"/>
    </row>
    <row r="542" spans="3:10" ht="12.75">
      <c r="C542" s="69"/>
      <c r="D542" s="69"/>
      <c r="E542" s="69"/>
      <c r="F542" s="69"/>
      <c r="G542" s="69"/>
      <c r="H542" s="69"/>
      <c r="I542" s="69"/>
      <c r="J542" s="69"/>
    </row>
    <row r="543" spans="3:10" ht="12.75">
      <c r="C543" s="69"/>
      <c r="D543" s="69"/>
      <c r="E543" s="69"/>
      <c r="F543" s="69"/>
      <c r="G543" s="69"/>
      <c r="H543" s="69"/>
      <c r="I543" s="69"/>
      <c r="J543" s="69"/>
    </row>
    <row r="544" spans="3:10" ht="12.75">
      <c r="C544" s="69"/>
      <c r="D544" s="69"/>
      <c r="E544" s="69"/>
      <c r="F544" s="69"/>
      <c r="G544" s="69"/>
      <c r="H544" s="69"/>
      <c r="I544" s="69"/>
      <c r="J544" s="69"/>
    </row>
    <row r="545" spans="3:10" ht="12.75">
      <c r="C545" s="69"/>
      <c r="D545" s="69"/>
      <c r="E545" s="69"/>
      <c r="F545" s="69"/>
      <c r="G545" s="69"/>
      <c r="H545" s="69"/>
      <c r="I545" s="69"/>
      <c r="J545" s="69"/>
    </row>
    <row r="546" spans="3:10" ht="12.75">
      <c r="C546" s="69"/>
      <c r="D546" s="69"/>
      <c r="E546" s="69"/>
      <c r="F546" s="69"/>
      <c r="G546" s="69"/>
      <c r="H546" s="69"/>
      <c r="I546" s="69"/>
      <c r="J546" s="69"/>
    </row>
    <row r="547" spans="3:10" ht="12.75">
      <c r="C547" s="69"/>
      <c r="D547" s="69"/>
      <c r="E547" s="69"/>
      <c r="F547" s="69"/>
      <c r="G547" s="69"/>
      <c r="H547" s="69"/>
      <c r="I547" s="69"/>
      <c r="J547" s="69"/>
    </row>
    <row r="548" spans="3:10" ht="12.75">
      <c r="C548" s="69"/>
      <c r="D548" s="69"/>
      <c r="E548" s="69"/>
      <c r="F548" s="69"/>
      <c r="G548" s="69"/>
      <c r="H548" s="69"/>
      <c r="I548" s="69"/>
      <c r="J548" s="69"/>
    </row>
    <row r="549" spans="3:10" ht="12.75">
      <c r="C549" s="69"/>
      <c r="D549" s="69"/>
      <c r="E549" s="69"/>
      <c r="F549" s="69"/>
      <c r="G549" s="69"/>
      <c r="H549" s="69"/>
      <c r="I549" s="69"/>
      <c r="J549" s="69"/>
    </row>
    <row r="550" spans="3:10" ht="12.75">
      <c r="C550" s="69"/>
      <c r="D550" s="69"/>
      <c r="E550" s="69"/>
      <c r="F550" s="69"/>
      <c r="G550" s="69"/>
      <c r="H550" s="69"/>
      <c r="I550" s="69"/>
      <c r="J550" s="69"/>
    </row>
    <row r="551" spans="3:10" ht="12.75">
      <c r="C551" s="69"/>
      <c r="D551" s="69"/>
      <c r="E551" s="69"/>
      <c r="F551" s="69"/>
      <c r="G551" s="69"/>
      <c r="H551" s="69"/>
      <c r="I551" s="69"/>
      <c r="J551" s="69"/>
    </row>
    <row r="552" spans="3:10" ht="12.75">
      <c r="C552" s="69"/>
      <c r="D552" s="69"/>
      <c r="E552" s="69"/>
      <c r="F552" s="69"/>
      <c r="G552" s="69"/>
      <c r="H552" s="69"/>
      <c r="I552" s="69"/>
      <c r="J552" s="69"/>
    </row>
    <row r="553" spans="3:10" ht="12.75">
      <c r="C553" s="69"/>
      <c r="D553" s="69"/>
      <c r="E553" s="69"/>
      <c r="F553" s="69"/>
      <c r="G553" s="69"/>
      <c r="H553" s="69"/>
      <c r="I553" s="69"/>
      <c r="J553" s="69"/>
    </row>
    <row r="554" spans="3:10" ht="12.75">
      <c r="C554" s="69"/>
      <c r="D554" s="69"/>
      <c r="E554" s="69"/>
      <c r="F554" s="69"/>
      <c r="G554" s="69"/>
      <c r="H554" s="69"/>
      <c r="I554" s="69"/>
      <c r="J554" s="69"/>
    </row>
    <row r="555" spans="3:10" ht="12.75">
      <c r="C555" s="69"/>
      <c r="D555" s="69"/>
      <c r="E555" s="69"/>
      <c r="F555" s="69"/>
      <c r="G555" s="69"/>
      <c r="H555" s="69"/>
      <c r="I555" s="69"/>
      <c r="J555" s="69"/>
    </row>
    <row r="556" spans="3:10" ht="12.75">
      <c r="C556" s="69"/>
      <c r="D556" s="69"/>
      <c r="E556" s="69"/>
      <c r="F556" s="69"/>
      <c r="G556" s="69"/>
      <c r="H556" s="69"/>
      <c r="I556" s="69"/>
      <c r="J556" s="69"/>
    </row>
    <row r="557" spans="3:10" ht="12.75">
      <c r="C557" s="69"/>
      <c r="D557" s="69"/>
      <c r="E557" s="69"/>
      <c r="F557" s="69"/>
      <c r="G557" s="69"/>
      <c r="H557" s="69"/>
      <c r="I557" s="69"/>
      <c r="J557" s="69"/>
    </row>
    <row r="558" spans="3:10" ht="12.75">
      <c r="C558" s="69"/>
      <c r="D558" s="69"/>
      <c r="E558" s="69"/>
      <c r="F558" s="69"/>
      <c r="G558" s="69"/>
      <c r="H558" s="69"/>
      <c r="I558" s="69"/>
      <c r="J558" s="69"/>
    </row>
    <row r="559" spans="3:10" ht="12.75">
      <c r="C559" s="69"/>
      <c r="D559" s="69"/>
      <c r="E559" s="69"/>
      <c r="F559" s="69"/>
      <c r="G559" s="69"/>
      <c r="H559" s="69"/>
      <c r="I559" s="69"/>
      <c r="J559" s="69"/>
    </row>
    <row r="560" spans="3:10" ht="12.75">
      <c r="C560" s="69"/>
      <c r="D560" s="69"/>
      <c r="E560" s="69"/>
      <c r="F560" s="69"/>
      <c r="G560" s="69"/>
      <c r="H560" s="69"/>
      <c r="I560" s="69"/>
      <c r="J560" s="69"/>
    </row>
    <row r="561" spans="3:10" ht="12.75">
      <c r="C561" s="69"/>
      <c r="D561" s="69"/>
      <c r="E561" s="69"/>
      <c r="F561" s="69"/>
      <c r="G561" s="69"/>
      <c r="H561" s="69"/>
      <c r="I561" s="69"/>
      <c r="J561" s="69"/>
    </row>
    <row r="562" spans="3:10" ht="12.75">
      <c r="C562" s="69"/>
      <c r="D562" s="69"/>
      <c r="E562" s="69"/>
      <c r="F562" s="69"/>
      <c r="G562" s="69"/>
      <c r="H562" s="69"/>
      <c r="I562" s="69"/>
      <c r="J562" s="69"/>
    </row>
    <row r="563" spans="3:10" ht="12.75">
      <c r="C563" s="69"/>
      <c r="D563" s="69"/>
      <c r="E563" s="69"/>
      <c r="F563" s="69"/>
      <c r="G563" s="69"/>
      <c r="H563" s="69"/>
      <c r="I563" s="69"/>
      <c r="J563" s="69"/>
    </row>
    <row r="564" spans="3:10" ht="12.75">
      <c r="C564" s="69"/>
      <c r="D564" s="69"/>
      <c r="E564" s="69"/>
      <c r="F564" s="69"/>
      <c r="G564" s="69"/>
      <c r="H564" s="69"/>
      <c r="I564" s="69"/>
      <c r="J564" s="69"/>
    </row>
    <row r="565" spans="3:10" ht="12.75">
      <c r="C565" s="69"/>
      <c r="D565" s="69"/>
      <c r="E565" s="69"/>
      <c r="F565" s="69"/>
      <c r="G565" s="69"/>
      <c r="H565" s="69"/>
      <c r="I565" s="69"/>
      <c r="J565" s="69"/>
    </row>
    <row r="566" spans="3:10" ht="12.75">
      <c r="C566" s="69"/>
      <c r="D566" s="69"/>
      <c r="E566" s="69"/>
      <c r="F566" s="69"/>
      <c r="G566" s="69"/>
      <c r="H566" s="69"/>
      <c r="I566" s="69"/>
      <c r="J566" s="69"/>
    </row>
    <row r="567" spans="3:10" ht="12.75">
      <c r="C567" s="69"/>
      <c r="D567" s="69"/>
      <c r="E567" s="69"/>
      <c r="F567" s="69"/>
      <c r="G567" s="69"/>
      <c r="H567" s="69"/>
      <c r="I567" s="69"/>
      <c r="J567" s="69"/>
    </row>
    <row r="568" spans="3:10" ht="12.75">
      <c r="C568" s="69"/>
      <c r="D568" s="69"/>
      <c r="E568" s="69"/>
      <c r="F568" s="69"/>
      <c r="G568" s="69"/>
      <c r="H568" s="69"/>
      <c r="I568" s="69"/>
      <c r="J568" s="69"/>
    </row>
    <row r="569" spans="3:10" ht="12.75">
      <c r="C569" s="69"/>
      <c r="D569" s="69"/>
      <c r="E569" s="69"/>
      <c r="F569" s="69"/>
      <c r="G569" s="69"/>
      <c r="H569" s="69"/>
      <c r="I569" s="69"/>
      <c r="J569" s="69"/>
    </row>
    <row r="570" spans="3:10" ht="12.75">
      <c r="C570" s="69"/>
      <c r="D570" s="69"/>
      <c r="E570" s="69"/>
      <c r="F570" s="69"/>
      <c r="G570" s="69"/>
      <c r="H570" s="69"/>
      <c r="I570" s="69"/>
      <c r="J570" s="69"/>
    </row>
    <row r="571" spans="3:10" ht="12.75">
      <c r="C571" s="69"/>
      <c r="D571" s="69"/>
      <c r="E571" s="69"/>
      <c r="F571" s="69"/>
      <c r="G571" s="69"/>
      <c r="H571" s="69"/>
      <c r="I571" s="69"/>
      <c r="J571" s="69"/>
    </row>
    <row r="572" spans="3:10" ht="12.75">
      <c r="C572" s="69"/>
      <c r="D572" s="69"/>
      <c r="E572" s="69"/>
      <c r="F572" s="69"/>
      <c r="G572" s="69"/>
      <c r="H572" s="69"/>
      <c r="I572" s="69"/>
      <c r="J572" s="69"/>
    </row>
    <row r="573" spans="3:10" ht="12.75">
      <c r="C573" s="69"/>
      <c r="D573" s="69"/>
      <c r="E573" s="69"/>
      <c r="F573" s="69"/>
      <c r="G573" s="69"/>
      <c r="H573" s="69"/>
      <c r="I573" s="69"/>
      <c r="J573" s="69"/>
    </row>
    <row r="574" spans="3:10" ht="12.75">
      <c r="C574" s="69"/>
      <c r="D574" s="69"/>
      <c r="E574" s="69"/>
      <c r="F574" s="69"/>
      <c r="G574" s="69"/>
      <c r="H574" s="69"/>
      <c r="I574" s="69"/>
      <c r="J574" s="69"/>
    </row>
    <row r="575" spans="3:10" ht="12.75">
      <c r="C575" s="69"/>
      <c r="D575" s="69"/>
      <c r="E575" s="69"/>
      <c r="F575" s="69"/>
      <c r="G575" s="69"/>
      <c r="H575" s="69"/>
      <c r="I575" s="69"/>
      <c r="J575" s="69"/>
    </row>
    <row r="576" spans="3:10" ht="12.75">
      <c r="C576" s="69"/>
      <c r="D576" s="69"/>
      <c r="E576" s="69"/>
      <c r="F576" s="69"/>
      <c r="G576" s="69"/>
      <c r="H576" s="69"/>
      <c r="I576" s="69"/>
      <c r="J576" s="69"/>
    </row>
    <row r="577" spans="3:10" ht="12.75">
      <c r="C577" s="69"/>
      <c r="D577" s="69"/>
      <c r="E577" s="69"/>
      <c r="F577" s="69"/>
      <c r="G577" s="69"/>
      <c r="H577" s="69"/>
      <c r="I577" s="69"/>
      <c r="J577" s="69"/>
    </row>
    <row r="578" spans="3:10" ht="12.75">
      <c r="C578" s="69"/>
      <c r="D578" s="69"/>
      <c r="E578" s="69"/>
      <c r="F578" s="69"/>
      <c r="G578" s="69"/>
      <c r="H578" s="69"/>
      <c r="I578" s="69"/>
      <c r="J578" s="69"/>
    </row>
    <row r="579" spans="3:10" ht="12.75">
      <c r="C579" s="69"/>
      <c r="D579" s="69"/>
      <c r="E579" s="69"/>
      <c r="F579" s="69"/>
      <c r="G579" s="69"/>
      <c r="H579" s="69"/>
      <c r="I579" s="69"/>
      <c r="J579" s="69"/>
    </row>
    <row r="580" spans="3:10" ht="12.75">
      <c r="C580" s="69"/>
      <c r="D580" s="69"/>
      <c r="E580" s="69"/>
      <c r="F580" s="69"/>
      <c r="G580" s="69"/>
      <c r="H580" s="69"/>
      <c r="I580" s="69"/>
      <c r="J580" s="69"/>
    </row>
    <row r="581" spans="3:10" ht="12.75">
      <c r="C581" s="69"/>
      <c r="D581" s="69"/>
      <c r="E581" s="69"/>
      <c r="F581" s="69"/>
      <c r="G581" s="69"/>
      <c r="H581" s="69"/>
      <c r="I581" s="69"/>
      <c r="J581" s="69"/>
    </row>
    <row r="582" spans="3:10" ht="12.75">
      <c r="C582" s="69"/>
      <c r="D582" s="69"/>
      <c r="E582" s="69"/>
      <c r="F582" s="69"/>
      <c r="G582" s="69"/>
      <c r="H582" s="69"/>
      <c r="I582" s="69"/>
      <c r="J582" s="69"/>
    </row>
    <row r="583" spans="3:10" ht="12.75">
      <c r="C583" s="69"/>
      <c r="D583" s="69"/>
      <c r="E583" s="69"/>
      <c r="F583" s="69"/>
      <c r="G583" s="69"/>
      <c r="H583" s="69"/>
      <c r="I583" s="69"/>
      <c r="J583" s="69"/>
    </row>
    <row r="584" spans="3:10" ht="12.75">
      <c r="C584" s="69"/>
      <c r="D584" s="69"/>
      <c r="E584" s="69"/>
      <c r="F584" s="69"/>
      <c r="G584" s="69"/>
      <c r="H584" s="69"/>
      <c r="I584" s="69"/>
      <c r="J584" s="69"/>
    </row>
    <row r="585" spans="3:10" ht="12.75">
      <c r="C585" s="69"/>
      <c r="D585" s="69"/>
      <c r="E585" s="69"/>
      <c r="F585" s="69"/>
      <c r="G585" s="69"/>
      <c r="H585" s="69"/>
      <c r="I585" s="69"/>
      <c r="J585" s="69"/>
    </row>
    <row r="586" spans="3:10" ht="12.75">
      <c r="C586" s="69"/>
      <c r="D586" s="69"/>
      <c r="E586" s="69"/>
      <c r="F586" s="69"/>
      <c r="G586" s="69"/>
      <c r="H586" s="69"/>
      <c r="I586" s="69"/>
      <c r="J586" s="69"/>
    </row>
    <row r="587" spans="3:10" ht="12.75">
      <c r="C587" s="69"/>
      <c r="D587" s="69"/>
      <c r="E587" s="69"/>
      <c r="F587" s="69"/>
      <c r="G587" s="69"/>
      <c r="H587" s="69"/>
      <c r="I587" s="69"/>
      <c r="J587" s="69"/>
    </row>
    <row r="588" spans="3:10" ht="12.75">
      <c r="C588" s="69"/>
      <c r="D588" s="69"/>
      <c r="E588" s="69"/>
      <c r="F588" s="69"/>
      <c r="G588" s="69"/>
      <c r="H588" s="69"/>
      <c r="I588" s="69"/>
      <c r="J588" s="69"/>
    </row>
    <row r="589" spans="3:10" ht="12.75">
      <c r="C589" s="69"/>
      <c r="D589" s="69"/>
      <c r="E589" s="69"/>
      <c r="F589" s="69"/>
      <c r="G589" s="69"/>
      <c r="H589" s="69"/>
      <c r="I589" s="69"/>
      <c r="J589" s="69"/>
    </row>
    <row r="590" spans="3:10" ht="12.75">
      <c r="C590" s="69"/>
      <c r="D590" s="69"/>
      <c r="E590" s="69"/>
      <c r="F590" s="69"/>
      <c r="G590" s="69"/>
      <c r="H590" s="69"/>
      <c r="I590" s="69"/>
      <c r="J590" s="69"/>
    </row>
    <row r="591" spans="3:10" ht="12.75">
      <c r="C591" s="69"/>
      <c r="D591" s="69"/>
      <c r="E591" s="69"/>
      <c r="F591" s="69"/>
      <c r="G591" s="69"/>
      <c r="H591" s="69"/>
      <c r="I591" s="69"/>
      <c r="J591" s="69"/>
    </row>
    <row r="592" spans="3:10" ht="12.75">
      <c r="C592" s="69"/>
      <c r="D592" s="69"/>
      <c r="E592" s="69"/>
      <c r="F592" s="69"/>
      <c r="G592" s="69"/>
      <c r="H592" s="69"/>
      <c r="I592" s="69"/>
      <c r="J592" s="69"/>
    </row>
    <row r="593" spans="3:10" ht="12.75">
      <c r="C593" s="69"/>
      <c r="D593" s="69"/>
      <c r="E593" s="69"/>
      <c r="F593" s="69"/>
      <c r="G593" s="69"/>
      <c r="H593" s="69"/>
      <c r="I593" s="69"/>
      <c r="J593" s="69"/>
    </row>
    <row r="594" spans="3:10" ht="12.75">
      <c r="C594" s="69"/>
      <c r="D594" s="69"/>
      <c r="E594" s="69"/>
      <c r="F594" s="69"/>
      <c r="G594" s="69"/>
      <c r="H594" s="69"/>
      <c r="I594" s="69"/>
      <c r="J594" s="69"/>
    </row>
    <row r="595" spans="3:10" ht="12.75">
      <c r="C595" s="69"/>
      <c r="D595" s="69"/>
      <c r="E595" s="69"/>
      <c r="F595" s="69"/>
      <c r="G595" s="69"/>
      <c r="H595" s="69"/>
      <c r="I595" s="69"/>
      <c r="J595" s="69"/>
    </row>
    <row r="596" spans="3:10" ht="12.75">
      <c r="C596" s="69"/>
      <c r="D596" s="69"/>
      <c r="E596" s="69"/>
      <c r="F596" s="69"/>
      <c r="G596" s="69"/>
      <c r="H596" s="69"/>
      <c r="I596" s="69"/>
      <c r="J596" s="69"/>
    </row>
    <row r="597" spans="3:10" ht="12.75">
      <c r="C597" s="69"/>
      <c r="D597" s="69"/>
      <c r="E597" s="69"/>
      <c r="F597" s="69"/>
      <c r="G597" s="69"/>
      <c r="H597" s="69"/>
      <c r="I597" s="69"/>
      <c r="J597" s="69"/>
    </row>
    <row r="598" spans="3:10" ht="12.75">
      <c r="C598" s="69"/>
      <c r="D598" s="69"/>
      <c r="E598" s="69"/>
      <c r="F598" s="69"/>
      <c r="G598" s="69"/>
      <c r="H598" s="69"/>
      <c r="I598" s="69"/>
      <c r="J598" s="69"/>
    </row>
    <row r="599" spans="3:10" ht="12.75">
      <c r="C599" s="69"/>
      <c r="D599" s="69"/>
      <c r="E599" s="69"/>
      <c r="F599" s="69"/>
      <c r="G599" s="69"/>
      <c r="H599" s="69"/>
      <c r="I599" s="69"/>
      <c r="J599" s="69"/>
    </row>
    <row r="600" spans="3:10" ht="12.75">
      <c r="C600" s="69"/>
      <c r="D600" s="69"/>
      <c r="E600" s="69"/>
      <c r="F600" s="69"/>
      <c r="G600" s="69"/>
      <c r="H600" s="69"/>
      <c r="I600" s="69"/>
      <c r="J600" s="69"/>
    </row>
    <row r="601" spans="3:10" ht="12.75">
      <c r="C601" s="69"/>
      <c r="D601" s="69"/>
      <c r="E601" s="69"/>
      <c r="F601" s="69"/>
      <c r="G601" s="69"/>
      <c r="H601" s="69"/>
      <c r="I601" s="69"/>
      <c r="J601" s="69"/>
    </row>
    <row r="602" spans="3:10" ht="12.75">
      <c r="C602" s="69"/>
      <c r="D602" s="69"/>
      <c r="E602" s="69"/>
      <c r="F602" s="69"/>
      <c r="G602" s="69"/>
      <c r="H602" s="69"/>
      <c r="I602" s="69"/>
      <c r="J602" s="69"/>
    </row>
    <row r="603" spans="3:10" ht="12.75">
      <c r="C603" s="69"/>
      <c r="D603" s="69"/>
      <c r="E603" s="69"/>
      <c r="F603" s="69"/>
      <c r="G603" s="69"/>
      <c r="H603" s="69"/>
      <c r="I603" s="69"/>
      <c r="J603" s="69"/>
    </row>
    <row r="604" spans="3:10" ht="12.75">
      <c r="C604" s="69"/>
      <c r="D604" s="69"/>
      <c r="E604" s="69"/>
      <c r="F604" s="69"/>
      <c r="G604" s="69"/>
      <c r="H604" s="69"/>
      <c r="I604" s="69"/>
      <c r="J604" s="69"/>
    </row>
    <row r="605" spans="3:10" ht="12.75">
      <c r="C605" s="69"/>
      <c r="D605" s="69"/>
      <c r="E605" s="69"/>
      <c r="F605" s="69"/>
      <c r="G605" s="69"/>
      <c r="H605" s="69"/>
      <c r="I605" s="69"/>
      <c r="J605" s="69"/>
    </row>
    <row r="606" spans="3:10" ht="12.75">
      <c r="C606" s="69"/>
      <c r="D606" s="69"/>
      <c r="E606" s="69"/>
      <c r="F606" s="69"/>
      <c r="G606" s="69"/>
      <c r="H606" s="69"/>
      <c r="I606" s="69"/>
      <c r="J606" s="69"/>
    </row>
    <row r="607" spans="3:10" ht="12.75">
      <c r="C607" s="69"/>
      <c r="D607" s="69"/>
      <c r="E607" s="69"/>
      <c r="F607" s="69"/>
      <c r="G607" s="69"/>
      <c r="H607" s="69"/>
      <c r="I607" s="69"/>
      <c r="J607" s="69"/>
    </row>
    <row r="608" spans="3:10" ht="12.75">
      <c r="C608" s="69"/>
      <c r="D608" s="69"/>
      <c r="E608" s="69"/>
      <c r="F608" s="69"/>
      <c r="G608" s="69"/>
      <c r="H608" s="69"/>
      <c r="I608" s="69"/>
      <c r="J608" s="69"/>
    </row>
    <row r="609" spans="3:10" ht="12.75">
      <c r="C609" s="69"/>
      <c r="D609" s="69"/>
      <c r="E609" s="69"/>
      <c r="F609" s="69"/>
      <c r="G609" s="69"/>
      <c r="H609" s="69"/>
      <c r="I609" s="69"/>
      <c r="J609" s="69"/>
    </row>
    <row r="610" spans="3:10" ht="12.75">
      <c r="C610" s="69"/>
      <c r="D610" s="69"/>
      <c r="E610" s="69"/>
      <c r="F610" s="69"/>
      <c r="G610" s="69"/>
      <c r="H610" s="69"/>
      <c r="I610" s="69"/>
      <c r="J610" s="69"/>
    </row>
    <row r="611" spans="3:10" ht="12.75">
      <c r="C611" s="69"/>
      <c r="D611" s="69"/>
      <c r="E611" s="69"/>
      <c r="F611" s="69"/>
      <c r="G611" s="69"/>
      <c r="H611" s="69"/>
      <c r="I611" s="69"/>
      <c r="J611" s="69"/>
    </row>
    <row r="612" spans="3:10" ht="12.75">
      <c r="C612" s="69"/>
      <c r="D612" s="69"/>
      <c r="E612" s="69"/>
      <c r="F612" s="69"/>
      <c r="G612" s="69"/>
      <c r="H612" s="69"/>
      <c r="I612" s="69"/>
      <c r="J612" s="69"/>
    </row>
    <row r="613" spans="3:10" ht="12.75">
      <c r="C613" s="69"/>
      <c r="D613" s="69"/>
      <c r="E613" s="69"/>
      <c r="F613" s="69"/>
      <c r="G613" s="69"/>
      <c r="H613" s="69"/>
      <c r="I613" s="69"/>
      <c r="J613" s="69"/>
    </row>
    <row r="614" spans="3:10" ht="12.75">
      <c r="C614" s="69"/>
      <c r="D614" s="69"/>
      <c r="E614" s="69"/>
      <c r="F614" s="69"/>
      <c r="G614" s="69"/>
      <c r="H614" s="69"/>
      <c r="I614" s="69"/>
      <c r="J614" s="69"/>
    </row>
    <row r="615" spans="3:10" ht="12.75">
      <c r="C615" s="69"/>
      <c r="D615" s="69"/>
      <c r="E615" s="69"/>
      <c r="F615" s="69"/>
      <c r="G615" s="69"/>
      <c r="H615" s="69"/>
      <c r="I615" s="69"/>
      <c r="J615" s="69"/>
    </row>
    <row r="616" spans="3:10" ht="12.75">
      <c r="C616" s="69"/>
      <c r="D616" s="69"/>
      <c r="E616" s="69"/>
      <c r="F616" s="69"/>
      <c r="G616" s="69"/>
      <c r="H616" s="69"/>
      <c r="I616" s="69"/>
      <c r="J616" s="69"/>
    </row>
    <row r="617" spans="3:10" ht="12.75">
      <c r="C617" s="69"/>
      <c r="D617" s="69"/>
      <c r="E617" s="69"/>
      <c r="F617" s="69"/>
      <c r="G617" s="69"/>
      <c r="H617" s="69"/>
      <c r="I617" s="69"/>
      <c r="J617" s="69"/>
    </row>
    <row r="618" spans="3:10" ht="12.75">
      <c r="C618" s="69"/>
      <c r="D618" s="69"/>
      <c r="E618" s="69"/>
      <c r="F618" s="69"/>
      <c r="G618" s="69"/>
      <c r="H618" s="69"/>
      <c r="I618" s="69"/>
      <c r="J618" s="69"/>
    </row>
    <row r="619" spans="3:10" ht="12.75">
      <c r="C619" s="69"/>
      <c r="D619" s="69"/>
      <c r="E619" s="69"/>
      <c r="F619" s="69"/>
      <c r="G619" s="69"/>
      <c r="H619" s="69"/>
      <c r="I619" s="69"/>
      <c r="J619" s="69"/>
    </row>
    <row r="620" spans="3:10" ht="12.75">
      <c r="C620" s="69"/>
      <c r="D620" s="69"/>
      <c r="E620" s="69"/>
      <c r="F620" s="69"/>
      <c r="G620" s="69"/>
      <c r="H620" s="69"/>
      <c r="I620" s="69"/>
      <c r="J620" s="69"/>
    </row>
    <row r="621" spans="3:10" ht="12.75">
      <c r="C621" s="69"/>
      <c r="D621" s="69"/>
      <c r="E621" s="69"/>
      <c r="F621" s="69"/>
      <c r="G621" s="69"/>
      <c r="H621" s="69"/>
      <c r="I621" s="69"/>
      <c r="J621" s="69"/>
    </row>
    <row r="622" spans="3:10" ht="12.75">
      <c r="C622" s="69"/>
      <c r="D622" s="69"/>
      <c r="E622" s="69"/>
      <c r="F622" s="69"/>
      <c r="G622" s="69"/>
      <c r="H622" s="69"/>
      <c r="I622" s="69"/>
      <c r="J622" s="69"/>
    </row>
    <row r="623" spans="3:10" ht="12.75">
      <c r="C623" s="69"/>
      <c r="D623" s="69"/>
      <c r="E623" s="69"/>
      <c r="F623" s="69"/>
      <c r="G623" s="69"/>
      <c r="H623" s="69"/>
      <c r="I623" s="69"/>
      <c r="J623" s="69"/>
    </row>
    <row r="624" spans="3:10" ht="12.75">
      <c r="C624" s="69"/>
      <c r="D624" s="69"/>
      <c r="E624" s="69"/>
      <c r="F624" s="69"/>
      <c r="G624" s="69"/>
      <c r="H624" s="69"/>
      <c r="I624" s="69"/>
      <c r="J624" s="69"/>
    </row>
    <row r="625" spans="3:10" ht="12.75">
      <c r="C625" s="69"/>
      <c r="D625" s="69"/>
      <c r="E625" s="69"/>
      <c r="F625" s="69"/>
      <c r="G625" s="69"/>
      <c r="H625" s="69"/>
      <c r="I625" s="69"/>
      <c r="J625" s="69"/>
    </row>
    <row r="626" spans="3:10" ht="12.75">
      <c r="C626" s="69"/>
      <c r="D626" s="69"/>
      <c r="E626" s="69"/>
      <c r="F626" s="69"/>
      <c r="G626" s="69"/>
      <c r="H626" s="69"/>
      <c r="I626" s="69"/>
      <c r="J626" s="69"/>
    </row>
    <row r="627" spans="3:10" ht="12.75">
      <c r="C627" s="69"/>
      <c r="D627" s="69"/>
      <c r="E627" s="69"/>
      <c r="F627" s="69"/>
      <c r="G627" s="69"/>
      <c r="H627" s="69"/>
      <c r="I627" s="69"/>
      <c r="J627" s="69"/>
    </row>
    <row r="628" spans="3:10" ht="12.75">
      <c r="C628" s="69"/>
      <c r="D628" s="69"/>
      <c r="E628" s="69"/>
      <c r="F628" s="69"/>
      <c r="G628" s="69"/>
      <c r="H628" s="69"/>
      <c r="I628" s="69"/>
      <c r="J628" s="69"/>
    </row>
    <row r="629" spans="3:10" ht="12.75">
      <c r="C629" s="69"/>
      <c r="D629" s="69"/>
      <c r="E629" s="69"/>
      <c r="F629" s="69"/>
      <c r="G629" s="69"/>
      <c r="H629" s="69"/>
      <c r="I629" s="69"/>
      <c r="J629" s="69"/>
    </row>
    <row r="630" spans="3:10" ht="12.75">
      <c r="C630" s="69"/>
      <c r="D630" s="69"/>
      <c r="E630" s="69"/>
      <c r="F630" s="69"/>
      <c r="G630" s="69"/>
      <c r="H630" s="69"/>
      <c r="I630" s="69"/>
      <c r="J630" s="69"/>
    </row>
    <row r="631" spans="3:10" ht="12.75">
      <c r="C631" s="69"/>
      <c r="D631" s="69"/>
      <c r="E631" s="69"/>
      <c r="F631" s="69"/>
      <c r="G631" s="69"/>
      <c r="H631" s="69"/>
      <c r="I631" s="69"/>
      <c r="J631" s="69"/>
    </row>
    <row r="632" spans="3:10" ht="12.75">
      <c r="C632" s="69"/>
      <c r="D632" s="69"/>
      <c r="E632" s="69"/>
      <c r="F632" s="69"/>
      <c r="G632" s="69"/>
      <c r="H632" s="69"/>
      <c r="I632" s="69"/>
      <c r="J632" s="69"/>
    </row>
    <row r="633" spans="3:10" ht="12.75">
      <c r="C633" s="69"/>
      <c r="D633" s="69"/>
      <c r="E633" s="69"/>
      <c r="F633" s="69"/>
      <c r="G633" s="69"/>
      <c r="H633" s="69"/>
      <c r="I633" s="69"/>
      <c r="J633" s="69"/>
    </row>
    <row r="634" spans="3:10" ht="12.75">
      <c r="C634" s="69"/>
      <c r="D634" s="69"/>
      <c r="E634" s="69"/>
      <c r="F634" s="69"/>
      <c r="G634" s="69"/>
      <c r="H634" s="69"/>
      <c r="I634" s="69"/>
      <c r="J634" s="69"/>
    </row>
    <row r="635" spans="3:10" ht="12.75">
      <c r="C635" s="69"/>
      <c r="D635" s="69"/>
      <c r="E635" s="69"/>
      <c r="F635" s="69"/>
      <c r="G635" s="69"/>
      <c r="H635" s="69"/>
      <c r="I635" s="69"/>
      <c r="J635" s="69"/>
    </row>
    <row r="636" spans="3:10" ht="12.75">
      <c r="C636" s="69"/>
      <c r="D636" s="69"/>
      <c r="E636" s="69"/>
      <c r="F636" s="69"/>
      <c r="G636" s="69"/>
      <c r="H636" s="69"/>
      <c r="I636" s="69"/>
      <c r="J636" s="69"/>
    </row>
    <row r="637" spans="3:10" ht="12.75">
      <c r="C637" s="69"/>
      <c r="D637" s="69"/>
      <c r="E637" s="69"/>
      <c r="F637" s="69"/>
      <c r="G637" s="69"/>
      <c r="H637" s="69"/>
      <c r="I637" s="69"/>
      <c r="J637" s="69"/>
    </row>
    <row r="638" spans="3:10" ht="12.75">
      <c r="C638" s="69"/>
      <c r="D638" s="69"/>
      <c r="E638" s="69"/>
      <c r="F638" s="69"/>
      <c r="G638" s="69"/>
      <c r="H638" s="69"/>
      <c r="I638" s="69"/>
      <c r="J638" s="69"/>
    </row>
    <row r="639" spans="3:10" ht="12.75">
      <c r="C639" s="69"/>
      <c r="D639" s="69"/>
      <c r="E639" s="69"/>
      <c r="F639" s="69"/>
      <c r="G639" s="69"/>
      <c r="H639" s="69"/>
      <c r="I639" s="69"/>
      <c r="J639" s="69"/>
    </row>
    <row r="640" spans="3:10" ht="12.75">
      <c r="C640" s="69"/>
      <c r="D640" s="69"/>
      <c r="E640" s="69"/>
      <c r="F640" s="69"/>
      <c r="G640" s="69"/>
      <c r="H640" s="69"/>
      <c r="I640" s="69"/>
      <c r="J640" s="69"/>
    </row>
    <row r="641" spans="3:10" ht="12.75">
      <c r="C641" s="69"/>
      <c r="D641" s="69"/>
      <c r="E641" s="69"/>
      <c r="F641" s="69"/>
      <c r="G641" s="69"/>
      <c r="H641" s="69"/>
      <c r="I641" s="69"/>
      <c r="J641" s="69"/>
    </row>
    <row r="642" spans="3:10" ht="12.75">
      <c r="C642" s="69"/>
      <c r="D642" s="69"/>
      <c r="E642" s="69"/>
      <c r="F642" s="69"/>
      <c r="G642" s="69"/>
      <c r="H642" s="69"/>
      <c r="I642" s="69"/>
      <c r="J642" s="69"/>
    </row>
    <row r="643" spans="3:10" ht="12.75">
      <c r="C643" s="69"/>
      <c r="D643" s="69"/>
      <c r="E643" s="69"/>
      <c r="F643" s="69"/>
      <c r="G643" s="69"/>
      <c r="H643" s="69"/>
      <c r="I643" s="69"/>
      <c r="J643" s="69"/>
    </row>
    <row r="644" spans="3:10" ht="12.75">
      <c r="C644" s="69"/>
      <c r="D644" s="69"/>
      <c r="E644" s="69"/>
      <c r="F644" s="69"/>
      <c r="G644" s="69"/>
      <c r="H644" s="69"/>
      <c r="I644" s="69"/>
      <c r="J644" s="69"/>
    </row>
    <row r="645" spans="3:10" ht="12.75">
      <c r="C645" s="69"/>
      <c r="D645" s="69"/>
      <c r="E645" s="69"/>
      <c r="F645" s="69"/>
      <c r="G645" s="69"/>
      <c r="H645" s="69"/>
      <c r="I645" s="69"/>
      <c r="J645" s="69"/>
    </row>
    <row r="646" spans="3:10" ht="12.75">
      <c r="C646" s="69"/>
      <c r="D646" s="69"/>
      <c r="E646" s="69"/>
      <c r="F646" s="69"/>
      <c r="G646" s="69"/>
      <c r="H646" s="69"/>
      <c r="I646" s="69"/>
      <c r="J646" s="69"/>
    </row>
    <row r="647" spans="3:10" ht="12.75">
      <c r="C647" s="69"/>
      <c r="D647" s="69"/>
      <c r="E647" s="69"/>
      <c r="F647" s="69"/>
      <c r="G647" s="69"/>
      <c r="H647" s="69"/>
      <c r="I647" s="69"/>
      <c r="J647" s="69"/>
    </row>
    <row r="648" spans="3:10" ht="12.75">
      <c r="C648" s="69"/>
      <c r="D648" s="69"/>
      <c r="E648" s="69"/>
      <c r="F648" s="69"/>
      <c r="G648" s="69"/>
      <c r="H648" s="69"/>
      <c r="I648" s="69"/>
      <c r="J648" s="69"/>
    </row>
    <row r="649" spans="3:10" ht="12.75">
      <c r="C649" s="69"/>
      <c r="D649" s="69"/>
      <c r="E649" s="69"/>
      <c r="F649" s="69"/>
      <c r="G649" s="69"/>
      <c r="H649" s="69"/>
      <c r="I649" s="69"/>
      <c r="J649" s="69"/>
    </row>
    <row r="650" spans="3:10" ht="12.75">
      <c r="C650" s="69"/>
      <c r="D650" s="69"/>
      <c r="E650" s="69"/>
      <c r="F650" s="69"/>
      <c r="G650" s="69"/>
      <c r="H650" s="69"/>
      <c r="I650" s="69"/>
      <c r="J650" s="69"/>
    </row>
    <row r="651" spans="3:10" ht="12.75">
      <c r="C651" s="69"/>
      <c r="D651" s="69"/>
      <c r="E651" s="69"/>
      <c r="F651" s="69"/>
      <c r="G651" s="69"/>
      <c r="H651" s="69"/>
      <c r="I651" s="69"/>
      <c r="J651" s="69"/>
    </row>
    <row r="652" spans="3:10" ht="12.75">
      <c r="C652" s="69"/>
      <c r="D652" s="69"/>
      <c r="E652" s="69"/>
      <c r="F652" s="69"/>
      <c r="G652" s="69"/>
      <c r="H652" s="69"/>
      <c r="I652" s="69"/>
      <c r="J652" s="69"/>
    </row>
    <row r="653" spans="3:10" ht="12.75">
      <c r="C653" s="69"/>
      <c r="D653" s="69"/>
      <c r="E653" s="69"/>
      <c r="F653" s="69"/>
      <c r="G653" s="69"/>
      <c r="H653" s="69"/>
      <c r="I653" s="69"/>
      <c r="J653" s="69"/>
    </row>
    <row r="654" spans="3:10" ht="12.75">
      <c r="C654" s="69"/>
      <c r="D654" s="69"/>
      <c r="E654" s="69"/>
      <c r="F654" s="69"/>
      <c r="G654" s="69"/>
      <c r="H654" s="69"/>
      <c r="I654" s="69"/>
      <c r="J654" s="69"/>
    </row>
    <row r="655" spans="3:10" ht="12.75">
      <c r="C655" s="69"/>
      <c r="D655" s="69"/>
      <c r="E655" s="69"/>
      <c r="F655" s="69"/>
      <c r="G655" s="69"/>
      <c r="H655" s="69"/>
      <c r="I655" s="69"/>
      <c r="J655" s="69"/>
    </row>
    <row r="656" spans="3:10" ht="12.75">
      <c r="C656" s="69"/>
      <c r="D656" s="69"/>
      <c r="E656" s="69"/>
      <c r="F656" s="69"/>
      <c r="G656" s="69"/>
      <c r="H656" s="69"/>
      <c r="I656" s="69"/>
      <c r="J656" s="69"/>
    </row>
    <row r="657" spans="3:10" ht="12.75">
      <c r="C657" s="69"/>
      <c r="D657" s="69"/>
      <c r="E657" s="69"/>
      <c r="F657" s="69"/>
      <c r="G657" s="69"/>
      <c r="H657" s="69"/>
      <c r="I657" s="69"/>
      <c r="J657" s="69"/>
    </row>
    <row r="658" spans="3:10" ht="12.75">
      <c r="C658" s="69"/>
      <c r="D658" s="69"/>
      <c r="E658" s="69"/>
      <c r="F658" s="69"/>
      <c r="G658" s="69"/>
      <c r="H658" s="69"/>
      <c r="I658" s="69"/>
      <c r="J658" s="69"/>
    </row>
    <row r="659" spans="3:10" ht="12.75">
      <c r="C659" s="69"/>
      <c r="D659" s="69"/>
      <c r="E659" s="69"/>
      <c r="F659" s="69"/>
      <c r="G659" s="69"/>
      <c r="H659" s="69"/>
      <c r="I659" s="69"/>
      <c r="J659" s="69"/>
    </row>
    <row r="660" spans="3:10" ht="12.75">
      <c r="C660" s="69"/>
      <c r="D660" s="69"/>
      <c r="E660" s="69"/>
      <c r="F660" s="69"/>
      <c r="G660" s="69"/>
      <c r="H660" s="69"/>
      <c r="I660" s="69"/>
      <c r="J660" s="69"/>
    </row>
    <row r="661" spans="3:10" ht="12.75">
      <c r="C661" s="69"/>
      <c r="D661" s="69"/>
      <c r="E661" s="69"/>
      <c r="F661" s="69"/>
      <c r="G661" s="69"/>
      <c r="H661" s="69"/>
      <c r="I661" s="69"/>
      <c r="J661" s="69"/>
    </row>
    <row r="662" spans="3:10" ht="12.75">
      <c r="C662" s="69"/>
      <c r="D662" s="69"/>
      <c r="E662" s="69"/>
      <c r="F662" s="69"/>
      <c r="G662" s="69"/>
      <c r="H662" s="69"/>
      <c r="I662" s="69"/>
      <c r="J662" s="69"/>
    </row>
    <row r="663" spans="3:10" ht="12.75">
      <c r="C663" s="69"/>
      <c r="D663" s="69"/>
      <c r="E663" s="69"/>
      <c r="F663" s="69"/>
      <c r="G663" s="69"/>
      <c r="H663" s="69"/>
      <c r="I663" s="69"/>
      <c r="J663" s="69"/>
    </row>
    <row r="664" spans="3:10" ht="12.75">
      <c r="C664" s="69"/>
      <c r="D664" s="69"/>
      <c r="E664" s="69"/>
      <c r="F664" s="69"/>
      <c r="G664" s="69"/>
      <c r="H664" s="69"/>
      <c r="I664" s="69"/>
      <c r="J664" s="69"/>
    </row>
    <row r="665" spans="3:10" ht="12.75">
      <c r="C665" s="69"/>
      <c r="D665" s="69"/>
      <c r="E665" s="69"/>
      <c r="F665" s="69"/>
      <c r="G665" s="69"/>
      <c r="H665" s="69"/>
      <c r="I665" s="69"/>
      <c r="J665" s="69"/>
    </row>
    <row r="666" spans="3:10" ht="12.75">
      <c r="C666" s="69"/>
      <c r="D666" s="69"/>
      <c r="E666" s="69"/>
      <c r="F666" s="69"/>
      <c r="G666" s="69"/>
      <c r="H666" s="69"/>
      <c r="I666" s="69"/>
      <c r="J666" s="69"/>
    </row>
    <row r="667" spans="3:10" ht="12.75">
      <c r="C667" s="69"/>
      <c r="D667" s="69"/>
      <c r="E667" s="69"/>
      <c r="F667" s="69"/>
      <c r="G667" s="69"/>
      <c r="H667" s="69"/>
      <c r="I667" s="69"/>
      <c r="J667" s="69"/>
    </row>
    <row r="668" spans="3:10" ht="12.75">
      <c r="C668" s="69"/>
      <c r="D668" s="69"/>
      <c r="E668" s="69"/>
      <c r="F668" s="69"/>
      <c r="G668" s="69"/>
      <c r="H668" s="69"/>
      <c r="I668" s="69"/>
      <c r="J668" s="69"/>
    </row>
    <row r="669" spans="3:10" ht="12.75">
      <c r="C669" s="69"/>
      <c r="D669" s="69"/>
      <c r="E669" s="69"/>
      <c r="F669" s="69"/>
      <c r="G669" s="69"/>
      <c r="H669" s="69"/>
      <c r="I669" s="69"/>
      <c r="J669" s="69"/>
    </row>
    <row r="670" spans="3:10" ht="12.75">
      <c r="C670" s="69"/>
      <c r="D670" s="69"/>
      <c r="E670" s="69"/>
      <c r="F670" s="69"/>
      <c r="G670" s="69"/>
      <c r="H670" s="69"/>
      <c r="I670" s="69"/>
      <c r="J670" s="69"/>
    </row>
    <row r="671" spans="3:10" ht="12.75">
      <c r="C671" s="69"/>
      <c r="D671" s="69"/>
      <c r="E671" s="69"/>
      <c r="F671" s="69"/>
      <c r="G671" s="69"/>
      <c r="H671" s="69"/>
      <c r="I671" s="69"/>
      <c r="J671" s="69"/>
    </row>
    <row r="672" spans="3:10" ht="12.75">
      <c r="C672" s="69"/>
      <c r="D672" s="69"/>
      <c r="E672" s="69"/>
      <c r="F672" s="69"/>
      <c r="G672" s="69"/>
      <c r="H672" s="69"/>
      <c r="I672" s="69"/>
      <c r="J672" s="69"/>
    </row>
    <row r="673" spans="3:10" ht="12.75">
      <c r="C673" s="69"/>
      <c r="D673" s="69"/>
      <c r="E673" s="69"/>
      <c r="F673" s="69"/>
      <c r="G673" s="69"/>
      <c r="H673" s="69"/>
      <c r="I673" s="69"/>
      <c r="J673" s="69"/>
    </row>
    <row r="674" spans="3:10" ht="12.75">
      <c r="C674" s="69"/>
      <c r="D674" s="69"/>
      <c r="E674" s="69"/>
      <c r="F674" s="69"/>
      <c r="G674" s="69"/>
      <c r="H674" s="69"/>
      <c r="I674" s="69"/>
      <c r="J674" s="69"/>
    </row>
    <row r="675" spans="3:10" ht="12.75">
      <c r="C675" s="69"/>
      <c r="D675" s="69"/>
      <c r="E675" s="69"/>
      <c r="F675" s="69"/>
      <c r="G675" s="69"/>
      <c r="H675" s="69"/>
      <c r="I675" s="69"/>
      <c r="J675" s="69"/>
    </row>
    <row r="676" spans="3:10" ht="12.75">
      <c r="C676" s="69"/>
      <c r="D676" s="69"/>
      <c r="E676" s="69"/>
      <c r="F676" s="69"/>
      <c r="G676" s="69"/>
      <c r="H676" s="69"/>
      <c r="I676" s="69"/>
      <c r="J676" s="69"/>
    </row>
    <row r="677" spans="3:10" ht="12.75">
      <c r="C677" s="69"/>
      <c r="D677" s="69"/>
      <c r="E677" s="69"/>
      <c r="F677" s="69"/>
      <c r="G677" s="69"/>
      <c r="H677" s="69"/>
      <c r="I677" s="69"/>
      <c r="J677" s="69"/>
    </row>
    <row r="678" spans="3:10" ht="12.75">
      <c r="C678" s="69"/>
      <c r="D678" s="69"/>
      <c r="E678" s="69"/>
      <c r="F678" s="69"/>
      <c r="G678" s="69"/>
      <c r="H678" s="69"/>
      <c r="I678" s="69"/>
      <c r="J678" s="69"/>
    </row>
    <row r="679" spans="3:10" ht="12.75">
      <c r="C679" s="69"/>
      <c r="D679" s="69"/>
      <c r="E679" s="69"/>
      <c r="F679" s="69"/>
      <c r="G679" s="69"/>
      <c r="H679" s="69"/>
      <c r="I679" s="69"/>
      <c r="J679" s="69"/>
    </row>
    <row r="680" spans="3:10" ht="12.75">
      <c r="C680" s="69"/>
      <c r="D680" s="69"/>
      <c r="E680" s="69"/>
      <c r="F680" s="69"/>
      <c r="G680" s="69"/>
      <c r="H680" s="69"/>
      <c r="I680" s="69"/>
      <c r="J680" s="69"/>
    </row>
    <row r="681" spans="3:10" ht="12.75">
      <c r="C681" s="69"/>
      <c r="D681" s="69"/>
      <c r="E681" s="69"/>
      <c r="F681" s="69"/>
      <c r="G681" s="69"/>
      <c r="H681" s="69"/>
      <c r="I681" s="69"/>
      <c r="J681" s="69"/>
    </row>
    <row r="682" spans="3:10" ht="12.75">
      <c r="C682" s="69"/>
      <c r="D682" s="69"/>
      <c r="E682" s="69"/>
      <c r="F682" s="69"/>
      <c r="G682" s="69"/>
      <c r="H682" s="69"/>
      <c r="I682" s="69"/>
      <c r="J682" s="69"/>
    </row>
    <row r="683" spans="3:10" ht="12.75">
      <c r="C683" s="69"/>
      <c r="D683" s="69"/>
      <c r="E683" s="69"/>
      <c r="F683" s="69"/>
      <c r="G683" s="69"/>
      <c r="H683" s="69"/>
      <c r="I683" s="69"/>
      <c r="J683" s="69"/>
    </row>
    <row r="684" spans="3:10" ht="12.75">
      <c r="C684" s="69"/>
      <c r="D684" s="69"/>
      <c r="E684" s="69"/>
      <c r="F684" s="69"/>
      <c r="G684" s="69"/>
      <c r="H684" s="69"/>
      <c r="I684" s="69"/>
      <c r="J684" s="69"/>
    </row>
    <row r="685" spans="3:10" ht="12.75">
      <c r="C685" s="69"/>
      <c r="D685" s="69"/>
      <c r="E685" s="69"/>
      <c r="F685" s="69"/>
      <c r="G685" s="69"/>
      <c r="H685" s="69"/>
      <c r="I685" s="69"/>
      <c r="J685" s="69"/>
    </row>
    <row r="686" spans="3:10" ht="12.75">
      <c r="C686" s="69"/>
      <c r="D686" s="69"/>
      <c r="E686" s="69"/>
      <c r="F686" s="69"/>
      <c r="G686" s="69"/>
      <c r="H686" s="69"/>
      <c r="I686" s="69"/>
      <c r="J686" s="69"/>
    </row>
    <row r="687" spans="3:10" ht="12.75">
      <c r="C687" s="69"/>
      <c r="D687" s="69"/>
      <c r="E687" s="69"/>
      <c r="F687" s="69"/>
      <c r="G687" s="69"/>
      <c r="H687" s="69"/>
      <c r="I687" s="69"/>
      <c r="J687" s="69"/>
    </row>
    <row r="688" spans="3:10" ht="12.75">
      <c r="C688" s="69"/>
      <c r="D688" s="69"/>
      <c r="E688" s="69"/>
      <c r="F688" s="69"/>
      <c r="G688" s="69"/>
      <c r="H688" s="69"/>
      <c r="I688" s="69"/>
      <c r="J688" s="69"/>
    </row>
    <row r="689" spans="3:10" ht="12.75">
      <c r="C689" s="69"/>
      <c r="D689" s="69"/>
      <c r="E689" s="69"/>
      <c r="F689" s="69"/>
      <c r="G689" s="69"/>
      <c r="H689" s="69"/>
      <c r="I689" s="69"/>
      <c r="J689" s="69"/>
    </row>
    <row r="690" spans="3:10" ht="12.75">
      <c r="C690" s="69"/>
      <c r="D690" s="69"/>
      <c r="E690" s="69"/>
      <c r="F690" s="69"/>
      <c r="G690" s="69"/>
      <c r="H690" s="69"/>
      <c r="I690" s="69"/>
      <c r="J690" s="69"/>
    </row>
    <row r="691" spans="3:10" ht="12.75">
      <c r="C691" s="69"/>
      <c r="D691" s="69"/>
      <c r="E691" s="69"/>
      <c r="F691" s="69"/>
      <c r="G691" s="69"/>
      <c r="H691" s="69"/>
      <c r="I691" s="69"/>
      <c r="J691" s="69"/>
    </row>
    <row r="692" spans="3:10" ht="12.75">
      <c r="C692" s="69"/>
      <c r="D692" s="69"/>
      <c r="E692" s="69"/>
      <c r="F692" s="69"/>
      <c r="G692" s="69"/>
      <c r="H692" s="69"/>
      <c r="I692" s="69"/>
      <c r="J692" s="69"/>
    </row>
    <row r="693" spans="3:10" ht="12.75">
      <c r="C693" s="69"/>
      <c r="D693" s="69"/>
      <c r="E693" s="69"/>
      <c r="F693" s="69"/>
      <c r="G693" s="69"/>
      <c r="H693" s="69"/>
      <c r="I693" s="69"/>
      <c r="J693" s="69"/>
    </row>
    <row r="694" spans="3:10" ht="12.75">
      <c r="C694" s="69"/>
      <c r="D694" s="69"/>
      <c r="E694" s="69"/>
      <c r="F694" s="69"/>
      <c r="G694" s="69"/>
      <c r="H694" s="69"/>
      <c r="I694" s="69"/>
      <c r="J694" s="69"/>
    </row>
    <row r="695" spans="3:10" ht="12.75">
      <c r="C695" s="69"/>
      <c r="D695" s="69"/>
      <c r="E695" s="69"/>
      <c r="F695" s="69"/>
      <c r="G695" s="69"/>
      <c r="H695" s="69"/>
      <c r="I695" s="69"/>
      <c r="J695" s="69"/>
    </row>
    <row r="696" spans="3:10" ht="12.75">
      <c r="C696" s="69"/>
      <c r="D696" s="69"/>
      <c r="E696" s="69"/>
      <c r="F696" s="69"/>
      <c r="G696" s="69"/>
      <c r="H696" s="69"/>
      <c r="I696" s="69"/>
      <c r="J696" s="69"/>
    </row>
    <row r="697" spans="3:10" ht="12.75">
      <c r="C697" s="69"/>
      <c r="D697" s="69"/>
      <c r="E697" s="69"/>
      <c r="F697" s="69"/>
      <c r="G697" s="69"/>
      <c r="H697" s="69"/>
      <c r="I697" s="69"/>
      <c r="J697" s="69"/>
    </row>
    <row r="698" spans="3:10" ht="12.75">
      <c r="C698" s="69"/>
      <c r="D698" s="69"/>
      <c r="E698" s="69"/>
      <c r="F698" s="69"/>
      <c r="G698" s="69"/>
      <c r="H698" s="69"/>
      <c r="I698" s="69"/>
      <c r="J698" s="69"/>
    </row>
    <row r="699" spans="3:10" ht="12.75">
      <c r="C699" s="69"/>
      <c r="D699" s="69"/>
      <c r="E699" s="69"/>
      <c r="F699" s="69"/>
      <c r="G699" s="69"/>
      <c r="H699" s="69"/>
      <c r="I699" s="69"/>
      <c r="J699" s="69"/>
    </row>
    <row r="700" spans="3:10" ht="12.75">
      <c r="C700" s="69"/>
      <c r="D700" s="69"/>
      <c r="E700" s="69"/>
      <c r="F700" s="69"/>
      <c r="G700" s="69"/>
      <c r="H700" s="69"/>
      <c r="I700" s="69"/>
      <c r="J700" s="69"/>
    </row>
    <row r="701" spans="3:10" ht="12.75">
      <c r="C701" s="69"/>
      <c r="D701" s="69"/>
      <c r="E701" s="69"/>
      <c r="F701" s="69"/>
      <c r="G701" s="69"/>
      <c r="H701" s="69"/>
      <c r="I701" s="69"/>
      <c r="J701" s="69"/>
    </row>
    <row r="702" spans="3:10" ht="12.75">
      <c r="C702" s="69"/>
      <c r="D702" s="69"/>
      <c r="E702" s="69"/>
      <c r="F702" s="69"/>
      <c r="G702" s="69"/>
      <c r="H702" s="69"/>
      <c r="I702" s="69"/>
      <c r="J702" s="69"/>
    </row>
    <row r="703" spans="3:10" ht="12.75">
      <c r="C703" s="69"/>
      <c r="D703" s="69"/>
      <c r="E703" s="69"/>
      <c r="F703" s="69"/>
      <c r="G703" s="69"/>
      <c r="H703" s="69"/>
      <c r="I703" s="69"/>
      <c r="J703" s="69"/>
    </row>
    <row r="704" spans="3:10" ht="12.75">
      <c r="C704" s="69"/>
      <c r="D704" s="69"/>
      <c r="E704" s="69"/>
      <c r="F704" s="69"/>
      <c r="G704" s="69"/>
      <c r="H704" s="69"/>
      <c r="I704" s="69"/>
      <c r="J704" s="69"/>
    </row>
    <row r="705" spans="3:10" ht="12.75">
      <c r="C705" s="69"/>
      <c r="D705" s="69"/>
      <c r="E705" s="69"/>
      <c r="F705" s="69"/>
      <c r="G705" s="69"/>
      <c r="H705" s="69"/>
      <c r="I705" s="69"/>
      <c r="J705" s="69"/>
    </row>
    <row r="706" spans="3:10" ht="12.75">
      <c r="C706" s="69"/>
      <c r="D706" s="69"/>
      <c r="E706" s="69"/>
      <c r="F706" s="69"/>
      <c r="G706" s="69"/>
      <c r="H706" s="69"/>
      <c r="I706" s="69"/>
      <c r="J706" s="69"/>
    </row>
    <row r="707" spans="3:10" ht="12.75">
      <c r="C707" s="69"/>
      <c r="D707" s="69"/>
      <c r="E707" s="69"/>
      <c r="F707" s="69"/>
      <c r="G707" s="69"/>
      <c r="H707" s="69"/>
      <c r="I707" s="69"/>
      <c r="J707" s="69"/>
    </row>
    <row r="708" spans="3:10" ht="12.75">
      <c r="C708" s="69"/>
      <c r="D708" s="69"/>
      <c r="E708" s="69"/>
      <c r="F708" s="69"/>
      <c r="G708" s="69"/>
      <c r="H708" s="69"/>
      <c r="I708" s="69"/>
      <c r="J708" s="69"/>
    </row>
    <row r="709" spans="3:10" ht="12.75">
      <c r="C709" s="69"/>
      <c r="D709" s="69"/>
      <c r="E709" s="69"/>
      <c r="F709" s="69"/>
      <c r="G709" s="69"/>
      <c r="H709" s="69"/>
      <c r="I709" s="69"/>
      <c r="J709" s="69"/>
    </row>
    <row r="710" spans="3:10" ht="12.75">
      <c r="C710" s="69"/>
      <c r="D710" s="69"/>
      <c r="E710" s="69"/>
      <c r="F710" s="69"/>
      <c r="G710" s="69"/>
      <c r="H710" s="69"/>
      <c r="I710" s="69"/>
      <c r="J710" s="69"/>
    </row>
    <row r="711" spans="3:10" ht="12.75">
      <c r="C711" s="69"/>
      <c r="D711" s="69"/>
      <c r="E711" s="69"/>
      <c r="F711" s="69"/>
      <c r="G711" s="69"/>
      <c r="H711" s="69"/>
      <c r="I711" s="69"/>
      <c r="J711" s="69"/>
    </row>
    <row r="712" spans="3:10" ht="12.75">
      <c r="C712" s="69"/>
      <c r="D712" s="69"/>
      <c r="E712" s="69"/>
      <c r="F712" s="69"/>
      <c r="G712" s="69"/>
      <c r="H712" s="69"/>
      <c r="I712" s="69"/>
      <c r="J712" s="69"/>
    </row>
    <row r="713" spans="3:10" ht="12.75">
      <c r="C713" s="69"/>
      <c r="D713" s="69"/>
      <c r="E713" s="69"/>
      <c r="F713" s="69"/>
      <c r="G713" s="69"/>
      <c r="H713" s="69"/>
      <c r="I713" s="69"/>
      <c r="J713" s="69"/>
    </row>
    <row r="714" spans="3:10" ht="12.75">
      <c r="C714" s="69"/>
      <c r="D714" s="69"/>
      <c r="E714" s="69"/>
      <c r="F714" s="69"/>
      <c r="G714" s="69"/>
      <c r="H714" s="69"/>
      <c r="I714" s="69"/>
      <c r="J714" s="69"/>
    </row>
    <row r="715" spans="3:10" ht="12.75">
      <c r="C715" s="69"/>
      <c r="D715" s="69"/>
      <c r="E715" s="69"/>
      <c r="F715" s="69"/>
      <c r="G715" s="69"/>
      <c r="H715" s="69"/>
      <c r="I715" s="69"/>
      <c r="J715" s="69"/>
    </row>
    <row r="716" spans="3:10" ht="12.75">
      <c r="C716" s="69"/>
      <c r="D716" s="69"/>
      <c r="E716" s="69"/>
      <c r="F716" s="69"/>
      <c r="G716" s="69"/>
      <c r="H716" s="69"/>
      <c r="I716" s="69"/>
      <c r="J716" s="69"/>
    </row>
    <row r="717" spans="3:10" ht="12.75">
      <c r="C717" s="69"/>
      <c r="D717" s="69"/>
      <c r="E717" s="69"/>
      <c r="F717" s="69"/>
      <c r="G717" s="69"/>
      <c r="H717" s="69"/>
      <c r="I717" s="69"/>
      <c r="J717" s="69"/>
    </row>
    <row r="718" spans="3:10" ht="12.75">
      <c r="C718" s="69"/>
      <c r="D718" s="69"/>
      <c r="E718" s="69"/>
      <c r="F718" s="69"/>
      <c r="G718" s="69"/>
      <c r="H718" s="69"/>
      <c r="I718" s="69"/>
      <c r="J718" s="69"/>
    </row>
    <row r="719" spans="3:10" ht="12.75">
      <c r="C719" s="69"/>
      <c r="D719" s="69"/>
      <c r="E719" s="69"/>
      <c r="F719" s="69"/>
      <c r="G719" s="69"/>
      <c r="H719" s="69"/>
      <c r="I719" s="69"/>
      <c r="J719" s="69"/>
    </row>
    <row r="720" spans="3:10" ht="12.75">
      <c r="C720" s="69"/>
      <c r="D720" s="69"/>
      <c r="E720" s="69"/>
      <c r="F720" s="69"/>
      <c r="G720" s="69"/>
      <c r="H720" s="69"/>
      <c r="I720" s="69"/>
      <c r="J720" s="69"/>
    </row>
    <row r="721" spans="3:10" ht="12.75">
      <c r="C721" s="69"/>
      <c r="D721" s="69"/>
      <c r="E721" s="69"/>
      <c r="F721" s="69"/>
      <c r="G721" s="69"/>
      <c r="H721" s="69"/>
      <c r="I721" s="69"/>
      <c r="J721" s="69"/>
    </row>
    <row r="722" spans="3:10" ht="12.75">
      <c r="C722" s="69"/>
      <c r="D722" s="69"/>
      <c r="E722" s="69"/>
      <c r="F722" s="69"/>
      <c r="G722" s="69"/>
      <c r="H722" s="69"/>
      <c r="I722" s="69"/>
      <c r="J722" s="69"/>
    </row>
    <row r="723" spans="3:10" ht="12.75">
      <c r="C723" s="69"/>
      <c r="D723" s="69"/>
      <c r="E723" s="69"/>
      <c r="F723" s="69"/>
      <c r="G723" s="69"/>
      <c r="H723" s="69"/>
      <c r="I723" s="69"/>
      <c r="J723" s="69"/>
    </row>
    <row r="724" spans="3:10" ht="12.75">
      <c r="C724" s="69"/>
      <c r="D724" s="69"/>
      <c r="E724" s="69"/>
      <c r="F724" s="69"/>
      <c r="G724" s="69"/>
      <c r="H724" s="69"/>
      <c r="I724" s="69"/>
      <c r="J724" s="69"/>
    </row>
    <row r="725" spans="3:10" ht="12.75">
      <c r="C725" s="69"/>
      <c r="D725" s="69"/>
      <c r="E725" s="69"/>
      <c r="F725" s="69"/>
      <c r="G725" s="69"/>
      <c r="H725" s="69"/>
      <c r="I725" s="69"/>
      <c r="J725" s="69"/>
    </row>
    <row r="726" spans="3:10" ht="12.75">
      <c r="C726" s="69"/>
      <c r="D726" s="69"/>
      <c r="E726" s="69"/>
      <c r="F726" s="69"/>
      <c r="G726" s="69"/>
      <c r="H726" s="69"/>
      <c r="I726" s="69"/>
      <c r="J726" s="69"/>
    </row>
    <row r="727" spans="3:10" ht="12.75">
      <c r="C727" s="69"/>
      <c r="D727" s="69"/>
      <c r="E727" s="69"/>
      <c r="F727" s="69"/>
      <c r="G727" s="69"/>
      <c r="H727" s="69"/>
      <c r="I727" s="69"/>
      <c r="J727" s="69"/>
    </row>
    <row r="728" spans="3:10" ht="12.75">
      <c r="C728" s="69"/>
      <c r="D728" s="69"/>
      <c r="E728" s="69"/>
      <c r="F728" s="69"/>
      <c r="G728" s="69"/>
      <c r="H728" s="69"/>
      <c r="I728" s="69"/>
      <c r="J728" s="69"/>
    </row>
    <row r="729" spans="3:10" ht="12.75">
      <c r="C729" s="69"/>
      <c r="D729" s="69"/>
      <c r="E729" s="69"/>
      <c r="F729" s="69"/>
      <c r="G729" s="69"/>
      <c r="H729" s="69"/>
      <c r="I729" s="69"/>
      <c r="J729" s="69"/>
    </row>
    <row r="730" spans="3:10" ht="12.75">
      <c r="C730" s="69"/>
      <c r="D730" s="69"/>
      <c r="E730" s="69"/>
      <c r="F730" s="69"/>
      <c r="G730" s="69"/>
      <c r="H730" s="69"/>
      <c r="I730" s="69"/>
      <c r="J730" s="69"/>
    </row>
    <row r="731" spans="3:10" ht="12.75">
      <c r="C731" s="69"/>
      <c r="D731" s="69"/>
      <c r="E731" s="69"/>
      <c r="F731" s="69"/>
      <c r="G731" s="69"/>
      <c r="H731" s="69"/>
      <c r="I731" s="69"/>
      <c r="J731" s="69"/>
    </row>
    <row r="732" spans="3:10" ht="12.75">
      <c r="C732" s="69"/>
      <c r="D732" s="69"/>
      <c r="E732" s="69"/>
      <c r="F732" s="69"/>
      <c r="G732" s="69"/>
      <c r="H732" s="69"/>
      <c r="I732" s="69"/>
      <c r="J732" s="69"/>
    </row>
    <row r="733" spans="3:10" ht="12.75">
      <c r="C733" s="69"/>
      <c r="D733" s="69"/>
      <c r="E733" s="69"/>
      <c r="F733" s="69"/>
      <c r="G733" s="69"/>
      <c r="H733" s="69"/>
      <c r="I733" s="69"/>
      <c r="J733" s="69"/>
    </row>
    <row r="734" spans="3:10" ht="12.75">
      <c r="C734" s="69"/>
      <c r="D734" s="69"/>
      <c r="E734" s="69"/>
      <c r="F734" s="69"/>
      <c r="G734" s="69"/>
      <c r="H734" s="69"/>
      <c r="I734" s="69"/>
      <c r="J734" s="69"/>
    </row>
    <row r="735" spans="3:10" ht="12.75">
      <c r="C735" s="69"/>
      <c r="D735" s="69"/>
      <c r="E735" s="69"/>
      <c r="F735" s="69"/>
      <c r="G735" s="69"/>
      <c r="H735" s="69"/>
      <c r="I735" s="69"/>
      <c r="J735" s="69"/>
    </row>
    <row r="736" spans="3:10" ht="12.75">
      <c r="C736" s="69"/>
      <c r="D736" s="69"/>
      <c r="E736" s="69"/>
      <c r="F736" s="69"/>
      <c r="G736" s="69"/>
      <c r="H736" s="69"/>
      <c r="I736" s="69"/>
      <c r="J736" s="69"/>
    </row>
    <row r="737" spans="3:10" ht="12.75">
      <c r="C737" s="69"/>
      <c r="D737" s="69"/>
      <c r="E737" s="69"/>
      <c r="F737" s="69"/>
      <c r="G737" s="69"/>
      <c r="H737" s="69"/>
      <c r="I737" s="69"/>
      <c r="J737" s="69"/>
    </row>
    <row r="738" spans="3:10" ht="12.75">
      <c r="C738" s="69"/>
      <c r="D738" s="69"/>
      <c r="E738" s="69"/>
      <c r="F738" s="69"/>
      <c r="G738" s="69"/>
      <c r="H738" s="69"/>
      <c r="I738" s="69"/>
      <c r="J738" s="69"/>
    </row>
    <row r="739" spans="3:10" ht="12.75">
      <c r="C739" s="69"/>
      <c r="D739" s="69"/>
      <c r="E739" s="69"/>
      <c r="F739" s="69"/>
      <c r="G739" s="69"/>
      <c r="H739" s="69"/>
      <c r="I739" s="69"/>
      <c r="J739" s="69"/>
    </row>
    <row r="740" spans="3:10" ht="12.75">
      <c r="C740" s="69"/>
      <c r="D740" s="69"/>
      <c r="E740" s="69"/>
      <c r="F740" s="69"/>
      <c r="G740" s="69"/>
      <c r="H740" s="69"/>
      <c r="I740" s="69"/>
      <c r="J740" s="69"/>
    </row>
    <row r="741" spans="3:10" ht="12.75">
      <c r="C741" s="69"/>
      <c r="D741" s="69"/>
      <c r="E741" s="69"/>
      <c r="F741" s="69"/>
      <c r="G741" s="69"/>
      <c r="H741" s="69"/>
      <c r="I741" s="69"/>
      <c r="J741" s="69"/>
    </row>
    <row r="742" spans="3:10" ht="12.75">
      <c r="C742" s="69"/>
      <c r="D742" s="69"/>
      <c r="E742" s="69"/>
      <c r="F742" s="69"/>
      <c r="G742" s="69"/>
      <c r="H742" s="69"/>
      <c r="I742" s="69"/>
      <c r="J742" s="69"/>
    </row>
    <row r="743" spans="3:10" ht="12.75">
      <c r="C743" s="69"/>
      <c r="D743" s="69"/>
      <c r="E743" s="69"/>
      <c r="F743" s="69"/>
      <c r="G743" s="69"/>
      <c r="H743" s="69"/>
      <c r="I743" s="69"/>
      <c r="J743" s="69"/>
    </row>
    <row r="744" spans="3:10" ht="12.75">
      <c r="C744" s="69"/>
      <c r="D744" s="69"/>
      <c r="E744" s="69"/>
      <c r="F744" s="69"/>
      <c r="G744" s="69"/>
      <c r="H744" s="69"/>
      <c r="I744" s="69"/>
      <c r="J744" s="69"/>
    </row>
    <row r="745" spans="3:10" ht="12.75">
      <c r="C745" s="69"/>
      <c r="D745" s="69"/>
      <c r="E745" s="69"/>
      <c r="F745" s="69"/>
      <c r="G745" s="69"/>
      <c r="H745" s="69"/>
      <c r="I745" s="69"/>
      <c r="J745" s="69"/>
    </row>
    <row r="746" spans="3:10" ht="12.75">
      <c r="C746" s="69"/>
      <c r="D746" s="69"/>
      <c r="E746" s="69"/>
      <c r="F746" s="69"/>
      <c r="G746" s="69"/>
      <c r="H746" s="69"/>
      <c r="I746" s="69"/>
      <c r="J746" s="69"/>
    </row>
    <row r="747" spans="3:10" ht="12.75">
      <c r="C747" s="69"/>
      <c r="D747" s="69"/>
      <c r="E747" s="69"/>
      <c r="F747" s="69"/>
      <c r="G747" s="69"/>
      <c r="H747" s="69"/>
      <c r="I747" s="69"/>
      <c r="J747" s="69"/>
    </row>
    <row r="748" spans="3:10" ht="12.75">
      <c r="C748" s="69"/>
      <c r="D748" s="69"/>
      <c r="E748" s="69"/>
      <c r="F748" s="69"/>
      <c r="G748" s="69"/>
      <c r="H748" s="69"/>
      <c r="I748" s="69"/>
      <c r="J748" s="69"/>
    </row>
    <row r="749" spans="3:10" ht="12.75">
      <c r="C749" s="69"/>
      <c r="D749" s="69"/>
      <c r="E749" s="69"/>
      <c r="F749" s="69"/>
      <c r="G749" s="69"/>
      <c r="H749" s="69"/>
      <c r="I749" s="69"/>
      <c r="J749" s="69"/>
    </row>
    <row r="750" spans="3:10" ht="12.75">
      <c r="C750" s="69"/>
      <c r="D750" s="69"/>
      <c r="E750" s="69"/>
      <c r="F750" s="69"/>
      <c r="G750" s="69"/>
      <c r="H750" s="69"/>
      <c r="I750" s="69"/>
      <c r="J750" s="69"/>
    </row>
    <row r="751" spans="3:10" ht="12.75">
      <c r="C751" s="69"/>
      <c r="D751" s="69"/>
      <c r="E751" s="69"/>
      <c r="F751" s="69"/>
      <c r="G751" s="69"/>
      <c r="H751" s="69"/>
      <c r="I751" s="69"/>
      <c r="J751" s="69"/>
    </row>
    <row r="752" spans="3:10" ht="12.75">
      <c r="C752" s="69"/>
      <c r="D752" s="69"/>
      <c r="E752" s="69"/>
      <c r="F752" s="69"/>
      <c r="G752" s="69"/>
      <c r="H752" s="69"/>
      <c r="I752" s="69"/>
      <c r="J752" s="69"/>
    </row>
    <row r="753" spans="3:10" ht="12.75">
      <c r="C753" s="69"/>
      <c r="D753" s="69"/>
      <c r="E753" s="69"/>
      <c r="F753" s="69"/>
      <c r="G753" s="69"/>
      <c r="H753" s="69"/>
      <c r="I753" s="69"/>
      <c r="J753" s="69"/>
    </row>
    <row r="754" spans="3:10" ht="12.75">
      <c r="C754" s="69"/>
      <c r="D754" s="69"/>
      <c r="E754" s="69"/>
      <c r="F754" s="69"/>
      <c r="G754" s="69"/>
      <c r="H754" s="69"/>
      <c r="I754" s="69"/>
      <c r="J754" s="69"/>
    </row>
    <row r="755" spans="3:10" ht="12.75">
      <c r="C755" s="69"/>
      <c r="D755" s="69"/>
      <c r="E755" s="69"/>
      <c r="F755" s="69"/>
      <c r="G755" s="69"/>
      <c r="H755" s="69"/>
      <c r="I755" s="69"/>
      <c r="J755" s="69"/>
    </row>
    <row r="756" spans="3:10" ht="12.75">
      <c r="C756" s="69"/>
      <c r="D756" s="69"/>
      <c r="E756" s="69"/>
      <c r="F756" s="69"/>
      <c r="G756" s="69"/>
      <c r="H756" s="69"/>
      <c r="I756" s="69"/>
      <c r="J756" s="69"/>
    </row>
    <row r="757" spans="3:10" ht="12.75">
      <c r="C757" s="69"/>
      <c r="D757" s="69"/>
      <c r="E757" s="69"/>
      <c r="F757" s="69"/>
      <c r="G757" s="69"/>
      <c r="H757" s="69"/>
      <c r="I757" s="69"/>
      <c r="J757" s="69"/>
    </row>
    <row r="758" spans="3:10" ht="12.75">
      <c r="C758" s="69"/>
      <c r="D758" s="69"/>
      <c r="E758" s="69"/>
      <c r="F758" s="69"/>
      <c r="G758" s="69"/>
      <c r="H758" s="69"/>
      <c r="I758" s="69"/>
      <c r="J758" s="69"/>
    </row>
    <row r="759" spans="3:10" ht="12.75">
      <c r="C759" s="69"/>
      <c r="D759" s="69"/>
      <c r="E759" s="69"/>
      <c r="F759" s="69"/>
      <c r="G759" s="69"/>
      <c r="H759" s="69"/>
      <c r="I759" s="69"/>
      <c r="J759" s="69"/>
    </row>
    <row r="760" spans="3:10" ht="12.75">
      <c r="C760" s="69"/>
      <c r="D760" s="69"/>
      <c r="E760" s="69"/>
      <c r="F760" s="69"/>
      <c r="G760" s="69"/>
      <c r="H760" s="69"/>
      <c r="I760" s="69"/>
      <c r="J760" s="69"/>
    </row>
    <row r="761" spans="3:10" ht="12.75">
      <c r="C761" s="69"/>
      <c r="D761" s="69"/>
      <c r="E761" s="69"/>
      <c r="F761" s="69"/>
      <c r="G761" s="69"/>
      <c r="H761" s="69"/>
      <c r="I761" s="69"/>
      <c r="J761" s="69"/>
    </row>
    <row r="762" spans="3:10" ht="12.75">
      <c r="C762" s="69"/>
      <c r="D762" s="69"/>
      <c r="E762" s="69"/>
      <c r="F762" s="69"/>
      <c r="G762" s="69"/>
      <c r="H762" s="69"/>
      <c r="I762" s="69"/>
      <c r="J762" s="69"/>
    </row>
    <row r="763" spans="3:10" ht="12.75">
      <c r="C763" s="69"/>
      <c r="D763" s="69"/>
      <c r="E763" s="69"/>
      <c r="F763" s="69"/>
      <c r="G763" s="69"/>
      <c r="H763" s="69"/>
      <c r="I763" s="69"/>
      <c r="J763" s="69"/>
    </row>
    <row r="764" spans="3:10" ht="12.75">
      <c r="C764" s="69"/>
      <c r="D764" s="69"/>
      <c r="E764" s="69"/>
      <c r="F764" s="69"/>
      <c r="G764" s="69"/>
      <c r="H764" s="69"/>
      <c r="I764" s="69"/>
      <c r="J764" s="69"/>
    </row>
    <row r="765" spans="3:10" ht="12.75">
      <c r="C765" s="69"/>
      <c r="D765" s="69"/>
      <c r="E765" s="69"/>
      <c r="F765" s="69"/>
      <c r="G765" s="69"/>
      <c r="H765" s="69"/>
      <c r="I765" s="69"/>
      <c r="J765" s="69"/>
    </row>
    <row r="766" spans="3:10" ht="12.75">
      <c r="C766" s="69"/>
      <c r="D766" s="69"/>
      <c r="E766" s="69"/>
      <c r="F766" s="69"/>
      <c r="G766" s="69"/>
      <c r="H766" s="69"/>
      <c r="I766" s="69"/>
      <c r="J766" s="69"/>
    </row>
    <row r="767" spans="3:10" ht="12.75">
      <c r="C767" s="69"/>
      <c r="D767" s="69"/>
      <c r="E767" s="69"/>
      <c r="F767" s="69"/>
      <c r="G767" s="69"/>
      <c r="H767" s="69"/>
      <c r="I767" s="69"/>
      <c r="J767" s="69"/>
    </row>
    <row r="768" spans="3:10" ht="12.75">
      <c r="C768" s="69"/>
      <c r="D768" s="69"/>
      <c r="E768" s="69"/>
      <c r="F768" s="69"/>
      <c r="G768" s="69"/>
      <c r="H768" s="69"/>
      <c r="I768" s="69"/>
      <c r="J768" s="69"/>
    </row>
    <row r="769" spans="3:10" ht="12.75">
      <c r="C769" s="69"/>
      <c r="D769" s="69"/>
      <c r="E769" s="69"/>
      <c r="F769" s="69"/>
      <c r="G769" s="69"/>
      <c r="H769" s="69"/>
      <c r="I769" s="69"/>
      <c r="J769" s="69"/>
    </row>
    <row r="770" spans="3:10" ht="12.75">
      <c r="C770" s="69"/>
      <c r="D770" s="69"/>
      <c r="E770" s="69"/>
      <c r="F770" s="69"/>
      <c r="G770" s="69"/>
      <c r="H770" s="69"/>
      <c r="I770" s="69"/>
      <c r="J770" s="69"/>
    </row>
    <row r="771" spans="3:10" ht="12.75">
      <c r="C771" s="69"/>
      <c r="D771" s="69"/>
      <c r="E771" s="69"/>
      <c r="F771" s="69"/>
      <c r="G771" s="69"/>
      <c r="H771" s="69"/>
      <c r="I771" s="69"/>
      <c r="J771" s="69"/>
    </row>
    <row r="772" spans="3:10" ht="12.75">
      <c r="C772" s="69"/>
      <c r="D772" s="69"/>
      <c r="E772" s="69"/>
      <c r="F772" s="69"/>
      <c r="G772" s="69"/>
      <c r="H772" s="69"/>
      <c r="I772" s="69"/>
      <c r="J772" s="69"/>
    </row>
    <row r="773" spans="3:10" ht="12.75">
      <c r="C773" s="69"/>
      <c r="D773" s="69"/>
      <c r="E773" s="69"/>
      <c r="F773" s="69"/>
      <c r="G773" s="69"/>
      <c r="H773" s="69"/>
      <c r="I773" s="69"/>
      <c r="J773" s="69"/>
    </row>
    <row r="774" spans="3:10" ht="12.75">
      <c r="C774" s="69"/>
      <c r="D774" s="69"/>
      <c r="E774" s="69"/>
      <c r="F774" s="69"/>
      <c r="G774" s="69"/>
      <c r="H774" s="69"/>
      <c r="I774" s="69"/>
      <c r="J774" s="69"/>
    </row>
    <row r="775" spans="3:10" ht="12.75">
      <c r="C775" s="69"/>
      <c r="D775" s="69"/>
      <c r="E775" s="69"/>
      <c r="F775" s="69"/>
      <c r="G775" s="69"/>
      <c r="H775" s="69"/>
      <c r="I775" s="69"/>
      <c r="J775" s="69"/>
    </row>
    <row r="776" spans="3:10" ht="12.75">
      <c r="C776" s="69"/>
      <c r="D776" s="69"/>
      <c r="E776" s="69"/>
      <c r="F776" s="69"/>
      <c r="G776" s="69"/>
      <c r="H776" s="69"/>
      <c r="I776" s="69"/>
      <c r="J776" s="69"/>
    </row>
    <row r="777" spans="3:10" ht="12.75">
      <c r="C777" s="69"/>
      <c r="D777" s="69"/>
      <c r="E777" s="69"/>
      <c r="F777" s="69"/>
      <c r="G777" s="69"/>
      <c r="H777" s="69"/>
      <c r="I777" s="69"/>
      <c r="J777" s="69"/>
    </row>
    <row r="778" spans="3:10" ht="12.75">
      <c r="C778" s="69"/>
      <c r="D778" s="69"/>
      <c r="E778" s="69"/>
      <c r="F778" s="69"/>
      <c r="G778" s="69"/>
      <c r="H778" s="69"/>
      <c r="I778" s="69"/>
      <c r="J778" s="69"/>
    </row>
    <row r="779" spans="3:10" ht="12.75">
      <c r="C779" s="69"/>
      <c r="D779" s="69"/>
      <c r="E779" s="69"/>
      <c r="F779" s="69"/>
      <c r="G779" s="69"/>
      <c r="H779" s="69"/>
      <c r="I779" s="69"/>
      <c r="J779" s="69"/>
    </row>
    <row r="780" spans="3:10" ht="12.75">
      <c r="C780" s="69"/>
      <c r="D780" s="69"/>
      <c r="E780" s="69"/>
      <c r="F780" s="69"/>
      <c r="G780" s="69"/>
      <c r="H780" s="69"/>
      <c r="I780" s="69"/>
      <c r="J780" s="69"/>
    </row>
    <row r="781" spans="3:10" ht="12.75">
      <c r="C781" s="69"/>
      <c r="D781" s="69"/>
      <c r="E781" s="69"/>
      <c r="F781" s="69"/>
      <c r="G781" s="69"/>
      <c r="H781" s="69"/>
      <c r="I781" s="69"/>
      <c r="J781" s="69"/>
    </row>
    <row r="782" spans="3:10" ht="12.75">
      <c r="C782" s="69"/>
      <c r="D782" s="69"/>
      <c r="E782" s="69"/>
      <c r="F782" s="69"/>
      <c r="G782" s="69"/>
      <c r="H782" s="69"/>
      <c r="I782" s="69"/>
      <c r="J782" s="69"/>
    </row>
    <row r="783" spans="3:10" ht="12.75">
      <c r="C783" s="69"/>
      <c r="D783" s="69"/>
      <c r="E783" s="69"/>
      <c r="F783" s="69"/>
      <c r="G783" s="69"/>
      <c r="H783" s="69"/>
      <c r="I783" s="69"/>
      <c r="J783" s="69"/>
    </row>
    <row r="784" spans="3:10" ht="12.75">
      <c r="C784" s="69"/>
      <c r="D784" s="69"/>
      <c r="E784" s="69"/>
      <c r="F784" s="69"/>
      <c r="G784" s="69"/>
      <c r="H784" s="69"/>
      <c r="I784" s="69"/>
      <c r="J784" s="69"/>
    </row>
    <row r="785" spans="3:10" ht="12.75">
      <c r="C785" s="69"/>
      <c r="D785" s="69"/>
      <c r="E785" s="69"/>
      <c r="F785" s="69"/>
      <c r="G785" s="69"/>
      <c r="H785" s="69"/>
      <c r="I785" s="69"/>
      <c r="J785" s="69"/>
    </row>
    <row r="786" spans="3:10" ht="12.75">
      <c r="C786" s="69"/>
      <c r="D786" s="69"/>
      <c r="E786" s="69"/>
      <c r="F786" s="69"/>
      <c r="G786" s="69"/>
      <c r="H786" s="69"/>
      <c r="I786" s="69"/>
      <c r="J786" s="69"/>
    </row>
    <row r="787" spans="3:10" ht="12.75">
      <c r="C787" s="69"/>
      <c r="D787" s="69"/>
      <c r="E787" s="69"/>
      <c r="F787" s="69"/>
      <c r="G787" s="69"/>
      <c r="H787" s="69"/>
      <c r="I787" s="69"/>
      <c r="J787" s="69"/>
    </row>
    <row r="788" spans="3:10" ht="12.75">
      <c r="C788" s="69"/>
      <c r="D788" s="69"/>
      <c r="E788" s="69"/>
      <c r="F788" s="69"/>
      <c r="G788" s="69"/>
      <c r="H788" s="69"/>
      <c r="I788" s="69"/>
      <c r="J788" s="69"/>
    </row>
    <row r="789" spans="3:10" ht="12.75">
      <c r="C789" s="69"/>
      <c r="D789" s="69"/>
      <c r="E789" s="69"/>
      <c r="F789" s="69"/>
      <c r="G789" s="69"/>
      <c r="H789" s="69"/>
      <c r="I789" s="69"/>
      <c r="J789" s="69"/>
    </row>
    <row r="790" spans="3:10" ht="12.75">
      <c r="C790" s="69"/>
      <c r="D790" s="69"/>
      <c r="E790" s="69"/>
      <c r="F790" s="69"/>
      <c r="G790" s="69"/>
      <c r="H790" s="69"/>
      <c r="I790" s="69"/>
      <c r="J790" s="69"/>
    </row>
    <row r="791" spans="3:10" ht="12.75">
      <c r="C791" s="69"/>
      <c r="D791" s="69"/>
      <c r="E791" s="69"/>
      <c r="F791" s="69"/>
      <c r="G791" s="69"/>
      <c r="H791" s="69"/>
      <c r="I791" s="69"/>
      <c r="J791" s="69"/>
    </row>
    <row r="792" spans="3:10" ht="12.75">
      <c r="C792" s="69"/>
      <c r="D792" s="69"/>
      <c r="E792" s="69"/>
      <c r="F792" s="69"/>
      <c r="G792" s="69"/>
      <c r="H792" s="69"/>
      <c r="I792" s="69"/>
      <c r="J792" s="69"/>
    </row>
    <row r="793" spans="3:10" ht="12.75">
      <c r="C793" s="69"/>
      <c r="D793" s="69"/>
      <c r="E793" s="69"/>
      <c r="F793" s="69"/>
      <c r="G793" s="69"/>
      <c r="H793" s="69"/>
      <c r="I793" s="69"/>
      <c r="J793" s="69"/>
    </row>
    <row r="794" spans="3:10" ht="12.75">
      <c r="C794" s="69"/>
      <c r="D794" s="69"/>
      <c r="E794" s="69"/>
      <c r="F794" s="69"/>
      <c r="G794" s="69"/>
      <c r="H794" s="69"/>
      <c r="I794" s="69"/>
      <c r="J794" s="69"/>
    </row>
    <row r="795" spans="3:10" ht="12.75">
      <c r="C795" s="69"/>
      <c r="D795" s="69"/>
      <c r="E795" s="69"/>
      <c r="F795" s="69"/>
      <c r="G795" s="69"/>
      <c r="H795" s="69"/>
      <c r="I795" s="69"/>
      <c r="J795" s="69"/>
    </row>
    <row r="796" spans="3:10" ht="12.75">
      <c r="C796" s="69"/>
      <c r="D796" s="69"/>
      <c r="E796" s="69"/>
      <c r="F796" s="69"/>
      <c r="G796" s="69"/>
      <c r="H796" s="69"/>
      <c r="I796" s="69"/>
      <c r="J796" s="69"/>
    </row>
    <row r="797" spans="3:10" ht="12.75">
      <c r="C797" s="69"/>
      <c r="D797" s="69"/>
      <c r="E797" s="69"/>
      <c r="F797" s="69"/>
      <c r="G797" s="69"/>
      <c r="H797" s="69"/>
      <c r="I797" s="69"/>
      <c r="J797" s="69"/>
    </row>
    <row r="798" spans="3:10" ht="12.75">
      <c r="C798" s="69"/>
      <c r="D798" s="69"/>
      <c r="E798" s="69"/>
      <c r="F798" s="69"/>
      <c r="G798" s="69"/>
      <c r="H798" s="69"/>
      <c r="I798" s="69"/>
      <c r="J798" s="69"/>
    </row>
    <row r="799" spans="3:10" ht="12.75">
      <c r="C799" s="69"/>
      <c r="D799" s="69"/>
      <c r="E799" s="69"/>
      <c r="F799" s="69"/>
      <c r="G799" s="69"/>
      <c r="H799" s="69"/>
      <c r="I799" s="69"/>
      <c r="J799" s="69"/>
    </row>
  </sheetData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9.125" style="2" customWidth="1"/>
  </cols>
  <sheetData>
    <row r="24" ht="12" customHeight="1"/>
  </sheetData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27"/>
  <sheetViews>
    <sheetView workbookViewId="0" topLeftCell="A1">
      <selection activeCell="A1" sqref="A1"/>
    </sheetView>
  </sheetViews>
  <sheetFormatPr defaultColWidth="9.00390625" defaultRowHeight="12.75"/>
  <cols>
    <col min="1" max="1" width="26.625" style="2" bestFit="1" customWidth="1"/>
    <col min="2" max="2" width="10.25390625" style="2" bestFit="1" customWidth="1"/>
    <col min="3" max="3" width="11.75390625" style="2" customWidth="1"/>
    <col min="4" max="4" width="9.125" style="2" customWidth="1"/>
    <col min="5" max="5" width="11.75390625" style="2" customWidth="1"/>
    <col min="6" max="6" width="10.75390625" style="2" customWidth="1"/>
    <col min="7" max="8" width="9.125" style="2" customWidth="1"/>
    <col min="9" max="10" width="13.75390625" style="2" customWidth="1"/>
    <col min="11" max="16384" width="9.125" style="2" customWidth="1"/>
  </cols>
  <sheetData>
    <row r="1" ht="15.75">
      <c r="A1" s="1" t="s">
        <v>162</v>
      </c>
    </row>
    <row r="3" spans="1:14" ht="12.75">
      <c r="A3" s="40"/>
      <c r="B3" s="26" t="s">
        <v>8</v>
      </c>
      <c r="C3" s="6">
        <v>1993</v>
      </c>
      <c r="D3" s="6">
        <v>1994</v>
      </c>
      <c r="E3" s="6">
        <v>1995</v>
      </c>
      <c r="F3" s="6">
        <v>1996</v>
      </c>
      <c r="G3" s="6">
        <v>1997</v>
      </c>
      <c r="H3" s="6">
        <v>1998</v>
      </c>
      <c r="I3" s="6">
        <v>1999</v>
      </c>
      <c r="J3" s="7">
        <v>2000</v>
      </c>
      <c r="K3" s="332">
        <v>2001</v>
      </c>
      <c r="L3" s="333">
        <v>2002</v>
      </c>
      <c r="M3" s="333">
        <v>2003</v>
      </c>
      <c r="N3" s="333">
        <v>2004</v>
      </c>
    </row>
    <row r="4" spans="1:14" ht="12.75">
      <c r="A4" s="41"/>
      <c r="B4" s="27"/>
      <c r="C4" s="24"/>
      <c r="D4" s="24"/>
      <c r="E4" s="24"/>
      <c r="F4" s="24"/>
      <c r="G4" s="24"/>
      <c r="H4" s="24"/>
      <c r="I4" s="24"/>
      <c r="J4" s="100"/>
      <c r="K4" s="334" t="s">
        <v>10</v>
      </c>
      <c r="L4" s="335" t="s">
        <v>10</v>
      </c>
      <c r="M4" s="335" t="s">
        <v>10</v>
      </c>
      <c r="N4" s="335" t="s">
        <v>10</v>
      </c>
    </row>
    <row r="5" spans="1:14" ht="14.25">
      <c r="A5" s="58" t="s">
        <v>147</v>
      </c>
      <c r="B5" s="28"/>
      <c r="C5" s="76"/>
      <c r="D5" s="76"/>
      <c r="E5" s="76"/>
      <c r="F5" s="76"/>
      <c r="G5" s="76"/>
      <c r="H5" s="76"/>
      <c r="I5" s="76"/>
      <c r="J5" s="79"/>
      <c r="K5" s="336"/>
      <c r="L5" s="331"/>
      <c r="M5" s="331"/>
      <c r="N5" s="331"/>
    </row>
    <row r="6" spans="1:14" ht="12.75">
      <c r="A6" s="44" t="s">
        <v>164</v>
      </c>
      <c r="B6" s="28" t="s">
        <v>44</v>
      </c>
      <c r="C6" s="87">
        <v>14.41</v>
      </c>
      <c r="D6" s="87">
        <v>14.56</v>
      </c>
      <c r="E6" s="87">
        <v>15.63</v>
      </c>
      <c r="F6" s="87">
        <v>13.72</v>
      </c>
      <c r="G6" s="87">
        <v>14.94</v>
      </c>
      <c r="H6" s="87">
        <v>16.66</v>
      </c>
      <c r="I6" s="87">
        <v>15.56</v>
      </c>
      <c r="J6" s="88">
        <f>(13.17+12.93+12.93+12.68+12.51+11.88+11.35+11.1+11.01+10.26+10.09+10.05)/12</f>
        <v>11.663333333333334</v>
      </c>
      <c r="K6" s="337" t="s">
        <v>15</v>
      </c>
      <c r="L6" s="330" t="s">
        <v>15</v>
      </c>
      <c r="M6" s="330" t="s">
        <v>15</v>
      </c>
      <c r="N6" s="330" t="s">
        <v>15</v>
      </c>
    </row>
    <row r="7" spans="1:14" ht="12.75">
      <c r="A7" s="74" t="s">
        <v>148</v>
      </c>
      <c r="B7" s="28"/>
      <c r="C7" s="77"/>
      <c r="D7" s="77"/>
      <c r="E7" s="77"/>
      <c r="F7" s="77"/>
      <c r="G7" s="77"/>
      <c r="H7" s="77"/>
      <c r="I7" s="77"/>
      <c r="J7" s="79"/>
      <c r="K7" s="336"/>
      <c r="L7" s="331"/>
      <c r="M7" s="331"/>
      <c r="N7" s="331"/>
    </row>
    <row r="8" spans="1:14" ht="12.75">
      <c r="A8" s="43" t="s">
        <v>149</v>
      </c>
      <c r="B8" s="28" t="s">
        <v>44</v>
      </c>
      <c r="C8" s="77">
        <f>AVERAGE(C9:C10)</f>
        <v>15.145</v>
      </c>
      <c r="D8" s="77">
        <f>AVERAGE(D9:D10)</f>
        <v>15.145</v>
      </c>
      <c r="E8" s="77">
        <f>AVERAGE(E9:E10)</f>
        <v>16.435000000000002</v>
      </c>
      <c r="F8" s="77">
        <f>AVERAGE(F9:F10)</f>
        <v>14.055</v>
      </c>
      <c r="G8" s="77">
        <f>(13.52+13.78+13.86+14.26+14.55+14.91+15.35+15.49+15.6+15.66+15.8+16.16)/12</f>
        <v>14.911666666666667</v>
      </c>
      <c r="H8" s="77">
        <f>(16.71+17.27+16.71+16.12+16+15.95+15.69+15.52+16.02+16.3+16.72+14.52)/12</f>
        <v>16.1275</v>
      </c>
      <c r="I8" s="77">
        <f>(17.32+17.17+16.92+16.7+17.06+16.78+16.82+16.29+16.23+16.13+15.91+14.72)/12</f>
        <v>16.504166666666666</v>
      </c>
      <c r="J8" s="79">
        <f>(14.34+14.09+13.53+13.16+12.99+12.13+11.67+11.42+11.38+10.49+10.3+10.25)/12</f>
        <v>12.145833333333334</v>
      </c>
      <c r="K8" s="338" t="s">
        <v>15</v>
      </c>
      <c r="L8" s="331" t="s">
        <v>15</v>
      </c>
      <c r="M8" s="331" t="s">
        <v>15</v>
      </c>
      <c r="N8" s="331" t="s">
        <v>15</v>
      </c>
    </row>
    <row r="9" spans="1:14" ht="12.75">
      <c r="A9" s="43" t="s">
        <v>153</v>
      </c>
      <c r="B9" s="28" t="s">
        <v>44</v>
      </c>
      <c r="C9" s="77">
        <v>16.17</v>
      </c>
      <c r="D9" s="77">
        <v>15.42</v>
      </c>
      <c r="E9" s="77">
        <v>16.67</v>
      </c>
      <c r="F9" s="77">
        <v>13.72</v>
      </c>
      <c r="G9" s="77">
        <v>14.23</v>
      </c>
      <c r="H9" s="77">
        <v>14.66</v>
      </c>
      <c r="I9" s="77">
        <v>13.84</v>
      </c>
      <c r="J9" s="79">
        <f>(11.25+11.21+11.13+11.08+10.99+10.64+10.7+10.62+10.61+9.14+9.06+9.08)/12</f>
        <v>10.459166666666668</v>
      </c>
      <c r="K9" s="336" t="s">
        <v>15</v>
      </c>
      <c r="L9" s="331" t="s">
        <v>15</v>
      </c>
      <c r="M9" s="331" t="s">
        <v>15</v>
      </c>
      <c r="N9" s="331" t="s">
        <v>15</v>
      </c>
    </row>
    <row r="10" spans="1:14" ht="12.75">
      <c r="A10" s="43" t="s">
        <v>150</v>
      </c>
      <c r="B10" s="28" t="s">
        <v>44</v>
      </c>
      <c r="C10" s="77">
        <v>14.12</v>
      </c>
      <c r="D10" s="77">
        <v>14.87</v>
      </c>
      <c r="E10" s="77">
        <v>16.2</v>
      </c>
      <c r="F10" s="77">
        <v>14.39</v>
      </c>
      <c r="G10" s="77">
        <v>15.57</v>
      </c>
      <c r="H10" s="77">
        <v>17.78</v>
      </c>
      <c r="I10" s="77">
        <v>17.13</v>
      </c>
      <c r="J10" s="79">
        <f>(16.57+16.33+15.71+15.16+14.76+14.16+13.22+12.87+12.58+12.46+12.02+11.8)/12</f>
        <v>13.970000000000004</v>
      </c>
      <c r="K10" s="336" t="s">
        <v>15</v>
      </c>
      <c r="L10" s="331" t="s">
        <v>15</v>
      </c>
      <c r="M10" s="331" t="s">
        <v>15</v>
      </c>
      <c r="N10" s="331" t="s">
        <v>15</v>
      </c>
    </row>
    <row r="11" spans="1:14" ht="12.75">
      <c r="A11" s="43" t="s">
        <v>151</v>
      </c>
      <c r="B11" s="28" t="s">
        <v>44</v>
      </c>
      <c r="C11" s="76">
        <v>5.08</v>
      </c>
      <c r="D11" s="76">
        <v>5.03</v>
      </c>
      <c r="E11" s="76">
        <v>5.2</v>
      </c>
      <c r="F11" s="76">
        <v>5.94</v>
      </c>
      <c r="G11" s="76">
        <v>7.51</v>
      </c>
      <c r="H11" s="76">
        <v>8.03</v>
      </c>
      <c r="I11" s="76">
        <v>7.92</v>
      </c>
      <c r="J11" s="79">
        <f>(7.76+7.63+7.87+8.44+8.8+9.62+8.47+8.37+7.96+7.92+7.98+8.03)/12</f>
        <v>8.237499999999999</v>
      </c>
      <c r="K11" s="336" t="s">
        <v>15</v>
      </c>
      <c r="L11" s="331" t="s">
        <v>15</v>
      </c>
      <c r="M11" s="331" t="s">
        <v>15</v>
      </c>
      <c r="N11" s="331" t="s">
        <v>15</v>
      </c>
    </row>
    <row r="12" spans="1:14" ht="12.75">
      <c r="A12" s="74" t="s">
        <v>152</v>
      </c>
      <c r="B12" s="28"/>
      <c r="C12" s="76"/>
      <c r="D12" s="76"/>
      <c r="E12" s="76"/>
      <c r="F12" s="76"/>
      <c r="G12" s="76"/>
      <c r="H12" s="76"/>
      <c r="I12" s="76"/>
      <c r="J12" s="79"/>
      <c r="K12" s="336"/>
      <c r="L12" s="331"/>
      <c r="M12" s="331"/>
      <c r="N12" s="331"/>
    </row>
    <row r="13" spans="1:14" ht="12.75">
      <c r="A13" s="43" t="s">
        <v>154</v>
      </c>
      <c r="B13" s="28" t="s">
        <v>44</v>
      </c>
      <c r="C13" s="76">
        <v>17.46</v>
      </c>
      <c r="D13" s="76">
        <v>16.75</v>
      </c>
      <c r="E13" s="76">
        <v>17.69</v>
      </c>
      <c r="F13" s="76">
        <v>14.29</v>
      </c>
      <c r="G13" s="76">
        <v>17.31</v>
      </c>
      <c r="H13" s="76">
        <v>20.61</v>
      </c>
      <c r="I13" s="76">
        <v>19.61</v>
      </c>
      <c r="J13" s="79">
        <f>(15.8+15.44+16.28+15.75+15.58+13.27+12.72+12.26+12.29+11.6+11.28+11.1)/12</f>
        <v>13.614166666666668</v>
      </c>
      <c r="K13" s="336" t="s">
        <v>15</v>
      </c>
      <c r="L13" s="331" t="s">
        <v>15</v>
      </c>
      <c r="M13" s="331" t="s">
        <v>15</v>
      </c>
      <c r="N13" s="331" t="s">
        <v>15</v>
      </c>
    </row>
    <row r="14" spans="1:14" ht="12.75">
      <c r="A14" s="43" t="s">
        <v>156</v>
      </c>
      <c r="B14" s="28" t="s">
        <v>44</v>
      </c>
      <c r="C14" s="76">
        <v>15.98</v>
      </c>
      <c r="D14" s="76">
        <v>17.54</v>
      </c>
      <c r="E14" s="76">
        <v>18.33</v>
      </c>
      <c r="F14" s="76">
        <v>16.19</v>
      </c>
      <c r="G14" s="76">
        <v>15.89</v>
      </c>
      <c r="H14" s="76">
        <v>16.54</v>
      </c>
      <c r="I14" s="76">
        <v>14.97</v>
      </c>
      <c r="J14" s="79">
        <f>(12.42+12.22+12.06+11.87+11.82+11.68+11+10.88+10.69+9.53+9.51+9.54)/12</f>
        <v>11.101666666666667</v>
      </c>
      <c r="K14" s="336" t="s">
        <v>15</v>
      </c>
      <c r="L14" s="331" t="s">
        <v>15</v>
      </c>
      <c r="M14" s="331" t="s">
        <v>15</v>
      </c>
      <c r="N14" s="331" t="s">
        <v>15</v>
      </c>
    </row>
    <row r="15" spans="1:14" ht="12.75">
      <c r="A15" s="43" t="s">
        <v>155</v>
      </c>
      <c r="B15" s="28" t="s">
        <v>44</v>
      </c>
      <c r="C15" s="76">
        <v>10.13</v>
      </c>
      <c r="D15" s="76">
        <v>11.47</v>
      </c>
      <c r="E15" s="76">
        <v>12.69</v>
      </c>
      <c r="F15" s="76">
        <v>11.9</v>
      </c>
      <c r="G15" s="76">
        <v>11.67</v>
      </c>
      <c r="H15" s="76">
        <v>12.42</v>
      </c>
      <c r="I15" s="76">
        <v>11.44</v>
      </c>
      <c r="J15" s="79">
        <f>(10.89+10.77+10.39+10.41+10.17+10.03+9.8+9.66+9.54+9.42+9.38+9.36)/12</f>
        <v>9.985</v>
      </c>
      <c r="K15" s="336" t="s">
        <v>15</v>
      </c>
      <c r="L15" s="331" t="s">
        <v>15</v>
      </c>
      <c r="M15" s="331" t="s">
        <v>15</v>
      </c>
      <c r="N15" s="331" t="s">
        <v>15</v>
      </c>
    </row>
    <row r="16" spans="1:14" ht="12.75">
      <c r="A16" s="44" t="s">
        <v>159</v>
      </c>
      <c r="B16" s="28" t="s">
        <v>44</v>
      </c>
      <c r="C16" s="89">
        <v>8.61</v>
      </c>
      <c r="D16" s="89">
        <v>9.29</v>
      </c>
      <c r="E16" s="89">
        <v>8.29</v>
      </c>
      <c r="F16" s="89">
        <v>6.7</v>
      </c>
      <c r="G16" s="89">
        <v>8</v>
      </c>
      <c r="H16" s="89">
        <v>10.16</v>
      </c>
      <c r="I16" s="89">
        <v>10.45</v>
      </c>
      <c r="J16" s="88">
        <v>7.23</v>
      </c>
      <c r="K16" s="337">
        <v>5.25</v>
      </c>
      <c r="L16" s="330">
        <v>5.2</v>
      </c>
      <c r="M16" s="330">
        <v>5.15</v>
      </c>
      <c r="N16" s="330">
        <v>5.1</v>
      </c>
    </row>
    <row r="17" spans="1:14" ht="12.75">
      <c r="A17" s="43" t="s">
        <v>157</v>
      </c>
      <c r="B17" s="28" t="s">
        <v>44</v>
      </c>
      <c r="C17" s="76" t="s">
        <v>15</v>
      </c>
      <c r="D17" s="76">
        <v>14.22</v>
      </c>
      <c r="E17" s="76">
        <v>12.17</v>
      </c>
      <c r="F17" s="76">
        <v>9.07</v>
      </c>
      <c r="G17" s="76">
        <v>10.53</v>
      </c>
      <c r="H17" s="76">
        <v>12.97</v>
      </c>
      <c r="I17" s="76">
        <v>12.77</v>
      </c>
      <c r="J17" s="79">
        <v>8.49</v>
      </c>
      <c r="K17" s="336" t="s">
        <v>15</v>
      </c>
      <c r="L17" s="331" t="s">
        <v>15</v>
      </c>
      <c r="M17" s="331" t="s">
        <v>15</v>
      </c>
      <c r="N17" s="331" t="s">
        <v>15</v>
      </c>
    </row>
    <row r="18" spans="1:14" ht="12.75">
      <c r="A18" s="43" t="s">
        <v>158</v>
      </c>
      <c r="B18" s="28" t="s">
        <v>44</v>
      </c>
      <c r="C18" s="76" t="s">
        <v>15</v>
      </c>
      <c r="D18" s="76">
        <v>2.61</v>
      </c>
      <c r="E18" s="76">
        <v>2.7</v>
      </c>
      <c r="F18" s="76">
        <v>3.01</v>
      </c>
      <c r="G18" s="76">
        <v>3.27</v>
      </c>
      <c r="H18" s="76">
        <v>3.73</v>
      </c>
      <c r="I18" s="76">
        <v>3.81</v>
      </c>
      <c r="J18" s="79">
        <v>3.53</v>
      </c>
      <c r="K18" s="336" t="s">
        <v>15</v>
      </c>
      <c r="L18" s="331" t="s">
        <v>15</v>
      </c>
      <c r="M18" s="331" t="s">
        <v>15</v>
      </c>
      <c r="N18" s="331" t="s">
        <v>15</v>
      </c>
    </row>
    <row r="19" spans="1:14" ht="12.75">
      <c r="A19" s="41" t="s">
        <v>160</v>
      </c>
      <c r="B19" s="27" t="s">
        <v>44</v>
      </c>
      <c r="C19" s="90">
        <f aca="true" t="shared" si="0" ref="C19:J19">C6-C16</f>
        <v>5.800000000000001</v>
      </c>
      <c r="D19" s="90">
        <f t="shared" si="0"/>
        <v>5.270000000000001</v>
      </c>
      <c r="E19" s="90">
        <f t="shared" si="0"/>
        <v>7.340000000000002</v>
      </c>
      <c r="F19" s="90">
        <f t="shared" si="0"/>
        <v>7.0200000000000005</v>
      </c>
      <c r="G19" s="90">
        <f t="shared" si="0"/>
        <v>6.9399999999999995</v>
      </c>
      <c r="H19" s="90">
        <f t="shared" si="0"/>
        <v>6.5</v>
      </c>
      <c r="I19" s="90">
        <f t="shared" si="0"/>
        <v>5.110000000000001</v>
      </c>
      <c r="J19" s="91">
        <f t="shared" si="0"/>
        <v>4.433333333333334</v>
      </c>
      <c r="K19" s="337" t="s">
        <v>15</v>
      </c>
      <c r="L19" s="330" t="s">
        <v>15</v>
      </c>
      <c r="M19" s="330" t="s">
        <v>15</v>
      </c>
      <c r="N19" s="330" t="s">
        <v>15</v>
      </c>
    </row>
    <row r="20" spans="1:14" ht="12.75">
      <c r="A20" s="44" t="s">
        <v>163</v>
      </c>
      <c r="B20" s="28" t="s">
        <v>44</v>
      </c>
      <c r="C20" s="89" t="s">
        <v>15</v>
      </c>
      <c r="D20" s="89">
        <v>19.09</v>
      </c>
      <c r="E20" s="89">
        <v>16.32</v>
      </c>
      <c r="F20" s="89">
        <v>13.35</v>
      </c>
      <c r="G20" s="89">
        <v>18.4</v>
      </c>
      <c r="H20" s="89">
        <f>(20.75+20.82+20.29+19.54+18.59+16.44+14.17+17.32+24.9+23.48+16.95+18.63)/12</f>
        <v>19.32333333333333</v>
      </c>
      <c r="I20" s="89">
        <v>16.89</v>
      </c>
      <c r="J20" s="88">
        <v>11.84</v>
      </c>
      <c r="K20" s="337">
        <v>10.1</v>
      </c>
      <c r="L20" s="330">
        <v>9.7</v>
      </c>
      <c r="M20" s="330">
        <v>9.1</v>
      </c>
      <c r="N20" s="330">
        <v>8.5</v>
      </c>
    </row>
    <row r="21" spans="1:14" ht="12.75">
      <c r="A21" s="74" t="s">
        <v>148</v>
      </c>
      <c r="B21" s="28"/>
      <c r="C21" s="76"/>
      <c r="D21" s="76"/>
      <c r="E21" s="76"/>
      <c r="F21" s="76"/>
      <c r="G21" s="76"/>
      <c r="H21" s="76"/>
      <c r="I21" s="76"/>
      <c r="J21" s="79"/>
      <c r="K21" s="336"/>
      <c r="L21" s="331"/>
      <c r="M21" s="331"/>
      <c r="N21" s="331"/>
    </row>
    <row r="22" spans="1:14" ht="12.75">
      <c r="A22" s="43" t="s">
        <v>149</v>
      </c>
      <c r="B22" s="28" t="s">
        <v>44</v>
      </c>
      <c r="C22" s="76" t="s">
        <v>15</v>
      </c>
      <c r="D22" s="76">
        <f>AVERAGE(D23:D24)</f>
        <v>20.08</v>
      </c>
      <c r="E22" s="76">
        <f>AVERAGE(E23:E24)</f>
        <v>17.075</v>
      </c>
      <c r="F22" s="76">
        <f>AVERAGE(F23:F24)</f>
        <v>13.620000000000001</v>
      </c>
      <c r="G22" s="76">
        <f>(14.08+14.69+15.02+15.43+17.36+20.36+17.43+16.27+18.7+19.38+19.39+21.25)/12</f>
        <v>17.44666666666667</v>
      </c>
      <c r="H22" s="92">
        <f>(19.06+19.53+21.24+20.9+21.26+20.32+17.6+18.72+25.04+22.24+19.5+22.14)/12</f>
        <v>20.629166666666666</v>
      </c>
      <c r="I22" s="92">
        <f>(19.81+19.75+17.35+16.77+19.98+19.37+16.41+15.77+16.74+15.48+16.06+12.58)/12</f>
        <v>17.172500000000003</v>
      </c>
      <c r="J22" s="105">
        <f>(12.63+14.23+14.44+13.75+11.5+10.91+10.82+11.17+11.27+10.89+11.07+10.78)/12</f>
        <v>11.955</v>
      </c>
      <c r="K22" s="336" t="s">
        <v>15</v>
      </c>
      <c r="L22" s="331" t="s">
        <v>15</v>
      </c>
      <c r="M22" s="331" t="s">
        <v>15</v>
      </c>
      <c r="N22" s="331" t="s">
        <v>15</v>
      </c>
    </row>
    <row r="23" spans="1:14" ht="12.75">
      <c r="A23" s="43" t="s">
        <v>153</v>
      </c>
      <c r="B23" s="28" t="s">
        <v>44</v>
      </c>
      <c r="C23" s="76" t="s">
        <v>15</v>
      </c>
      <c r="D23" s="76">
        <v>20.48</v>
      </c>
      <c r="E23" s="76">
        <v>17.54</v>
      </c>
      <c r="F23" s="76">
        <v>13.27</v>
      </c>
      <c r="G23" s="76">
        <v>15.78</v>
      </c>
      <c r="H23" s="76">
        <f>(15.84+17.45+21.86+20.19+23.46+20.08+21.03+17.03+27.05+20.8+16.89+22.06)/12</f>
        <v>20.31166666666667</v>
      </c>
      <c r="I23" s="76">
        <v>17.12</v>
      </c>
      <c r="J23" s="79">
        <v>11.8</v>
      </c>
      <c r="K23" s="336" t="s">
        <v>15</v>
      </c>
      <c r="L23" s="331" t="s">
        <v>15</v>
      </c>
      <c r="M23" s="331" t="s">
        <v>15</v>
      </c>
      <c r="N23" s="331" t="s">
        <v>15</v>
      </c>
    </row>
    <row r="24" spans="1:14" ht="12.75">
      <c r="A24" s="43" t="s">
        <v>150</v>
      </c>
      <c r="B24" s="28" t="s">
        <v>44</v>
      </c>
      <c r="C24" s="76" t="s">
        <v>15</v>
      </c>
      <c r="D24" s="76">
        <v>19.68</v>
      </c>
      <c r="E24" s="76">
        <v>16.61</v>
      </c>
      <c r="F24" s="76">
        <v>13.97</v>
      </c>
      <c r="G24" s="76">
        <v>18.39</v>
      </c>
      <c r="H24" s="76">
        <f>(22.28+21.6+20.61+21.6+19.06+20.56+14.17+20.41+23.03+23.67+22.1+22.22)/12</f>
        <v>20.9425</v>
      </c>
      <c r="I24" s="76">
        <v>20.9</v>
      </c>
      <c r="J24" s="79">
        <v>14.69</v>
      </c>
      <c r="K24" s="336" t="s">
        <v>15</v>
      </c>
      <c r="L24" s="331" t="s">
        <v>15</v>
      </c>
      <c r="M24" s="331" t="s">
        <v>15</v>
      </c>
      <c r="N24" s="331" t="s">
        <v>15</v>
      </c>
    </row>
    <row r="25" spans="1:14" ht="12.75">
      <c r="A25" s="43" t="s">
        <v>151</v>
      </c>
      <c r="B25" s="28" t="s">
        <v>44</v>
      </c>
      <c r="C25" s="76" t="s">
        <v>15</v>
      </c>
      <c r="D25" s="76">
        <v>17.96</v>
      </c>
      <c r="E25" s="76">
        <v>15.12</v>
      </c>
      <c r="F25" s="76">
        <v>11.24</v>
      </c>
      <c r="G25" s="76">
        <v>11.23</v>
      </c>
      <c r="H25" s="76">
        <f>(13.59+9.99+9.99+10.7+9.68+12.18+11.07+10.06+8.77+8.93+9.44+9.39)/12</f>
        <v>10.315833333333332</v>
      </c>
      <c r="I25" s="76">
        <v>8.84</v>
      </c>
      <c r="J25" s="79">
        <v>8.51</v>
      </c>
      <c r="K25" s="336" t="s">
        <v>15</v>
      </c>
      <c r="L25" s="331" t="s">
        <v>15</v>
      </c>
      <c r="M25" s="331" t="s">
        <v>15</v>
      </c>
      <c r="N25" s="331" t="s">
        <v>15</v>
      </c>
    </row>
    <row r="26" spans="1:14" ht="12.75">
      <c r="A26" s="74" t="s">
        <v>152</v>
      </c>
      <c r="B26" s="28"/>
      <c r="C26" s="76"/>
      <c r="D26" s="76"/>
      <c r="E26" s="76"/>
      <c r="F26" s="76"/>
      <c r="G26" s="76"/>
      <c r="H26" s="76"/>
      <c r="I26" s="76"/>
      <c r="J26" s="79"/>
      <c r="K26" s="336"/>
      <c r="L26" s="331"/>
      <c r="M26" s="331"/>
      <c r="N26" s="331"/>
    </row>
    <row r="27" spans="1:14" ht="12.75">
      <c r="A27" s="43" t="s">
        <v>154</v>
      </c>
      <c r="B27" s="28" t="s">
        <v>44</v>
      </c>
      <c r="C27" s="76" t="s">
        <v>15</v>
      </c>
      <c r="D27" s="76">
        <v>19.8</v>
      </c>
      <c r="E27" s="76">
        <v>16.26</v>
      </c>
      <c r="F27" s="76">
        <v>13.27</v>
      </c>
      <c r="G27" s="76">
        <v>18.88</v>
      </c>
      <c r="H27" s="76">
        <f>(21.57+21.81+20.58+19.86+18.97+16.64+14.17+17.44+25.06+23.91+17.11+18.91)/12</f>
        <v>19.669166666666666</v>
      </c>
      <c r="I27" s="76">
        <v>17.45</v>
      </c>
      <c r="J27" s="79">
        <v>11.95</v>
      </c>
      <c r="K27" s="336" t="s">
        <v>15</v>
      </c>
      <c r="L27" s="331" t="s">
        <v>15</v>
      </c>
      <c r="M27" s="331" t="s">
        <v>15</v>
      </c>
      <c r="N27" s="331" t="s">
        <v>15</v>
      </c>
    </row>
    <row r="28" spans="1:14" ht="12.75">
      <c r="A28" s="43" t="s">
        <v>156</v>
      </c>
      <c r="B28" s="28" t="s">
        <v>44</v>
      </c>
      <c r="C28" s="76" t="s">
        <v>15</v>
      </c>
      <c r="D28" s="76">
        <v>19.71</v>
      </c>
      <c r="E28" s="76">
        <v>17.28</v>
      </c>
      <c r="F28" s="76">
        <v>13.98</v>
      </c>
      <c r="G28" s="76">
        <v>15.83</v>
      </c>
      <c r="H28" s="76">
        <f>(17.56+16.88+15.26+16.43+13.64+15.2+14.05+16.04+13.55+14.92+12.54+14.21)/12</f>
        <v>15.023333333333333</v>
      </c>
      <c r="I28" s="76">
        <v>12.82</v>
      </c>
      <c r="J28" s="79">
        <v>10.73</v>
      </c>
      <c r="K28" s="336" t="s">
        <v>15</v>
      </c>
      <c r="L28" s="331" t="s">
        <v>15</v>
      </c>
      <c r="M28" s="331" t="s">
        <v>15</v>
      </c>
      <c r="N28" s="331" t="s">
        <v>15</v>
      </c>
    </row>
    <row r="29" spans="1:14" ht="12.75">
      <c r="A29" s="43" t="s">
        <v>155</v>
      </c>
      <c r="B29" s="28" t="s">
        <v>44</v>
      </c>
      <c r="C29" s="76" t="s">
        <v>15</v>
      </c>
      <c r="D29" s="76">
        <v>16.65</v>
      </c>
      <c r="E29" s="76">
        <v>15.51</v>
      </c>
      <c r="F29" s="76">
        <v>13.02</v>
      </c>
      <c r="G29" s="76">
        <v>15.59</v>
      </c>
      <c r="H29" s="76">
        <f>(13.04+13.73+15.87+14.73+16.09+14.47+14.87+14.87+14.46+17.57+16.62+14.82)/12</f>
        <v>15.095</v>
      </c>
      <c r="I29" s="76">
        <v>14.71</v>
      </c>
      <c r="J29" s="79">
        <v>10.93</v>
      </c>
      <c r="K29" s="336" t="s">
        <v>15</v>
      </c>
      <c r="L29" s="331" t="s">
        <v>15</v>
      </c>
      <c r="M29" s="331" t="s">
        <v>15</v>
      </c>
      <c r="N29" s="331" t="s">
        <v>15</v>
      </c>
    </row>
    <row r="30" spans="1:14" ht="12.75">
      <c r="A30" s="41" t="s">
        <v>193</v>
      </c>
      <c r="B30" s="27" t="s">
        <v>44</v>
      </c>
      <c r="C30" s="90" t="s">
        <v>15</v>
      </c>
      <c r="D30" s="90">
        <f>D20-D16</f>
        <v>9.8</v>
      </c>
      <c r="E30" s="90">
        <f>E20-E16</f>
        <v>8.030000000000001</v>
      </c>
      <c r="F30" s="90">
        <f aca="true" t="shared" si="1" ref="F30:N30">F20-F16</f>
        <v>6.6499999999999995</v>
      </c>
      <c r="G30" s="90">
        <f t="shared" si="1"/>
        <v>10.399999999999999</v>
      </c>
      <c r="H30" s="90">
        <f t="shared" si="1"/>
        <v>9.16333333333333</v>
      </c>
      <c r="I30" s="90">
        <f t="shared" si="1"/>
        <v>6.440000000000001</v>
      </c>
      <c r="J30" s="91">
        <f t="shared" si="1"/>
        <v>4.609999999999999</v>
      </c>
      <c r="K30" s="337">
        <f t="shared" si="1"/>
        <v>4.85</v>
      </c>
      <c r="L30" s="330">
        <f t="shared" si="1"/>
        <v>4.499999999999999</v>
      </c>
      <c r="M30" s="330">
        <f t="shared" si="1"/>
        <v>3.9499999999999993</v>
      </c>
      <c r="N30" s="330">
        <f t="shared" si="1"/>
        <v>3.4000000000000004</v>
      </c>
    </row>
    <row r="31" spans="1:14" ht="15.75">
      <c r="A31" s="82" t="s">
        <v>166</v>
      </c>
      <c r="B31" s="26"/>
      <c r="C31" s="83"/>
      <c r="D31" s="83"/>
      <c r="E31" s="83"/>
      <c r="F31" s="83"/>
      <c r="G31" s="83"/>
      <c r="H31" s="83"/>
      <c r="I31" s="83"/>
      <c r="J31" s="84"/>
      <c r="K31" s="336"/>
      <c r="L31" s="331"/>
      <c r="M31" s="331"/>
      <c r="N31" s="331"/>
    </row>
    <row r="32" spans="1:14" ht="12.75">
      <c r="A32" s="44" t="s">
        <v>194</v>
      </c>
      <c r="B32" s="28" t="s">
        <v>44</v>
      </c>
      <c r="C32" s="87">
        <f>C6-('Ceny-tab'!C13-100)</f>
        <v>-2.7900000000000027</v>
      </c>
      <c r="D32" s="87">
        <f>D6-('Ceny-tab'!D13-100)</f>
        <v>4.5600000000000005</v>
      </c>
      <c r="E32" s="87">
        <f>E6-('Ceny-tab'!E13-100)</f>
        <v>6.630000000000001</v>
      </c>
      <c r="F32" s="87">
        <f>F6-('Ceny-tab'!F13-100)</f>
        <v>9.620000000000006</v>
      </c>
      <c r="G32" s="87">
        <f>G6-('Ceny-tab'!G13-100)</f>
        <v>10.44</v>
      </c>
      <c r="H32" s="87">
        <f>H6-('Ceny-tab'!H13-100)</f>
        <v>13.360000000000003</v>
      </c>
      <c r="I32" s="87">
        <f>I6-('Ceny-tab'!I13-100)</f>
        <v>11.760000000000003</v>
      </c>
      <c r="J32" s="88">
        <f>J6-('Ceny-tab'!J13-100)</f>
        <v>1.8633333333333368</v>
      </c>
      <c r="K32" s="337" t="s">
        <v>15</v>
      </c>
      <c r="L32" s="330" t="s">
        <v>15</v>
      </c>
      <c r="M32" s="330" t="s">
        <v>15</v>
      </c>
      <c r="N32" s="330" t="s">
        <v>15</v>
      </c>
    </row>
    <row r="33" spans="1:14" ht="12.75">
      <c r="A33" s="50" t="s">
        <v>195</v>
      </c>
      <c r="B33" s="27" t="s">
        <v>44</v>
      </c>
      <c r="C33" s="90" t="s">
        <v>15</v>
      </c>
      <c r="D33" s="90">
        <f>D17-'Ceny-tab'!D7</f>
        <v>0.7200000000000006</v>
      </c>
      <c r="E33" s="90">
        <f>E17-'Ceny-tab'!E7</f>
        <v>2.2699999999999996</v>
      </c>
      <c r="F33" s="90">
        <f>F17-'Ceny-tab'!F7</f>
        <v>3.2700000000000005</v>
      </c>
      <c r="G33" s="90">
        <f>G17-'Ceny-tab'!G7</f>
        <v>4.43</v>
      </c>
      <c r="H33" s="90">
        <f>H17-'Ceny-tab'!H7</f>
        <v>6.2700000000000005</v>
      </c>
      <c r="I33" s="90">
        <f>I17-'Ceny-tab'!I7</f>
        <v>2.17</v>
      </c>
      <c r="J33" s="91">
        <f>J17-'Ceny-tab'!J7</f>
        <v>-3.51</v>
      </c>
      <c r="K33" s="337" t="s">
        <v>15</v>
      </c>
      <c r="L33" s="330" t="s">
        <v>15</v>
      </c>
      <c r="M33" s="330" t="s">
        <v>15</v>
      </c>
      <c r="N33" s="330" t="s">
        <v>15</v>
      </c>
    </row>
    <row r="34" spans="1:14" ht="12.75">
      <c r="A34" s="8"/>
      <c r="B34" s="51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</row>
    <row r="35" spans="1:14" ht="12.75">
      <c r="A35" s="8"/>
      <c r="B35" s="51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</row>
    <row r="36" spans="1:14" ht="15.75">
      <c r="A36" s="86" t="s">
        <v>203</v>
      </c>
      <c r="B36" s="51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</row>
    <row r="37" spans="1:14" ht="12.75">
      <c r="A37" s="8"/>
      <c r="B37" s="51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</row>
    <row r="38" spans="1:14" ht="12.75">
      <c r="A38" s="40"/>
      <c r="B38" s="26" t="s">
        <v>8</v>
      </c>
      <c r="C38" s="108">
        <v>2000</v>
      </c>
      <c r="D38" s="6">
        <v>2001</v>
      </c>
      <c r="E38" s="6">
        <v>2002</v>
      </c>
      <c r="F38" s="6">
        <v>2003</v>
      </c>
      <c r="G38" s="7">
        <v>2004</v>
      </c>
      <c r="H38" s="77"/>
      <c r="I38" s="77"/>
      <c r="J38" s="77"/>
      <c r="K38" s="77"/>
      <c r="L38" s="77"/>
      <c r="M38" s="77"/>
      <c r="N38" s="77"/>
    </row>
    <row r="39" spans="1:14" ht="12.75">
      <c r="A39" s="41"/>
      <c r="B39" s="27"/>
      <c r="C39" s="109" t="s">
        <v>206</v>
      </c>
      <c r="D39" s="19"/>
      <c r="E39" s="19"/>
      <c r="F39" s="19"/>
      <c r="G39" s="25"/>
      <c r="H39" s="77"/>
      <c r="I39" s="77"/>
      <c r="J39" s="77"/>
      <c r="K39" s="77"/>
      <c r="L39" s="77"/>
      <c r="M39" s="77"/>
      <c r="N39" s="77"/>
    </row>
    <row r="40" spans="1:14" ht="14.25">
      <c r="A40" s="58" t="s">
        <v>147</v>
      </c>
      <c r="B40" s="28"/>
      <c r="C40" s="76"/>
      <c r="D40" s="76"/>
      <c r="E40" s="76"/>
      <c r="F40" s="76"/>
      <c r="G40" s="79"/>
      <c r="H40" s="76"/>
      <c r="I40" s="76"/>
      <c r="J40" s="76"/>
      <c r="K40" s="76"/>
      <c r="L40" s="76"/>
      <c r="M40" s="76"/>
      <c r="N40" s="76"/>
    </row>
    <row r="41" spans="1:14" ht="12.75">
      <c r="A41" s="44" t="s">
        <v>204</v>
      </c>
      <c r="B41" s="28" t="s">
        <v>44</v>
      </c>
      <c r="C41" s="76">
        <f>J16</f>
        <v>7.23</v>
      </c>
      <c r="D41" s="76">
        <f>K16</f>
        <v>5.25</v>
      </c>
      <c r="E41" s="76">
        <f>L16</f>
        <v>5.2</v>
      </c>
      <c r="F41" s="76">
        <f>M16</f>
        <v>5.15</v>
      </c>
      <c r="G41" s="79">
        <f>N16</f>
        <v>5.1</v>
      </c>
      <c r="H41" s="76"/>
      <c r="I41" s="76"/>
      <c r="J41" s="76"/>
      <c r="K41" s="76"/>
      <c r="L41" s="76"/>
      <c r="M41" s="76"/>
      <c r="N41" s="76"/>
    </row>
    <row r="42" spans="1:14" ht="12.75">
      <c r="A42" s="50" t="s">
        <v>205</v>
      </c>
      <c r="B42" s="27" t="s">
        <v>44</v>
      </c>
      <c r="C42" s="78">
        <f>J20</f>
        <v>11.84</v>
      </c>
      <c r="D42" s="78">
        <f>K20</f>
        <v>10.1</v>
      </c>
      <c r="E42" s="78">
        <f>L20</f>
        <v>9.7</v>
      </c>
      <c r="F42" s="78">
        <f>M20</f>
        <v>9.1</v>
      </c>
      <c r="G42" s="80">
        <f>N20</f>
        <v>8.5</v>
      </c>
      <c r="H42" s="76"/>
      <c r="I42" s="76"/>
      <c r="J42" s="76"/>
      <c r="K42" s="76"/>
      <c r="L42" s="76"/>
      <c r="M42" s="76"/>
      <c r="N42" s="76"/>
    </row>
    <row r="43" spans="1:14" ht="12.75">
      <c r="A43" s="41" t="s">
        <v>207</v>
      </c>
      <c r="B43" s="52" t="s">
        <v>44</v>
      </c>
      <c r="C43" s="106">
        <f>C42-C41</f>
        <v>4.609999999999999</v>
      </c>
      <c r="D43" s="106">
        <f>D42-D41</f>
        <v>4.85</v>
      </c>
      <c r="E43" s="106">
        <f>E42-E41</f>
        <v>4.499999999999999</v>
      </c>
      <c r="F43" s="106">
        <f>F42-F41</f>
        <v>3.9499999999999993</v>
      </c>
      <c r="G43" s="107">
        <f>G42-G41</f>
        <v>3.4000000000000004</v>
      </c>
      <c r="H43" s="76"/>
      <c r="I43" s="76"/>
      <c r="J43" s="76"/>
      <c r="K43" s="76"/>
      <c r="L43" s="76"/>
      <c r="M43" s="76"/>
      <c r="N43" s="76"/>
    </row>
    <row r="44" spans="3:14" ht="12.75"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</row>
    <row r="45" spans="1:14" ht="12.75">
      <c r="A45" s="4" t="s">
        <v>161</v>
      </c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</row>
    <row r="46" spans="1:14" ht="12.75">
      <c r="A46" s="4" t="s">
        <v>191</v>
      </c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</row>
    <row r="47" spans="1:14" ht="12.75">
      <c r="A47" s="4" t="s">
        <v>189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</row>
    <row r="48" spans="1:14" ht="12.75">
      <c r="A48" s="4" t="s">
        <v>190</v>
      </c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</row>
    <row r="49" spans="1:14" ht="12.75">
      <c r="A49" s="4" t="s">
        <v>165</v>
      </c>
      <c r="C49" s="81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</row>
    <row r="50" spans="1:14" ht="12.75">
      <c r="A50" s="4" t="s">
        <v>167</v>
      </c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</row>
    <row r="51" spans="1:14" ht="15.75">
      <c r="A51" s="1" t="s">
        <v>177</v>
      </c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</row>
    <row r="52" spans="3:14" ht="12.75"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</row>
    <row r="53" spans="1:14" ht="12.75">
      <c r="A53" s="40"/>
      <c r="B53" s="26" t="s">
        <v>8</v>
      </c>
      <c r="C53" s="6">
        <v>1993</v>
      </c>
      <c r="D53" s="6">
        <v>1994</v>
      </c>
      <c r="E53" s="6">
        <v>1995</v>
      </c>
      <c r="F53" s="6">
        <v>1996</v>
      </c>
      <c r="G53" s="6">
        <v>1997</v>
      </c>
      <c r="H53" s="6">
        <v>1998</v>
      </c>
      <c r="I53" s="6">
        <v>1999</v>
      </c>
      <c r="J53" s="7">
        <v>2000</v>
      </c>
      <c r="K53" s="34"/>
      <c r="L53" s="34"/>
      <c r="M53" s="34"/>
      <c r="N53" s="34"/>
    </row>
    <row r="54" spans="1:14" ht="12.75">
      <c r="A54" s="41"/>
      <c r="B54" s="27"/>
      <c r="C54" s="24"/>
      <c r="D54" s="24"/>
      <c r="E54" s="24"/>
      <c r="F54" s="24"/>
      <c r="G54" s="24"/>
      <c r="H54" s="24"/>
      <c r="I54" s="24"/>
      <c r="J54" s="100"/>
      <c r="K54" s="51"/>
      <c r="L54" s="51"/>
      <c r="M54" s="51"/>
      <c r="N54" s="51"/>
    </row>
    <row r="55" spans="1:14" ht="12.75">
      <c r="A55" s="54" t="s">
        <v>174</v>
      </c>
      <c r="B55" s="40"/>
      <c r="C55" s="77"/>
      <c r="D55" s="77"/>
      <c r="E55" s="77"/>
      <c r="F55" s="77"/>
      <c r="G55" s="77"/>
      <c r="H55" s="77"/>
      <c r="I55" s="77"/>
      <c r="J55" s="79"/>
      <c r="K55" s="51"/>
      <c r="L55" s="51"/>
      <c r="M55" s="51"/>
      <c r="N55" s="51"/>
    </row>
    <row r="56" spans="1:14" ht="12.75">
      <c r="A56" s="43" t="s">
        <v>175</v>
      </c>
      <c r="B56" s="28" t="s">
        <v>178</v>
      </c>
      <c r="C56" s="77" t="s">
        <v>15</v>
      </c>
      <c r="D56" s="77" t="s">
        <v>15</v>
      </c>
      <c r="E56" s="77" t="s">
        <v>15</v>
      </c>
      <c r="F56" s="77" t="s">
        <v>15</v>
      </c>
      <c r="G56" s="77">
        <v>18.55</v>
      </c>
      <c r="H56" s="77">
        <v>14.49</v>
      </c>
      <c r="I56" s="77">
        <v>9.33</v>
      </c>
      <c r="J56" s="79">
        <v>7.75</v>
      </c>
      <c r="K56" s="51"/>
      <c r="L56" s="51"/>
      <c r="M56" s="51"/>
      <c r="N56" s="51"/>
    </row>
    <row r="57" spans="1:14" ht="12.75">
      <c r="A57" s="41" t="s">
        <v>176</v>
      </c>
      <c r="B57" s="27" t="s">
        <v>178</v>
      </c>
      <c r="C57" s="78" t="s">
        <v>15</v>
      </c>
      <c r="D57" s="78" t="s">
        <v>15</v>
      </c>
      <c r="E57" s="78">
        <v>7.61</v>
      </c>
      <c r="F57" s="78">
        <v>14.71</v>
      </c>
      <c r="G57" s="78">
        <v>26.48</v>
      </c>
      <c r="H57" s="78">
        <v>18.26</v>
      </c>
      <c r="I57" s="78">
        <v>14.32</v>
      </c>
      <c r="J57" s="80">
        <v>7.93</v>
      </c>
      <c r="K57" s="51"/>
      <c r="L57" s="51"/>
      <c r="M57" s="51"/>
      <c r="N57" s="51"/>
    </row>
    <row r="58" spans="1:14" ht="38.25" customHeight="1">
      <c r="A58" s="94" t="s">
        <v>168</v>
      </c>
      <c r="B58" s="95" t="s">
        <v>44</v>
      </c>
      <c r="C58" s="99" t="s">
        <v>180</v>
      </c>
      <c r="D58" s="96">
        <v>12</v>
      </c>
      <c r="E58" s="99" t="s">
        <v>181</v>
      </c>
      <c r="F58" s="99" t="s">
        <v>182</v>
      </c>
      <c r="G58" s="96">
        <v>8.8</v>
      </c>
      <c r="H58" s="96">
        <v>8.8</v>
      </c>
      <c r="I58" s="96">
        <v>8.8</v>
      </c>
      <c r="J58" s="97">
        <v>8.8</v>
      </c>
      <c r="K58" s="339"/>
      <c r="L58" s="339"/>
      <c r="M58" s="339"/>
      <c r="N58" s="339"/>
    </row>
    <row r="59" spans="1:14" ht="77.25" customHeight="1">
      <c r="A59" s="94" t="s">
        <v>169</v>
      </c>
      <c r="B59" s="95" t="s">
        <v>44</v>
      </c>
      <c r="C59" s="96" t="s">
        <v>15</v>
      </c>
      <c r="D59" s="96" t="s">
        <v>15</v>
      </c>
      <c r="E59" s="96">
        <v>13</v>
      </c>
      <c r="F59" s="98" t="s">
        <v>183</v>
      </c>
      <c r="G59" s="96">
        <v>15</v>
      </c>
      <c r="H59" s="96">
        <v>15</v>
      </c>
      <c r="I59" s="99" t="s">
        <v>184</v>
      </c>
      <c r="J59" s="110" t="s">
        <v>179</v>
      </c>
      <c r="K59" s="339"/>
      <c r="L59" s="339"/>
      <c r="M59" s="339"/>
      <c r="N59" s="339"/>
    </row>
    <row r="60" spans="1:14" ht="12.75">
      <c r="A60" s="44" t="s">
        <v>170</v>
      </c>
      <c r="B60" s="28"/>
      <c r="C60" s="76"/>
      <c r="D60" s="76"/>
      <c r="E60" s="76"/>
      <c r="F60" s="76"/>
      <c r="G60" s="76"/>
      <c r="H60" s="76"/>
      <c r="I60" s="76"/>
      <c r="J60" s="79"/>
      <c r="K60" s="77"/>
      <c r="L60" s="77"/>
      <c r="M60" s="77"/>
      <c r="N60" s="77"/>
    </row>
    <row r="61" spans="1:14" ht="12.75">
      <c r="A61" s="43" t="s">
        <v>185</v>
      </c>
      <c r="B61" s="28"/>
      <c r="C61" s="93"/>
      <c r="D61" s="76"/>
      <c r="E61" s="76"/>
      <c r="F61" s="76"/>
      <c r="G61" s="76"/>
      <c r="H61" s="76"/>
      <c r="I61" s="76"/>
      <c r="J61" s="79"/>
      <c r="K61" s="77"/>
      <c r="L61" s="77"/>
      <c r="M61" s="77"/>
      <c r="N61" s="77"/>
    </row>
    <row r="62" spans="1:14" ht="12.75">
      <c r="A62" s="43" t="s">
        <v>171</v>
      </c>
      <c r="B62" s="28" t="s">
        <v>178</v>
      </c>
      <c r="C62" s="76"/>
      <c r="D62" s="76"/>
      <c r="E62" s="76"/>
      <c r="F62" s="76">
        <v>7.2</v>
      </c>
      <c r="G62" s="76" t="s">
        <v>15</v>
      </c>
      <c r="H62" s="76" t="s">
        <v>15</v>
      </c>
      <c r="I62" s="76">
        <v>8.69</v>
      </c>
      <c r="J62" s="79">
        <v>6.25</v>
      </c>
      <c r="K62" s="77"/>
      <c r="L62" s="77"/>
      <c r="M62" s="77"/>
      <c r="N62" s="77"/>
    </row>
    <row r="63" spans="1:14" ht="12.75">
      <c r="A63" s="43" t="s">
        <v>172</v>
      </c>
      <c r="B63" s="28" t="s">
        <v>178</v>
      </c>
      <c r="C63" s="76"/>
      <c r="D63" s="76"/>
      <c r="E63" s="76"/>
      <c r="F63" s="76">
        <v>9.7</v>
      </c>
      <c r="G63" s="76">
        <v>19.2</v>
      </c>
      <c r="H63" s="76">
        <v>11.27</v>
      </c>
      <c r="I63" s="76">
        <v>19.71</v>
      </c>
      <c r="J63" s="79">
        <v>9.25</v>
      </c>
      <c r="K63" s="77"/>
      <c r="L63" s="77"/>
      <c r="M63" s="77"/>
      <c r="N63" s="77"/>
    </row>
    <row r="64" spans="1:14" ht="12.75">
      <c r="A64" s="41" t="s">
        <v>173</v>
      </c>
      <c r="B64" s="27" t="s">
        <v>178</v>
      </c>
      <c r="C64" s="78" t="s">
        <v>15</v>
      </c>
      <c r="D64" s="78" t="s">
        <v>15</v>
      </c>
      <c r="E64" s="78" t="s">
        <v>15</v>
      </c>
      <c r="F64" s="78" t="s">
        <v>15</v>
      </c>
      <c r="G64" s="78" t="s">
        <v>15</v>
      </c>
      <c r="H64" s="78" t="s">
        <v>15</v>
      </c>
      <c r="I64" s="78" t="s">
        <v>15</v>
      </c>
      <c r="J64" s="80">
        <v>8</v>
      </c>
      <c r="K64" s="77"/>
      <c r="L64" s="77"/>
      <c r="M64" s="77"/>
      <c r="N64" s="77"/>
    </row>
    <row r="65" spans="1:14" ht="27" customHeight="1">
      <c r="A65" s="345" t="s">
        <v>192</v>
      </c>
      <c r="B65" s="346"/>
      <c r="C65" s="346"/>
      <c r="D65" s="346"/>
      <c r="E65" s="346"/>
      <c r="F65" s="346"/>
      <c r="G65" s="346"/>
      <c r="H65" s="346"/>
      <c r="I65" s="346"/>
      <c r="J65" s="346"/>
      <c r="K65" s="77"/>
      <c r="L65" s="77"/>
      <c r="M65" s="77"/>
      <c r="N65" s="77"/>
    </row>
    <row r="66" spans="2:14" ht="12.75">
      <c r="B66" s="39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</row>
    <row r="67" spans="2:14" ht="12.75">
      <c r="B67" s="39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</row>
    <row r="68" spans="2:14" ht="12.75">
      <c r="B68" s="39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</row>
    <row r="69" spans="2:14" ht="12.75">
      <c r="B69" s="39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</row>
    <row r="70" spans="1:14" ht="15.75">
      <c r="A70" s="1" t="s">
        <v>186</v>
      </c>
      <c r="B70" s="39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</row>
    <row r="71" spans="2:14" ht="12.75">
      <c r="B71" s="39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</row>
    <row r="72" spans="1:14" ht="12.75">
      <c r="A72" s="40"/>
      <c r="B72" s="26" t="s">
        <v>8</v>
      </c>
      <c r="C72" s="6">
        <v>1993</v>
      </c>
      <c r="D72" s="6">
        <v>1994</v>
      </c>
      <c r="E72" s="6">
        <v>1995</v>
      </c>
      <c r="F72" s="6">
        <v>1996</v>
      </c>
      <c r="G72" s="6">
        <v>1997</v>
      </c>
      <c r="H72" s="6">
        <v>1998</v>
      </c>
      <c r="I72" s="6">
        <v>1999</v>
      </c>
      <c r="J72" s="7">
        <v>2000</v>
      </c>
      <c r="K72" s="342"/>
      <c r="L72" s="34"/>
      <c r="M72" s="34"/>
      <c r="N72" s="34"/>
    </row>
    <row r="73" spans="1:14" ht="12.75">
      <c r="A73" s="41"/>
      <c r="B73" s="27"/>
      <c r="C73" s="24"/>
      <c r="D73" s="24"/>
      <c r="E73" s="24"/>
      <c r="F73" s="24"/>
      <c r="G73" s="24"/>
      <c r="H73" s="24"/>
      <c r="I73" s="24"/>
      <c r="J73" s="100"/>
      <c r="K73" s="343"/>
      <c r="L73" s="51"/>
      <c r="M73" s="51"/>
      <c r="N73" s="51"/>
    </row>
    <row r="74" spans="1:14" ht="12.75">
      <c r="A74" s="44" t="s">
        <v>187</v>
      </c>
      <c r="B74" s="28" t="s">
        <v>44</v>
      </c>
      <c r="C74" s="340">
        <v>14.649</v>
      </c>
      <c r="D74" s="340">
        <v>13.208</v>
      </c>
      <c r="E74" s="340">
        <v>10.213</v>
      </c>
      <c r="F74" s="340">
        <v>8.644</v>
      </c>
      <c r="G74" s="340">
        <v>21.595</v>
      </c>
      <c r="H74" s="340">
        <v>23.894</v>
      </c>
      <c r="I74" s="340">
        <v>16.994</v>
      </c>
      <c r="J74" s="341">
        <v>9.486</v>
      </c>
      <c r="K74" s="344"/>
      <c r="L74" s="77"/>
      <c r="M74" s="77"/>
      <c r="N74" s="77"/>
    </row>
    <row r="75" spans="1:14" ht="12.75">
      <c r="A75" s="50" t="s">
        <v>188</v>
      </c>
      <c r="B75" s="27" t="s">
        <v>44</v>
      </c>
      <c r="C75" s="31">
        <v>14.624</v>
      </c>
      <c r="D75" s="31">
        <v>10.423</v>
      </c>
      <c r="E75" s="31">
        <v>5.894</v>
      </c>
      <c r="F75" s="31">
        <v>9.522</v>
      </c>
      <c r="G75" s="31">
        <v>21.985</v>
      </c>
      <c r="H75" s="31">
        <v>14.579</v>
      </c>
      <c r="I75" s="31">
        <v>13.951</v>
      </c>
      <c r="J75" s="32">
        <v>7.362</v>
      </c>
      <c r="K75" s="344"/>
      <c r="L75" s="77"/>
      <c r="M75" s="77"/>
      <c r="N75" s="77"/>
    </row>
    <row r="76" spans="2:14" ht="12.75">
      <c r="B76" s="39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</row>
    <row r="77" spans="2:14" ht="12.75">
      <c r="B77" s="39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</row>
    <row r="78" spans="2:14" ht="12.75">
      <c r="B78" s="39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</row>
    <row r="79" spans="2:14" ht="12.75">
      <c r="B79" s="39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</row>
    <row r="80" spans="2:14" ht="12.75">
      <c r="B80" s="39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</row>
    <row r="81" spans="2:14" ht="12.75">
      <c r="B81" s="39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</row>
    <row r="82" spans="2:14" ht="12.75">
      <c r="B82" s="39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</row>
    <row r="83" spans="2:14" ht="12.75">
      <c r="B83" s="39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</row>
    <row r="84" spans="2:14" ht="12.75">
      <c r="B84" s="39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</row>
    <row r="85" spans="2:14" ht="12.75">
      <c r="B85" s="39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</row>
    <row r="86" spans="2:14" ht="12.75">
      <c r="B86" s="39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</row>
    <row r="87" spans="2:14" ht="12.75">
      <c r="B87" s="39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</row>
    <row r="88" spans="2:14" ht="12.75">
      <c r="B88" s="39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</row>
    <row r="89" spans="2:14" ht="12.75">
      <c r="B89" s="39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</row>
    <row r="90" spans="2:14" ht="12.75">
      <c r="B90" s="39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</row>
    <row r="91" spans="2:14" ht="12.75">
      <c r="B91" s="39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</row>
    <row r="92" spans="2:14" ht="12.75">
      <c r="B92" s="39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</row>
    <row r="93" spans="2:14" ht="12.75">
      <c r="B93" s="39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</row>
    <row r="94" spans="2:14" ht="12.75">
      <c r="B94" s="39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</row>
    <row r="95" spans="2:14" ht="12.75">
      <c r="B95" s="39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</row>
    <row r="96" spans="3:14" ht="12.75"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</row>
    <row r="97" spans="3:14" ht="12.75"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</row>
    <row r="98" spans="3:14" ht="12.75"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</row>
    <row r="99" spans="3:14" ht="12.75"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</row>
    <row r="100" spans="3:14" ht="12.75"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</row>
    <row r="101" spans="3:14" ht="12.75"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</row>
    <row r="102" spans="3:14" ht="12.75"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</row>
    <row r="103" spans="3:14" ht="12.75"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</row>
    <row r="104" spans="3:14" ht="12.75"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</row>
    <row r="105" spans="3:14" ht="12.75"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</row>
    <row r="106" spans="3:14" ht="12.75"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</row>
    <row r="107" spans="3:14" ht="12.75"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</row>
    <row r="108" spans="3:14" ht="12.75"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</row>
    <row r="109" spans="3:14" ht="12.75"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</row>
    <row r="110" spans="3:14" ht="12.75"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</row>
    <row r="111" spans="3:14" ht="12.75"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</row>
    <row r="112" spans="3:14" ht="12.75"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</row>
    <row r="113" spans="3:14" ht="12.75"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</row>
    <row r="114" spans="3:14" ht="12.75"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</row>
    <row r="115" spans="3:14" ht="12.75"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</row>
    <row r="116" spans="3:14" ht="12.75"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</row>
    <row r="117" spans="3:14" ht="12.75"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</row>
    <row r="118" spans="3:14" ht="12.75"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</row>
    <row r="119" spans="3:14" ht="12.75"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</row>
    <row r="120" spans="3:14" ht="12.75"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</row>
    <row r="121" spans="3:14" ht="12.75"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</row>
    <row r="122" spans="3:14" ht="12.75"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</row>
    <row r="123" spans="3:14" ht="12.75"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</row>
    <row r="124" spans="3:14" ht="12.75"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</row>
    <row r="125" spans="3:14" ht="12.75"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</row>
    <row r="126" spans="3:14" ht="12.75"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</row>
    <row r="127" spans="3:14" ht="12.75"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</row>
    <row r="128" spans="3:14" ht="12.75"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</row>
    <row r="129" spans="3:14" ht="12.75"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</row>
    <row r="130" spans="3:14" ht="12.75"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</row>
    <row r="131" spans="3:14" ht="12.75"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</row>
    <row r="132" spans="3:14" ht="12.75"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</row>
    <row r="133" spans="3:14" ht="12.75"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</row>
    <row r="134" spans="3:14" ht="12.75"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</row>
    <row r="135" spans="3:14" ht="12.75"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</row>
    <row r="136" spans="3:14" ht="12.75"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</row>
    <row r="137" spans="3:14" ht="12.75"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</row>
    <row r="138" spans="3:14" ht="12.75"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</row>
    <row r="139" spans="3:14" ht="12.75"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</row>
    <row r="140" spans="3:14" ht="12.75"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</row>
    <row r="141" spans="3:14" ht="12.75"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</row>
    <row r="142" spans="3:14" ht="12.75"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</row>
    <row r="143" spans="3:14" ht="12.75"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</row>
    <row r="144" spans="3:14" ht="12.75"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</row>
    <row r="145" spans="3:14" ht="12.75"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</row>
    <row r="146" spans="3:14" ht="12.75"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</row>
    <row r="147" spans="3:14" ht="12.75"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</row>
    <row r="148" spans="3:14" ht="12.75"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</row>
    <row r="149" spans="3:14" ht="12.75"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</row>
    <row r="150" spans="3:14" ht="12.75"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</row>
    <row r="151" spans="3:14" ht="12.75"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</row>
    <row r="152" spans="3:14" ht="12.75"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</row>
    <row r="153" spans="3:14" ht="12.75"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</row>
    <row r="154" spans="3:14" ht="12.75"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</row>
    <row r="155" spans="3:14" ht="12.75"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</row>
    <row r="156" spans="3:14" ht="12.75"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</row>
    <row r="157" spans="3:14" ht="12.75"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</row>
    <row r="158" spans="3:14" ht="12.75"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</row>
    <row r="159" spans="3:14" ht="12.75"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</row>
    <row r="160" spans="3:14" ht="12.75"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</row>
    <row r="161" spans="3:14" ht="12.75"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</row>
    <row r="162" spans="3:14" ht="12.75"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</row>
    <row r="163" spans="3:14" ht="12.75"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</row>
    <row r="164" spans="3:14" ht="12.75"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</row>
    <row r="165" spans="3:14" ht="12.75"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</row>
    <row r="166" spans="3:14" ht="12.75"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</row>
    <row r="167" spans="3:14" ht="12.75"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</row>
    <row r="168" spans="3:14" ht="12.75"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</row>
    <row r="169" spans="3:14" ht="12.75"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</row>
    <row r="170" spans="3:14" ht="12.75"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</row>
    <row r="171" spans="3:14" ht="12.75"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</row>
    <row r="172" spans="3:14" ht="12.75"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</row>
    <row r="173" spans="3:14" ht="12.75"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</row>
    <row r="174" spans="3:14" ht="12.75"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</row>
    <row r="175" spans="3:14" ht="12.75"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</row>
    <row r="176" spans="3:14" ht="12.75"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</row>
    <row r="177" spans="3:14" ht="12.75"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</row>
    <row r="178" spans="3:14" ht="12.75"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</row>
    <row r="179" spans="3:14" ht="12.75"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</row>
    <row r="180" spans="3:14" ht="12.75"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</row>
    <row r="181" spans="3:14" ht="12.75"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</row>
    <row r="182" spans="3:14" ht="12.75"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</row>
    <row r="183" spans="3:14" ht="12.75"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</row>
    <row r="184" spans="3:14" ht="12.75"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</row>
    <row r="185" spans="3:14" ht="12.75"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</row>
    <row r="186" spans="3:14" ht="12.75"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</row>
    <row r="187" spans="3:14" ht="12.75"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</row>
    <row r="188" spans="3:14" ht="12.75"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</row>
    <row r="189" spans="3:14" ht="12.75"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</row>
    <row r="190" spans="3:14" ht="12.75"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</row>
    <row r="191" spans="3:14" ht="12.75"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</row>
    <row r="192" spans="3:14" ht="12.75"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</row>
    <row r="193" spans="3:14" ht="12.75"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</row>
    <row r="194" spans="3:14" ht="12.75"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</row>
    <row r="195" spans="3:14" ht="12.75"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</row>
    <row r="196" spans="3:14" ht="12.75"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</row>
    <row r="197" spans="3:14" ht="12.75"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</row>
    <row r="198" spans="3:14" ht="12.75"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</row>
    <row r="199" spans="3:14" ht="12.75"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</row>
    <row r="200" spans="3:14" ht="12.75"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</row>
    <row r="201" spans="3:14" ht="12.75"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</row>
    <row r="202" spans="3:14" ht="12.75"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</row>
    <row r="203" spans="3:14" ht="12.75"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</row>
    <row r="204" spans="3:14" ht="12.75"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</row>
    <row r="205" spans="3:14" ht="12.75"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</row>
    <row r="206" spans="3:14" ht="12.75"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</row>
    <row r="207" spans="3:14" ht="12.75"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</row>
    <row r="208" spans="3:14" ht="12.75"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</row>
    <row r="209" spans="3:14" ht="12.75"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</row>
    <row r="210" spans="3:14" ht="12.75"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</row>
    <row r="211" spans="3:14" ht="12.75"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</row>
    <row r="212" spans="3:14" ht="12.75"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</row>
    <row r="213" spans="3:14" ht="12.75"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</row>
    <row r="214" spans="3:14" ht="12.75"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</row>
    <row r="215" spans="3:14" ht="12.75"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</row>
    <row r="216" spans="3:14" ht="12.75"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</row>
    <row r="217" spans="3:14" ht="12.75"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</row>
    <row r="218" spans="3:14" ht="12.75"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</row>
    <row r="219" spans="3:14" ht="12.75"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</row>
    <row r="220" spans="3:14" ht="12.75"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</row>
    <row r="221" spans="3:14" ht="12.75"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</row>
    <row r="222" spans="3:14" ht="12.75"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</row>
    <row r="223" spans="3:14" ht="12.75"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</row>
    <row r="224" spans="3:14" ht="12.75"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</row>
    <row r="225" spans="3:14" ht="12.75"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</row>
    <row r="226" spans="3:14" ht="12.75"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</row>
    <row r="227" spans="3:14" ht="12.75"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</row>
  </sheetData>
  <mergeCells count="1">
    <mergeCell ref="A65:J65"/>
  </mergeCells>
  <printOptions horizontalCentered="1"/>
  <pageMargins left="0.5905511811023623" right="0.5905511811023623" top="0.5905511811023623" bottom="0.5905511811023623" header="0.5118110236220472" footer="0.5118110236220472"/>
  <pageSetup horizontalDpi="180" verticalDpi="180" orientation="landscape" paperSize="9" scale="80" r:id="rId1"/>
  <rowBreaks count="2" manualBreakCount="2">
    <brk id="50" max="255" man="1"/>
    <brk id="75" max="255" man="1"/>
  </rowBreaks>
  <colBreaks count="2" manualBreakCount="2">
    <brk id="10" max="65535" man="1"/>
    <brk id="14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9.125" style="2" customWidth="1"/>
  </cols>
  <sheetData/>
  <printOptions horizontalCentered="1"/>
  <pageMargins left="0.5905511811023623" right="0.5905511811023623" top="0.5905511811023623" bottom="0.5905511811023623" header="0.5118110236220472" footer="0.5118110236220472"/>
  <pageSetup horizontalDpi="180" verticalDpi="180" orientation="portrait" paperSize="9" scale="90" r:id="rId2"/>
  <rowBreaks count="1" manualBreakCount="1">
    <brk id="66" max="255" man="1"/>
  </rowBreaks>
  <colBreaks count="1" manualBreakCount="1">
    <brk id="10" max="65535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A1" sqref="A1"/>
    </sheetView>
  </sheetViews>
  <sheetFormatPr defaultColWidth="9.00390625" defaultRowHeight="12.75"/>
  <cols>
    <col min="1" max="1" width="21.625" style="2" customWidth="1"/>
    <col min="2" max="2" width="2.875" style="2" hidden="1" customWidth="1"/>
    <col min="3" max="3" width="13.625" style="2" bestFit="1" customWidth="1"/>
    <col min="4" max="16384" width="9.125" style="2" customWidth="1"/>
  </cols>
  <sheetData>
    <row r="1" spans="1:2" ht="15.75">
      <c r="A1" s="1" t="s">
        <v>137</v>
      </c>
      <c r="B1" s="1"/>
    </row>
    <row r="3" spans="1:11" ht="12.75">
      <c r="A3" s="40"/>
      <c r="B3" s="40"/>
      <c r="C3" s="26" t="s">
        <v>8</v>
      </c>
      <c r="D3" s="6">
        <v>1993</v>
      </c>
      <c r="E3" s="6">
        <v>1994</v>
      </c>
      <c r="F3" s="6">
        <v>1995</v>
      </c>
      <c r="G3" s="6">
        <v>1996</v>
      </c>
      <c r="H3" s="6">
        <v>1997</v>
      </c>
      <c r="I3" s="6">
        <v>1998</v>
      </c>
      <c r="J3" s="6">
        <v>1999</v>
      </c>
      <c r="K3" s="7">
        <v>2000</v>
      </c>
    </row>
    <row r="4" spans="1:11" ht="12.75">
      <c r="A4" s="41"/>
      <c r="B4" s="41"/>
      <c r="C4" s="27"/>
      <c r="D4" s="24"/>
      <c r="E4" s="24"/>
      <c r="F4" s="24"/>
      <c r="G4" s="24"/>
      <c r="H4" s="24"/>
      <c r="I4" s="24"/>
      <c r="J4" s="24"/>
      <c r="K4" s="100"/>
    </row>
    <row r="5" spans="1:11" ht="15.75">
      <c r="A5" s="57" t="s">
        <v>135</v>
      </c>
      <c r="B5" s="57"/>
      <c r="C5" s="28"/>
      <c r="D5" s="3"/>
      <c r="E5" s="3"/>
      <c r="F5" s="3"/>
      <c r="G5" s="3"/>
      <c r="H5" s="3"/>
      <c r="I5" s="3"/>
      <c r="J5" s="3"/>
      <c r="K5" s="15"/>
    </row>
    <row r="6" spans="1:11" ht="12.75">
      <c r="A6" s="44" t="s">
        <v>139</v>
      </c>
      <c r="B6" s="44"/>
      <c r="C6" s="28" t="s">
        <v>71</v>
      </c>
      <c r="D6" s="46">
        <v>5336.455</v>
      </c>
      <c r="E6" s="46">
        <v>5356.207</v>
      </c>
      <c r="F6" s="46">
        <v>5367.79</v>
      </c>
      <c r="G6" s="46">
        <v>5378.932</v>
      </c>
      <c r="H6" s="46">
        <v>5387.65</v>
      </c>
      <c r="I6" s="46">
        <v>5393.382</v>
      </c>
      <c r="J6" s="46">
        <v>5398.657</v>
      </c>
      <c r="K6" s="11">
        <v>5402.547</v>
      </c>
    </row>
    <row r="7" spans="1:11" ht="12.75">
      <c r="A7" s="43"/>
      <c r="B7" s="43"/>
      <c r="C7" s="28" t="s">
        <v>116</v>
      </c>
      <c r="D7" s="3" t="s">
        <v>15</v>
      </c>
      <c r="E7" s="3">
        <f>E6/D6*100</f>
        <v>100.37013335631988</v>
      </c>
      <c r="F7" s="3">
        <f aca="true" t="shared" si="0" ref="F7:K7">F6/E6*100</f>
        <v>100.21625377809333</v>
      </c>
      <c r="G7" s="3">
        <f t="shared" si="0"/>
        <v>100.20757145864498</v>
      </c>
      <c r="H7" s="3">
        <f t="shared" si="0"/>
        <v>100.16207678401585</v>
      </c>
      <c r="I7" s="3">
        <f t="shared" si="0"/>
        <v>100.10639146937905</v>
      </c>
      <c r="J7" s="3">
        <f t="shared" si="0"/>
        <v>100.09780505070844</v>
      </c>
      <c r="K7" s="15">
        <f t="shared" si="0"/>
        <v>100.07205495737179</v>
      </c>
    </row>
    <row r="8" spans="1:11" ht="12.75">
      <c r="A8" s="73" t="s">
        <v>144</v>
      </c>
      <c r="B8" s="73"/>
      <c r="C8" s="28"/>
      <c r="D8" s="3"/>
      <c r="E8" s="3"/>
      <c r="F8" s="3"/>
      <c r="G8" s="3"/>
      <c r="H8" s="3"/>
      <c r="I8" s="3"/>
      <c r="J8" s="3"/>
      <c r="K8" s="15"/>
    </row>
    <row r="9" spans="1:11" ht="12.75">
      <c r="A9" s="74" t="s">
        <v>146</v>
      </c>
      <c r="B9" s="74"/>
      <c r="C9" s="28" t="s">
        <v>71</v>
      </c>
      <c r="D9" s="3">
        <v>1256.032</v>
      </c>
      <c r="E9" s="3">
        <v>1225.988</v>
      </c>
      <c r="F9" s="3">
        <v>1195.288</v>
      </c>
      <c r="G9" s="3">
        <v>1164.897</v>
      </c>
      <c r="H9" s="3">
        <v>1133.95</v>
      </c>
      <c r="I9" s="3">
        <v>1101.841</v>
      </c>
      <c r="J9" s="3">
        <v>1069.374</v>
      </c>
      <c r="K9" s="15">
        <v>1036.425</v>
      </c>
    </row>
    <row r="10" spans="1:11" ht="12.75">
      <c r="A10" s="74"/>
      <c r="B10" s="74"/>
      <c r="C10" s="28" t="s">
        <v>116</v>
      </c>
      <c r="D10" s="46" t="s">
        <v>15</v>
      </c>
      <c r="E10" s="46">
        <f aca="true" t="shared" si="1" ref="E10:K10">E9/D9*100</f>
        <v>97.60802272553568</v>
      </c>
      <c r="F10" s="46">
        <f t="shared" si="1"/>
        <v>97.49589718659563</v>
      </c>
      <c r="G10" s="46">
        <f t="shared" si="1"/>
        <v>97.45743285300279</v>
      </c>
      <c r="H10" s="46">
        <f t="shared" si="1"/>
        <v>97.34337027222149</v>
      </c>
      <c r="I10" s="46">
        <f t="shared" si="1"/>
        <v>97.16839366815114</v>
      </c>
      <c r="J10" s="46">
        <f t="shared" si="1"/>
        <v>97.05338610561779</v>
      </c>
      <c r="K10" s="11">
        <f t="shared" si="1"/>
        <v>96.91885158980861</v>
      </c>
    </row>
    <row r="11" spans="1:11" ht="12.75">
      <c r="A11" s="74" t="s">
        <v>140</v>
      </c>
      <c r="B11" s="74"/>
      <c r="C11" s="28" t="s">
        <v>71</v>
      </c>
      <c r="D11" s="3">
        <f>231.83+196.941+184.753+193.51+212.127+202.435+159.979+137.95+125.708+1632.053</f>
        <v>3277.286</v>
      </c>
      <c r="E11" s="3">
        <f>233.707+206.181+182.146+194.269+208.438+208.072+166.24+140.859+126.527+1654.683</f>
        <v>3321.1220000000003</v>
      </c>
      <c r="F11" s="3">
        <f>232.211+215.077+181.265+193.413+204.12+211.466+177.301+141.233+127.999+1674.682</f>
        <v>3358.767</v>
      </c>
      <c r="G11" s="3">
        <f>229.949+222.956+182.888+191.369+199.773+212.956+188.248+143.472+130.371+1694.468</f>
        <v>3396.45</v>
      </c>
      <c r="H11" s="3">
        <f>226.972+228.282+188.805+189.069+195.225+212.589+195.257+149.819+132.862+1713.6</f>
        <v>3432.4799999999996</v>
      </c>
      <c r="I11" s="3">
        <f>223.211+231.903+197.328+185.024+193.313+211.251+200.737+157.624+134.377+1731.671</f>
        <v>3466.4390000000003</v>
      </c>
      <c r="J11" s="3">
        <f>219.004+233.622+206.337+182.243+193.957+207.503+206.195+163.693+137.278+1748.56</f>
        <v>3498.392</v>
      </c>
      <c r="K11" s="15">
        <f>443.815+473.084+436.177+367.385+389.618+408.964+415.559+338.423+254.568</f>
        <v>3527.5930000000008</v>
      </c>
    </row>
    <row r="12" spans="1:11" ht="12.75">
      <c r="A12" s="74"/>
      <c r="B12" s="74"/>
      <c r="C12" s="28" t="s">
        <v>116</v>
      </c>
      <c r="D12" s="3" t="s">
        <v>15</v>
      </c>
      <c r="E12" s="46">
        <f aca="true" t="shared" si="2" ref="E12:K12">E11/D11*100</f>
        <v>101.33757017239265</v>
      </c>
      <c r="F12" s="46">
        <f t="shared" si="2"/>
        <v>101.13350247295942</v>
      </c>
      <c r="G12" s="46">
        <f t="shared" si="2"/>
        <v>101.12192956522439</v>
      </c>
      <c r="H12" s="46">
        <f t="shared" si="2"/>
        <v>101.06081349644481</v>
      </c>
      <c r="I12" s="46">
        <f t="shared" si="2"/>
        <v>100.98934298233348</v>
      </c>
      <c r="J12" s="46">
        <f t="shared" si="2"/>
        <v>100.921781690086</v>
      </c>
      <c r="K12" s="11">
        <f t="shared" si="2"/>
        <v>100.83469776971823</v>
      </c>
    </row>
    <row r="13" spans="1:11" ht="12.75">
      <c r="A13" s="74" t="s">
        <v>145</v>
      </c>
      <c r="B13" s="74"/>
      <c r="C13" s="28" t="s">
        <v>71</v>
      </c>
      <c r="D13" s="3">
        <f>130.393+121.128+105.164+45.141+47.338+27.776+326.197</f>
        <v>803.1370000000001</v>
      </c>
      <c r="E13" s="3">
        <f>128.297+121.069+108.295+46.419+47.876+29.599+327.542</f>
        <v>809.097</v>
      </c>
      <c r="F13" s="3">
        <f>126.042+121.831+110.072+52.017+44.819+30.776+328.177</f>
        <v>813.734</v>
      </c>
      <c r="G13" s="3">
        <f>123.383+121.893+109.353+62.783+40.371+31.673+328.129</f>
        <v>817.585</v>
      </c>
      <c r="H13" s="3">
        <f>120.706+122.433+107.836+73.643+35.08+33.097+328.425</f>
        <v>821.22</v>
      </c>
      <c r="I13" s="3">
        <f>120.335+120.983+106.759+84.186+30.248+34.128+328.463</f>
        <v>825.1020000000001</v>
      </c>
      <c r="J13" s="3">
        <f>121.16+119.147+106.967+86.731+31.794+35.506+329.586</f>
        <v>830.891</v>
      </c>
      <c r="K13" s="15">
        <f>218.945+201.871+176.254+137.264+54.464+34.143+11.735+3.103+0.75</f>
        <v>838.529</v>
      </c>
    </row>
    <row r="14" spans="1:11" ht="12.75">
      <c r="A14" s="74"/>
      <c r="B14" s="74"/>
      <c r="C14" s="28" t="s">
        <v>116</v>
      </c>
      <c r="D14" s="46" t="s">
        <v>15</v>
      </c>
      <c r="E14" s="46">
        <f aca="true" t="shared" si="3" ref="E14:K14">E13/D13*100</f>
        <v>100.74209007927664</v>
      </c>
      <c r="F14" s="46">
        <f t="shared" si="3"/>
        <v>100.57310804514168</v>
      </c>
      <c r="G14" s="46">
        <f t="shared" si="3"/>
        <v>100.47325047251312</v>
      </c>
      <c r="H14" s="46">
        <f t="shared" si="3"/>
        <v>100.44460209030252</v>
      </c>
      <c r="I14" s="46">
        <f t="shared" si="3"/>
        <v>100.47271133192082</v>
      </c>
      <c r="J14" s="46">
        <f t="shared" si="3"/>
        <v>100.70161022516002</v>
      </c>
      <c r="K14" s="11">
        <f t="shared" si="3"/>
        <v>100.919254150063</v>
      </c>
    </row>
    <row r="15" spans="1:11" ht="12.75">
      <c r="A15" s="73" t="s">
        <v>141</v>
      </c>
      <c r="B15" s="73"/>
      <c r="C15" s="28"/>
      <c r="D15" s="3"/>
      <c r="E15" s="3"/>
      <c r="F15" s="3"/>
      <c r="G15" s="3"/>
      <c r="H15" s="3"/>
      <c r="I15" s="3"/>
      <c r="J15" s="3"/>
      <c r="K15" s="15"/>
    </row>
    <row r="16" spans="1:11" ht="12.75">
      <c r="A16" s="74" t="s">
        <v>142</v>
      </c>
      <c r="B16" s="74"/>
      <c r="C16" s="28" t="s">
        <v>71</v>
      </c>
      <c r="D16" s="3">
        <v>2600.047</v>
      </c>
      <c r="E16" s="3">
        <v>2608.901</v>
      </c>
      <c r="F16" s="3">
        <v>2613.712</v>
      </c>
      <c r="G16" s="3">
        <v>2618.434</v>
      </c>
      <c r="H16" s="3">
        <v>2622.005</v>
      </c>
      <c r="I16" s="3">
        <v>2623.692</v>
      </c>
      <c r="J16" s="3">
        <v>2625.126</v>
      </c>
      <c r="K16" s="15">
        <v>2626.061</v>
      </c>
    </row>
    <row r="17" spans="1:11" ht="12.75">
      <c r="A17" s="75" t="s">
        <v>143</v>
      </c>
      <c r="B17" s="75"/>
      <c r="C17" s="27" t="s">
        <v>71</v>
      </c>
      <c r="D17" s="31">
        <v>2736.408</v>
      </c>
      <c r="E17" s="31">
        <v>2747.306</v>
      </c>
      <c r="F17" s="31">
        <v>2754.078</v>
      </c>
      <c r="G17" s="31">
        <v>2760.498</v>
      </c>
      <c r="H17" s="31">
        <v>2765.645</v>
      </c>
      <c r="I17" s="31">
        <v>2769.69</v>
      </c>
      <c r="J17" s="31">
        <v>2773.531</v>
      </c>
      <c r="K17" s="32">
        <v>2776.486</v>
      </c>
    </row>
    <row r="18" spans="1:11" ht="12.75">
      <c r="A18" s="43" t="s">
        <v>209</v>
      </c>
      <c r="B18" s="43" t="s">
        <v>208</v>
      </c>
      <c r="C18" s="28" t="s">
        <v>71</v>
      </c>
      <c r="D18" s="46">
        <v>5324.632</v>
      </c>
      <c r="E18" s="46">
        <v>5347.413</v>
      </c>
      <c r="F18" s="46">
        <v>5363.676</v>
      </c>
      <c r="G18" s="46">
        <v>5373.793</v>
      </c>
      <c r="H18" s="46">
        <v>5383.233</v>
      </c>
      <c r="I18" s="46">
        <v>5390.657</v>
      </c>
      <c r="J18" s="46">
        <v>5395.115</v>
      </c>
      <c r="K18" s="11">
        <v>5400.637</v>
      </c>
    </row>
    <row r="19" spans="1:11" ht="12.75">
      <c r="A19" s="41"/>
      <c r="B19" s="41"/>
      <c r="C19" s="27" t="s">
        <v>116</v>
      </c>
      <c r="D19" s="31" t="s">
        <v>15</v>
      </c>
      <c r="E19" s="31">
        <f>E18/D18*100</f>
        <v>100.42784177385404</v>
      </c>
      <c r="F19" s="31">
        <f aca="true" t="shared" si="4" ref="F19:K19">F18/E18*100</f>
        <v>100.30412837011096</v>
      </c>
      <c r="G19" s="31">
        <f t="shared" si="4"/>
        <v>100.18862064002374</v>
      </c>
      <c r="H19" s="31">
        <f t="shared" si="4"/>
        <v>100.17566735451106</v>
      </c>
      <c r="I19" s="31">
        <f t="shared" si="4"/>
        <v>100.13790969107225</v>
      </c>
      <c r="J19" s="31">
        <f t="shared" si="4"/>
        <v>100.08269863951647</v>
      </c>
      <c r="K19" s="32">
        <f t="shared" si="4"/>
        <v>100.1023518497752</v>
      </c>
    </row>
    <row r="21" spans="1:2" ht="12.75">
      <c r="A21" s="4"/>
      <c r="B21" s="4"/>
    </row>
  </sheetData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1"/>
  <sheetViews>
    <sheetView zoomScale="75" zoomScaleNormal="75" workbookViewId="0" topLeftCell="A1">
      <selection activeCell="A1" sqref="A1"/>
    </sheetView>
  </sheetViews>
  <sheetFormatPr defaultColWidth="12.625" defaultRowHeight="12.75"/>
  <cols>
    <col min="1" max="1" width="66.625" style="124" customWidth="1"/>
    <col min="2" max="2" width="20.625" style="124" customWidth="1"/>
    <col min="3" max="16384" width="12.625" style="124" customWidth="1"/>
  </cols>
  <sheetData>
    <row r="1" ht="15.75">
      <c r="A1" s="123" t="s">
        <v>333</v>
      </c>
    </row>
    <row r="2" ht="15.75" thickBot="1"/>
    <row r="3" spans="1:11" ht="16.5" customHeight="1">
      <c r="A3" s="291" t="s">
        <v>334</v>
      </c>
      <c r="B3" s="324" t="s">
        <v>335</v>
      </c>
      <c r="C3" s="293">
        <v>1993</v>
      </c>
      <c r="D3" s="293">
        <v>1994</v>
      </c>
      <c r="E3" s="293">
        <v>1995</v>
      </c>
      <c r="F3" s="293">
        <v>1996</v>
      </c>
      <c r="G3" s="293">
        <v>1997</v>
      </c>
      <c r="H3" s="326">
        <v>1998</v>
      </c>
      <c r="I3" s="320">
        <v>1999</v>
      </c>
      <c r="J3" s="321">
        <v>2000</v>
      </c>
      <c r="K3" s="220">
        <v>2001</v>
      </c>
    </row>
    <row r="4" spans="1:11" ht="18.75" customHeight="1" thickBot="1">
      <c r="A4" s="292"/>
      <c r="B4" s="325"/>
      <c r="C4" s="294"/>
      <c r="D4" s="294"/>
      <c r="E4" s="294"/>
      <c r="F4" s="295"/>
      <c r="G4" s="295"/>
      <c r="H4" s="294"/>
      <c r="I4" s="294"/>
      <c r="J4" s="294"/>
      <c r="K4" s="221" t="s">
        <v>215</v>
      </c>
    </row>
    <row r="5" spans="1:11" ht="16.5" customHeight="1">
      <c r="A5" s="127"/>
      <c r="B5" s="128"/>
      <c r="C5" s="129"/>
      <c r="D5" s="129"/>
      <c r="E5" s="129"/>
      <c r="F5" s="129"/>
      <c r="G5" s="129"/>
      <c r="H5" s="228"/>
      <c r="I5" s="228"/>
      <c r="J5" s="228"/>
      <c r="K5" s="229"/>
    </row>
    <row r="6" spans="1:11" ht="18.75">
      <c r="A6" s="133" t="s">
        <v>336</v>
      </c>
      <c r="B6" s="128"/>
      <c r="C6" s="128"/>
      <c r="D6" s="128"/>
      <c r="E6" s="128"/>
      <c r="F6" s="128"/>
      <c r="G6" s="128"/>
      <c r="H6" s="228"/>
      <c r="I6" s="228"/>
      <c r="J6" s="228"/>
      <c r="K6" s="229"/>
    </row>
    <row r="7" spans="1:11" ht="16.5" customHeight="1">
      <c r="A7" s="133" t="s">
        <v>444</v>
      </c>
      <c r="B7" s="129" t="s">
        <v>217</v>
      </c>
      <c r="C7" s="230">
        <f>Indikátory!C7</f>
        <v>390.6</v>
      </c>
      <c r="D7" s="230">
        <f>Indikátory!D7</f>
        <v>466.2</v>
      </c>
      <c r="E7" s="230">
        <f>Indikátory!E7</f>
        <v>546</v>
      </c>
      <c r="F7" s="230">
        <f>Indikátory!F7</f>
        <v>606.1</v>
      </c>
      <c r="G7" s="230">
        <f>Indikátory!G7</f>
        <v>686.1</v>
      </c>
      <c r="H7" s="230">
        <f>Indikátory!H7</f>
        <v>750.8</v>
      </c>
      <c r="I7" s="230">
        <f>Indikátory!I7</f>
        <v>815.3</v>
      </c>
      <c r="J7" s="230">
        <f>Indikátory!J7</f>
        <v>887.2</v>
      </c>
      <c r="K7" s="222">
        <f>Indikátory!K7</f>
        <v>221.8</v>
      </c>
    </row>
    <row r="8" spans="1:11" ht="16.5" customHeight="1">
      <c r="A8" s="118" t="s">
        <v>337</v>
      </c>
      <c r="B8" s="129" t="s">
        <v>225</v>
      </c>
      <c r="C8" s="223">
        <f>Indikátory!C8</f>
        <v>487.6</v>
      </c>
      <c r="D8" s="223">
        <f>Indikátory!D8</f>
        <v>511.6</v>
      </c>
      <c r="E8" s="223">
        <f>Indikátory!E8</f>
        <v>546</v>
      </c>
      <c r="F8" s="223">
        <f>Indikátory!F8</f>
        <v>579.9</v>
      </c>
      <c r="G8" s="231">
        <f>Indikátory!G8</f>
        <v>615.9</v>
      </c>
      <c r="H8" s="232">
        <f>Indikátory!H8</f>
        <v>641.1</v>
      </c>
      <c r="I8" s="232">
        <f>Indikátory!I8</f>
        <v>653.3</v>
      </c>
      <c r="J8" s="223">
        <f>Indikátory!J8</f>
        <v>667.7</v>
      </c>
      <c r="K8" s="233">
        <f>Indikátory!K8</f>
        <v>160.9</v>
      </c>
    </row>
    <row r="9" spans="1:11" ht="16.5" customHeight="1">
      <c r="A9" s="118"/>
      <c r="B9" s="129" t="s">
        <v>220</v>
      </c>
      <c r="C9" s="234" t="str">
        <f>Indikátory!C9</f>
        <v>-</v>
      </c>
      <c r="D9" s="223">
        <f>Indikátory!D9</f>
        <v>4.9</v>
      </c>
      <c r="E9" s="223">
        <f>Indikátory!E9</f>
        <v>6.7</v>
      </c>
      <c r="F9" s="223">
        <f>Indikátory!F9</f>
        <v>6.2</v>
      </c>
      <c r="G9" s="231">
        <f>Indikátory!G9</f>
        <v>6.2</v>
      </c>
      <c r="H9" s="232">
        <f>Indikátory!H9</f>
        <v>4.1</v>
      </c>
      <c r="I9" s="232">
        <f>Indikátory!I9</f>
        <v>1.9</v>
      </c>
      <c r="J9" s="223">
        <f>Indikátory!J9</f>
        <v>2.2</v>
      </c>
      <c r="K9" s="233">
        <f>Indikátory!K9</f>
        <v>3</v>
      </c>
    </row>
    <row r="10" spans="1:11" ht="16.5" customHeight="1">
      <c r="A10" s="118" t="s">
        <v>338</v>
      </c>
      <c r="B10" s="129" t="s">
        <v>219</v>
      </c>
      <c r="C10" s="223">
        <f>Indikátory!C10</f>
        <v>266.6</v>
      </c>
      <c r="D10" s="223">
        <f>Indikátory!D10</f>
        <v>269.2</v>
      </c>
      <c r="E10" s="223">
        <f>Indikátory!E10</f>
        <v>277.3</v>
      </c>
      <c r="F10" s="223">
        <f>Indikátory!F10</f>
        <v>300.1</v>
      </c>
      <c r="G10" s="231">
        <f>Indikátory!G10</f>
        <v>317</v>
      </c>
      <c r="H10" s="232">
        <f>Indikátory!H10</f>
        <v>333.8</v>
      </c>
      <c r="I10" s="232">
        <f>Indikátory!I10</f>
        <v>334.2</v>
      </c>
      <c r="J10" s="223">
        <f>Indikátory!J10</f>
        <v>322.7</v>
      </c>
      <c r="K10" s="233">
        <f>Indikátory!K10</f>
        <v>78.2</v>
      </c>
    </row>
    <row r="11" spans="1:11" ht="16.5" customHeight="1">
      <c r="A11" s="118"/>
      <c r="B11" s="129" t="s">
        <v>222</v>
      </c>
      <c r="C11" s="234" t="str">
        <f>Indikátory!C11</f>
        <v>-</v>
      </c>
      <c r="D11" s="223">
        <f>Indikátory!D11</f>
        <v>1</v>
      </c>
      <c r="E11" s="223">
        <f>Indikátory!E11</f>
        <v>3</v>
      </c>
      <c r="F11" s="223">
        <f>Indikátory!F11</f>
        <v>8.2</v>
      </c>
      <c r="G11" s="231">
        <f>Indikátory!G11</f>
        <v>5.6</v>
      </c>
      <c r="H11" s="232">
        <f>Indikátory!H11</f>
        <v>5.3</v>
      </c>
      <c r="I11" s="232">
        <f>Indikátory!I11</f>
        <v>0.1</v>
      </c>
      <c r="J11" s="223">
        <f>Indikátory!J11</f>
        <v>-3.4</v>
      </c>
      <c r="K11" s="233">
        <f>Indikátory!K11</f>
        <v>4</v>
      </c>
    </row>
    <row r="12" spans="1:11" ht="16.5" customHeight="1">
      <c r="A12" s="118" t="s">
        <v>339</v>
      </c>
      <c r="B12" s="129" t="s">
        <v>219</v>
      </c>
      <c r="C12" s="178">
        <f>Indikátory!C12</f>
        <v>2.2</v>
      </c>
      <c r="D12" s="178">
        <f>Indikátory!D12</f>
        <v>2.4</v>
      </c>
      <c r="E12" s="178">
        <f>Indikátory!E12</f>
        <v>3.5</v>
      </c>
      <c r="F12" s="223">
        <f>Indikátory!F12</f>
        <v>3.1</v>
      </c>
      <c r="G12" s="231">
        <f>Indikátory!G12</f>
        <v>2.7</v>
      </c>
      <c r="H12" s="232">
        <f>Indikátory!H12</f>
        <v>4.5</v>
      </c>
      <c r="I12" s="232">
        <f>Indikátory!I12</f>
        <v>3.4</v>
      </c>
      <c r="J12" s="223">
        <f>Indikátory!J12</f>
        <v>3.5</v>
      </c>
      <c r="K12" s="233">
        <f>Indikátory!K12</f>
        <v>0.8</v>
      </c>
    </row>
    <row r="13" spans="1:11" ht="16.5" customHeight="1">
      <c r="A13" s="118"/>
      <c r="B13" s="129" t="s">
        <v>222</v>
      </c>
      <c r="C13" s="235" t="str">
        <f>Indikátory!C13</f>
        <v>-</v>
      </c>
      <c r="D13" s="178">
        <f>Indikátory!D13</f>
        <v>9.1</v>
      </c>
      <c r="E13" s="178">
        <f>Indikátory!E13</f>
        <v>45.8</v>
      </c>
      <c r="F13" s="223">
        <f>Indikátory!F13</f>
        <v>-11.4</v>
      </c>
      <c r="G13" s="231">
        <f>Indikátory!G13</f>
        <v>-12.9</v>
      </c>
      <c r="H13" s="232">
        <f>Indikátory!H13</f>
        <v>66.7</v>
      </c>
      <c r="I13" s="232">
        <f>Indikátory!I13</f>
        <v>-24.4</v>
      </c>
      <c r="J13" s="223">
        <f>Indikátory!J13</f>
        <v>2.9</v>
      </c>
      <c r="K13" s="233">
        <f>Indikátory!K13</f>
        <v>14.3</v>
      </c>
    </row>
    <row r="14" spans="1:11" ht="16.5" customHeight="1">
      <c r="A14" s="118" t="s">
        <v>340</v>
      </c>
      <c r="B14" s="129" t="s">
        <v>225</v>
      </c>
      <c r="C14" s="223">
        <f>Indikátory!C14</f>
        <v>117.4</v>
      </c>
      <c r="D14" s="223">
        <f>Indikátory!D14</f>
        <v>104</v>
      </c>
      <c r="E14" s="223">
        <f>Indikátory!E14</f>
        <v>106.2</v>
      </c>
      <c r="F14" s="223">
        <f>Indikátory!F14</f>
        <v>128.5</v>
      </c>
      <c r="G14" s="231">
        <f>Indikátory!G14</f>
        <v>133.7</v>
      </c>
      <c r="H14" s="232">
        <f>Indikátory!H14</f>
        <v>139.1</v>
      </c>
      <c r="I14" s="232">
        <f>Indikátory!I14</f>
        <v>129.5</v>
      </c>
      <c r="J14" s="223">
        <f>Indikátory!J14</f>
        <v>128.3</v>
      </c>
      <c r="K14" s="233">
        <f>Indikátory!K14</f>
        <v>26.5</v>
      </c>
    </row>
    <row r="15" spans="1:11" ht="16.5" customHeight="1">
      <c r="A15" s="118"/>
      <c r="B15" s="129" t="s">
        <v>222</v>
      </c>
      <c r="C15" s="234" t="str">
        <f>Indikátory!C15</f>
        <v>-</v>
      </c>
      <c r="D15" s="223">
        <f>Indikátory!D15</f>
        <v>-11.4</v>
      </c>
      <c r="E15" s="223">
        <f>Indikátory!E15</f>
        <v>2.1</v>
      </c>
      <c r="F15" s="223">
        <f>Indikátory!F15</f>
        <v>21</v>
      </c>
      <c r="G15" s="231">
        <f>Indikátory!G15</f>
        <v>4</v>
      </c>
      <c r="H15" s="232">
        <f>Indikátory!H15</f>
        <v>4</v>
      </c>
      <c r="I15" s="232">
        <f>Indikátory!I15</f>
        <v>-6.9</v>
      </c>
      <c r="J15" s="223">
        <f>Indikátory!J15</f>
        <v>-0.9</v>
      </c>
      <c r="K15" s="233">
        <f>Indikátory!K15</f>
        <v>0</v>
      </c>
    </row>
    <row r="16" spans="1:11" ht="18.75" customHeight="1">
      <c r="A16" s="118" t="s">
        <v>341</v>
      </c>
      <c r="B16" s="129" t="s">
        <v>225</v>
      </c>
      <c r="C16" s="223">
        <f>Indikátory!C16</f>
        <v>144.1</v>
      </c>
      <c r="D16" s="223">
        <f>Indikátory!D16</f>
        <v>136.9</v>
      </c>
      <c r="E16" s="223">
        <f>Indikátory!E16</f>
        <v>144.2</v>
      </c>
      <c r="F16" s="223">
        <f>Indikátory!F16</f>
        <v>190.3</v>
      </c>
      <c r="G16" s="231">
        <f>Indikátory!G16</f>
        <v>213.1</v>
      </c>
      <c r="H16" s="232">
        <f>Indikátory!H16</f>
        <v>236.8</v>
      </c>
      <c r="I16" s="232">
        <f>Indikátory!I16</f>
        <v>192.2</v>
      </c>
      <c r="J16" s="223">
        <f>Indikátory!J16</f>
        <v>190.9</v>
      </c>
      <c r="K16" s="233">
        <f>Indikátory!K16</f>
        <v>45.2</v>
      </c>
    </row>
    <row r="17" spans="1:11" ht="16.5" customHeight="1">
      <c r="A17" s="118"/>
      <c r="B17" s="129" t="s">
        <v>222</v>
      </c>
      <c r="C17" s="234" t="str">
        <f>Indikátory!C17</f>
        <v>-</v>
      </c>
      <c r="D17" s="223">
        <f>Indikátory!D17</f>
        <v>-5</v>
      </c>
      <c r="E17" s="223">
        <f>Indikátory!E17</f>
        <v>5.3</v>
      </c>
      <c r="F17" s="223">
        <f>Indikátory!F17</f>
        <v>32</v>
      </c>
      <c r="G17" s="231">
        <f>Indikátory!G17</f>
        <v>12</v>
      </c>
      <c r="H17" s="232">
        <f>Indikátory!H17</f>
        <v>11.1</v>
      </c>
      <c r="I17" s="232">
        <f>Indikátory!I17</f>
        <v>-18.8</v>
      </c>
      <c r="J17" s="223">
        <f>Indikátory!J17</f>
        <v>-0.7</v>
      </c>
      <c r="K17" s="233">
        <f>Indikátory!K17</f>
        <v>16.2</v>
      </c>
    </row>
    <row r="18" spans="1:11" ht="16.5" customHeight="1">
      <c r="A18" s="118" t="s">
        <v>342</v>
      </c>
      <c r="B18" s="129" t="s">
        <v>225</v>
      </c>
      <c r="C18" s="223">
        <f>Indikátory!C18</f>
        <v>-20</v>
      </c>
      <c r="D18" s="223">
        <f>Indikátory!D18</f>
        <v>-27.7</v>
      </c>
      <c r="E18" s="223">
        <f>Indikátory!E18</f>
        <v>5.1</v>
      </c>
      <c r="F18" s="223">
        <f>Indikátory!F18</f>
        <v>0.4</v>
      </c>
      <c r="G18" s="231">
        <f>Indikátory!G18</f>
        <v>-17.2</v>
      </c>
      <c r="H18" s="232">
        <f>Indikátory!H18</f>
        <v>-3.4</v>
      </c>
      <c r="I18" s="232">
        <f>Indikátory!I18</f>
        <v>18.8</v>
      </c>
      <c r="J18" s="223">
        <f>Indikátory!J18</f>
        <v>23.9</v>
      </c>
      <c r="K18" s="233">
        <f>Indikátory!K18</f>
        <v>14.3</v>
      </c>
    </row>
    <row r="19" spans="1:11" ht="18.75" customHeight="1">
      <c r="A19" s="118" t="s">
        <v>343</v>
      </c>
      <c r="B19" s="129" t="s">
        <v>225</v>
      </c>
      <c r="C19" s="223">
        <f>Indikátory!C19</f>
        <v>277.4</v>
      </c>
      <c r="D19" s="223">
        <f>Indikátory!D19</f>
        <v>316.8</v>
      </c>
      <c r="E19" s="223">
        <f>Indikátory!E19</f>
        <v>326.4</v>
      </c>
      <c r="F19" s="223">
        <f>Indikátory!F19</f>
        <v>328.6</v>
      </c>
      <c r="G19" s="231">
        <f>Indikátory!G19</f>
        <v>386.3</v>
      </c>
      <c r="H19" s="232">
        <f>Indikátory!H19</f>
        <v>433.3</v>
      </c>
      <c r="I19" s="232">
        <f>Indikátory!I19</f>
        <v>448</v>
      </c>
      <c r="J19" s="223">
        <f>Indikátory!J19</f>
        <v>519.2</v>
      </c>
      <c r="K19" s="233">
        <f>Indikátory!K19</f>
        <v>135.8</v>
      </c>
    </row>
    <row r="20" spans="1:11" ht="16.5" customHeight="1">
      <c r="A20" s="118"/>
      <c r="B20" s="129" t="s">
        <v>222</v>
      </c>
      <c r="C20" s="234" t="str">
        <f>Indikátory!C20</f>
        <v>-</v>
      </c>
      <c r="D20" s="223">
        <f>Indikátory!D20</f>
        <v>14.2</v>
      </c>
      <c r="E20" s="223">
        <f>Indikátory!E20</f>
        <v>3</v>
      </c>
      <c r="F20" s="223">
        <f>Indikátory!F20</f>
        <v>0.7</v>
      </c>
      <c r="G20" s="236">
        <f>Indikátory!G20</f>
        <v>17.6</v>
      </c>
      <c r="H20" s="232">
        <f>Indikátory!H20</f>
        <v>12.2</v>
      </c>
      <c r="I20" s="232">
        <f>Indikátory!I20</f>
        <v>3.4</v>
      </c>
      <c r="J20" s="223">
        <f>Indikátory!J20</f>
        <v>15.9</v>
      </c>
      <c r="K20" s="233">
        <f>Indikátory!K20</f>
        <v>13.1</v>
      </c>
    </row>
    <row r="21" spans="1:11" ht="18.75" customHeight="1">
      <c r="A21" s="118" t="s">
        <v>344</v>
      </c>
      <c r="B21" s="129" t="s">
        <v>225</v>
      </c>
      <c r="C21" s="223">
        <f>Indikátory!C21</f>
        <v>300.1</v>
      </c>
      <c r="D21" s="223">
        <f>Indikátory!D21</f>
        <v>290</v>
      </c>
      <c r="E21" s="223">
        <f>Indikátory!E21</f>
        <v>316.7</v>
      </c>
      <c r="F21" s="223">
        <f>Indikátory!F21</f>
        <v>371.1</v>
      </c>
      <c r="G21" s="231">
        <f>Indikátory!G21</f>
        <v>419.7</v>
      </c>
      <c r="H21" s="232">
        <f>Indikátory!H21</f>
        <v>503</v>
      </c>
      <c r="I21" s="232">
        <f>Indikátory!I21</f>
        <v>472.8</v>
      </c>
      <c r="J21" s="223">
        <f>Indikátory!J21</f>
        <v>520.8</v>
      </c>
      <c r="K21" s="233">
        <f>Indikátory!K21</f>
        <v>139.9</v>
      </c>
    </row>
    <row r="22" spans="1:11" ht="16.5" customHeight="1">
      <c r="A22" s="118"/>
      <c r="B22" s="129" t="s">
        <v>222</v>
      </c>
      <c r="C22" s="234" t="str">
        <f>Indikátory!C22</f>
        <v>-</v>
      </c>
      <c r="D22" s="223">
        <f>Indikátory!D22</f>
        <v>-3.4</v>
      </c>
      <c r="E22" s="223">
        <f>Indikátory!E22</f>
        <v>9.2</v>
      </c>
      <c r="F22" s="223">
        <f>Indikátory!F22</f>
        <v>17.2</v>
      </c>
      <c r="G22" s="236">
        <f>Indikátory!G22</f>
        <v>13.1</v>
      </c>
      <c r="H22" s="232">
        <f>Indikátory!H22</f>
        <v>19.8</v>
      </c>
      <c r="I22" s="232">
        <f>Indikátory!I22</f>
        <v>-6</v>
      </c>
      <c r="J22" s="223">
        <f>Indikátory!J22</f>
        <v>10.2</v>
      </c>
      <c r="K22" s="233">
        <f>Indikátory!K22</f>
        <v>15</v>
      </c>
    </row>
    <row r="23" spans="1:11" ht="16.5" customHeight="1">
      <c r="A23" s="118" t="s">
        <v>345</v>
      </c>
      <c r="B23" s="129" t="s">
        <v>217</v>
      </c>
      <c r="C23" s="223">
        <f>Indikátory!C23</f>
        <v>-22.700000000000045</v>
      </c>
      <c r="D23" s="223">
        <f>Indikátory!D23</f>
        <v>26.80000000000001</v>
      </c>
      <c r="E23" s="223">
        <f>Indikátory!E23</f>
        <v>9.699999999999989</v>
      </c>
      <c r="F23" s="223">
        <f>Indikátory!F23</f>
        <v>-42.5</v>
      </c>
      <c r="G23" s="231">
        <f>Indikátory!G23</f>
        <v>-33.39999999999998</v>
      </c>
      <c r="H23" s="232">
        <f>Indikátory!H23</f>
        <v>-69.69999999999999</v>
      </c>
      <c r="I23" s="232">
        <f>Indikátory!I23</f>
        <v>-24.80000000000001</v>
      </c>
      <c r="J23" s="223">
        <f>Indikátory!J23</f>
        <v>-1.599999999999909</v>
      </c>
      <c r="K23" s="233">
        <f>Indikátory!K23</f>
        <v>-4.099999999999994</v>
      </c>
    </row>
    <row r="24" spans="1:11" ht="16.5" customHeight="1">
      <c r="A24" s="118"/>
      <c r="B24" s="129" t="s">
        <v>346</v>
      </c>
      <c r="C24" s="223">
        <f>Indikátory!C24</f>
        <v>-4.655455291222323</v>
      </c>
      <c r="D24" s="223">
        <f>Indikátory!D24</f>
        <v>5.238467552775608</v>
      </c>
      <c r="E24" s="223">
        <f>Indikátory!E24</f>
        <v>1.7765567765567745</v>
      </c>
      <c r="F24" s="223">
        <f>Indikátory!F24</f>
        <v>-7.328849801689946</v>
      </c>
      <c r="G24" s="231">
        <f>Indikátory!G24</f>
        <v>-5.422958272446822</v>
      </c>
      <c r="H24" s="232">
        <f>Indikátory!H24</f>
        <v>-10.871938855092807</v>
      </c>
      <c r="I24" s="232">
        <f>Indikátory!I24</f>
        <v>-3.7961120465329885</v>
      </c>
      <c r="J24" s="223">
        <f>Indikátory!J24</f>
        <v>-0.23962857570763949</v>
      </c>
      <c r="K24" s="233">
        <f>Indikátory!K24</f>
        <v>-2.5481665630826567</v>
      </c>
    </row>
    <row r="25" spans="1:11" ht="16.5" customHeight="1">
      <c r="A25" s="118"/>
      <c r="B25" s="129"/>
      <c r="C25" s="224"/>
      <c r="D25" s="224"/>
      <c r="E25" s="224"/>
      <c r="F25" s="224"/>
      <c r="G25" s="237"/>
      <c r="H25" s="238"/>
      <c r="I25" s="238"/>
      <c r="J25" s="224"/>
      <c r="K25" s="239"/>
    </row>
    <row r="26" spans="1:11" ht="16.5" customHeight="1">
      <c r="A26" s="240" t="s">
        <v>347</v>
      </c>
      <c r="B26" s="241"/>
      <c r="C26" s="223"/>
      <c r="D26" s="223"/>
      <c r="E26" s="223"/>
      <c r="F26" s="223"/>
      <c r="G26" s="231"/>
      <c r="H26" s="232"/>
      <c r="I26" s="242"/>
      <c r="J26" s="228"/>
      <c r="K26" s="229"/>
    </row>
    <row r="27" spans="1:11" ht="16.5" customHeight="1">
      <c r="A27" s="118" t="s">
        <v>348</v>
      </c>
      <c r="B27" s="129" t="s">
        <v>234</v>
      </c>
      <c r="C27" s="235" t="str">
        <f>Indikátory!C27</f>
        <v>-</v>
      </c>
      <c r="D27" s="235" t="str">
        <f>Indikátory!D27</f>
        <v>-</v>
      </c>
      <c r="E27" s="235" t="str">
        <f>Indikátory!E27</f>
        <v>-</v>
      </c>
      <c r="F27" s="235" t="str">
        <f>Indikátory!F27</f>
        <v>-</v>
      </c>
      <c r="G27" s="235" t="str">
        <f>Indikátory!G27</f>
        <v>-</v>
      </c>
      <c r="H27" s="235" t="str">
        <f>Indikátory!H27</f>
        <v>-</v>
      </c>
      <c r="I27" s="232">
        <f>Indikátory!I27</f>
        <v>-3.1</v>
      </c>
      <c r="J27" s="232">
        <f>Indikátory!J27</f>
        <v>9</v>
      </c>
      <c r="K27" s="233">
        <f>Indikátory!K27</f>
        <v>6.3</v>
      </c>
    </row>
    <row r="28" spans="1:11" ht="16.5" customHeight="1">
      <c r="A28" s="118" t="s">
        <v>349</v>
      </c>
      <c r="B28" s="129" t="s">
        <v>234</v>
      </c>
      <c r="C28" s="234" t="str">
        <f>Indikátory!C28</f>
        <v>-</v>
      </c>
      <c r="D28" s="234" t="str">
        <f>Indikátory!D28</f>
        <v>-</v>
      </c>
      <c r="E28" s="234" t="str">
        <f>Indikátory!E28</f>
        <v>-</v>
      </c>
      <c r="F28" s="223">
        <f>Indikátory!F28</f>
        <v>4.4</v>
      </c>
      <c r="G28" s="231">
        <f>Indikátory!G28</f>
        <v>9.2</v>
      </c>
      <c r="H28" s="232">
        <f>Indikátory!H28</f>
        <v>-3.5</v>
      </c>
      <c r="I28" s="232">
        <f>Indikátory!I28</f>
        <v>-25.8</v>
      </c>
      <c r="J28" s="232">
        <f>Indikátory!J28</f>
        <v>-0.4</v>
      </c>
      <c r="K28" s="243">
        <f>Indikátory!K28</f>
        <v>10.9</v>
      </c>
    </row>
    <row r="29" spans="1:11" ht="16.5" customHeight="1">
      <c r="A29" s="118" t="s">
        <v>350</v>
      </c>
      <c r="B29" s="129" t="s">
        <v>222</v>
      </c>
      <c r="C29" s="235" t="str">
        <f>Indikátory!C29</f>
        <v>-</v>
      </c>
      <c r="D29" s="235" t="str">
        <f>Indikátory!D29</f>
        <v>-</v>
      </c>
      <c r="E29" s="235" t="str">
        <f>Indikátory!E29</f>
        <v>-</v>
      </c>
      <c r="F29" s="223">
        <f>Indikátory!F29</f>
        <v>-7.5</v>
      </c>
      <c r="G29" s="231">
        <f>Indikátory!G29</f>
        <v>-5.9</v>
      </c>
      <c r="H29" s="232">
        <f>Indikátory!H29</f>
        <v>1.9</v>
      </c>
      <c r="I29" s="232">
        <f>Indikátory!I29</f>
        <v>-3.3</v>
      </c>
      <c r="J29" s="232">
        <f>Indikátory!J29</f>
        <v>-1.2</v>
      </c>
      <c r="K29" s="233">
        <f>Indikátory!K29</f>
        <v>-3.2</v>
      </c>
    </row>
    <row r="30" spans="1:11" ht="16.5" customHeight="1">
      <c r="A30" s="118"/>
      <c r="B30" s="129"/>
      <c r="C30" s="224"/>
      <c r="D30" s="224"/>
      <c r="E30" s="224"/>
      <c r="F30" s="224"/>
      <c r="G30" s="237"/>
      <c r="H30" s="238"/>
      <c r="I30" s="244"/>
      <c r="J30" s="244"/>
      <c r="K30" s="245"/>
    </row>
    <row r="31" spans="1:11" ht="16.5" customHeight="1">
      <c r="A31" s="240" t="s">
        <v>351</v>
      </c>
      <c r="B31" s="241"/>
      <c r="C31" s="223"/>
      <c r="D31" s="223"/>
      <c r="E31" s="223"/>
      <c r="F31" s="223"/>
      <c r="G31" s="231"/>
      <c r="H31" s="232"/>
      <c r="I31" s="242"/>
      <c r="J31" s="242"/>
      <c r="K31" s="229"/>
    </row>
    <row r="32" spans="1:11" ht="16.5" customHeight="1">
      <c r="A32" s="118" t="s">
        <v>352</v>
      </c>
      <c r="B32" s="129"/>
      <c r="C32" s="223"/>
      <c r="D32" s="223"/>
      <c r="E32" s="223"/>
      <c r="F32" s="223"/>
      <c r="G32" s="231"/>
      <c r="H32" s="232"/>
      <c r="I32" s="242"/>
      <c r="J32" s="242"/>
      <c r="K32" s="229"/>
    </row>
    <row r="33" spans="1:11" ht="16.5" customHeight="1">
      <c r="A33" s="118" t="s">
        <v>353</v>
      </c>
      <c r="B33" s="129" t="s">
        <v>222</v>
      </c>
      <c r="C33" s="223">
        <f>Indikátory!C33</f>
        <v>34.7</v>
      </c>
      <c r="D33" s="223">
        <f>Indikátory!D33</f>
        <v>15.7</v>
      </c>
      <c r="E33" s="223">
        <f>Indikátory!E33</f>
        <v>12.1</v>
      </c>
      <c r="F33" s="223">
        <f>Indikátory!F33</f>
        <v>13.1</v>
      </c>
      <c r="G33" s="231">
        <f>Indikátory!G33</f>
        <v>10.9</v>
      </c>
      <c r="H33" s="232">
        <f>Indikátory!H33</f>
        <v>15.4</v>
      </c>
      <c r="I33" s="232">
        <f>Indikátory!I33</f>
        <v>16.5</v>
      </c>
      <c r="J33" s="232">
        <f>Indikátory!J33</f>
        <v>8.8</v>
      </c>
      <c r="K33" s="233">
        <f>Indikátory!K33</f>
        <v>6.7</v>
      </c>
    </row>
    <row r="34" spans="1:11" ht="16.5" customHeight="1">
      <c r="A34" s="118" t="s">
        <v>354</v>
      </c>
      <c r="B34" s="129" t="s">
        <v>234</v>
      </c>
      <c r="C34" s="223">
        <f>Indikátory!C34</f>
        <v>9.1</v>
      </c>
      <c r="D34" s="223">
        <f>Indikátory!D34</f>
        <v>2.1</v>
      </c>
      <c r="E34" s="223">
        <f>Indikátory!E34</f>
        <v>2.2</v>
      </c>
      <c r="F34" s="223">
        <f>Indikátory!F34</f>
        <v>7</v>
      </c>
      <c r="G34" s="231">
        <f>Indikátory!G34</f>
        <v>4.8</v>
      </c>
      <c r="H34" s="232">
        <f>Indikátory!H34</f>
        <v>8.6</v>
      </c>
      <c r="I34" s="232">
        <f>Indikátory!I34</f>
        <v>9.8</v>
      </c>
      <c r="J34" s="232">
        <f>Indikátory!J34</f>
        <v>2.3</v>
      </c>
      <c r="K34" s="233">
        <f>Indikátory!K34</f>
        <v>3.7</v>
      </c>
    </row>
    <row r="35" spans="1:11" ht="16.5" customHeight="1">
      <c r="A35" s="118" t="s">
        <v>355</v>
      </c>
      <c r="B35" s="129" t="s">
        <v>222</v>
      </c>
      <c r="C35" s="223">
        <f>Indikátory!C35</f>
        <v>-3.6</v>
      </c>
      <c r="D35" s="223">
        <f>Indikátory!D35</f>
        <v>3.2</v>
      </c>
      <c r="E35" s="223">
        <f>Indikátory!E35</f>
        <v>4</v>
      </c>
      <c r="F35" s="223">
        <f>Indikátory!F35</f>
        <v>7.1</v>
      </c>
      <c r="G35" s="231">
        <f>Indikátory!G35</f>
        <v>6.6</v>
      </c>
      <c r="H35" s="232">
        <f>Indikátory!H35</f>
        <v>2.7</v>
      </c>
      <c r="I35" s="232">
        <f>Indikátory!I35</f>
        <v>-3.1</v>
      </c>
      <c r="J35" s="232">
        <f>Indikátory!J35</f>
        <v>-4.9</v>
      </c>
      <c r="K35" s="233">
        <f>Indikátory!K35</f>
        <v>0.6</v>
      </c>
    </row>
    <row r="36" spans="1:11" ht="16.5" customHeight="1">
      <c r="A36" s="118" t="s">
        <v>356</v>
      </c>
      <c r="B36" s="129"/>
      <c r="C36" s="223">
        <f>Indikátory!C36</f>
        <v>0</v>
      </c>
      <c r="D36" s="223">
        <f>Indikátory!D36</f>
        <v>0</v>
      </c>
      <c r="E36" s="223">
        <f>Indikátory!E36</f>
        <v>0</v>
      </c>
      <c r="F36" s="223">
        <f>Indikátory!F36</f>
        <v>0</v>
      </c>
      <c r="G36" s="231">
        <f>Indikátory!G36</f>
        <v>0</v>
      </c>
      <c r="H36" s="232">
        <f>Indikátory!H36</f>
        <v>0</v>
      </c>
      <c r="I36" s="232">
        <f>Indikátory!I36</f>
        <v>0</v>
      </c>
      <c r="J36" s="232">
        <f>Indikátory!J36</f>
        <v>0</v>
      </c>
      <c r="K36" s="233">
        <f>Indikátory!K36</f>
        <v>0</v>
      </c>
    </row>
    <row r="37" spans="1:11" ht="16.5" customHeight="1">
      <c r="A37" s="118" t="s">
        <v>357</v>
      </c>
      <c r="B37" s="129" t="s">
        <v>222</v>
      </c>
      <c r="C37" s="223">
        <f>Indikátory!C37</f>
        <v>18.4</v>
      </c>
      <c r="D37" s="223">
        <f>Indikátory!D37</f>
        <v>17</v>
      </c>
      <c r="E37" s="223">
        <f>Indikátory!E37</f>
        <v>14.3</v>
      </c>
      <c r="F37" s="223">
        <f>Indikátory!F37</f>
        <v>13.3</v>
      </c>
      <c r="G37" s="231">
        <f>Indikátory!G37</f>
        <v>13.1</v>
      </c>
      <c r="H37" s="232">
        <f>Indikátory!H37</f>
        <v>9.6</v>
      </c>
      <c r="I37" s="232">
        <f>Indikátory!I37</f>
        <v>7.2</v>
      </c>
      <c r="J37" s="232">
        <f>Indikátory!J37</f>
        <v>6.5</v>
      </c>
      <c r="K37" s="233">
        <f>Indikátory!K37</f>
        <v>7.8</v>
      </c>
    </row>
    <row r="38" spans="1:11" ht="16.5" customHeight="1">
      <c r="A38" s="118" t="s">
        <v>358</v>
      </c>
      <c r="B38" s="129" t="s">
        <v>222</v>
      </c>
      <c r="C38" s="223">
        <f>Indikátory!C38</f>
        <v>21</v>
      </c>
      <c r="D38" s="223">
        <f>Indikátory!D38</f>
        <v>17.5</v>
      </c>
      <c r="E38" s="223">
        <f>Indikátory!E38</f>
        <v>15.2</v>
      </c>
      <c r="F38" s="223">
        <f>Indikátory!F38</f>
        <v>14.6</v>
      </c>
      <c r="G38" s="231">
        <f>Indikátory!G38</f>
        <v>12</v>
      </c>
      <c r="H38" s="232">
        <f>Indikátory!H38</f>
        <v>9.9</v>
      </c>
      <c r="I38" s="232">
        <f>Indikátory!I38</f>
        <v>7.9</v>
      </c>
      <c r="J38" s="232">
        <f>Indikátory!J38</f>
        <v>9.3</v>
      </c>
      <c r="K38" s="233">
        <f>Indikátory!K38</f>
        <v>10.2</v>
      </c>
    </row>
    <row r="39" spans="1:11" ht="16.5" customHeight="1">
      <c r="A39" s="118" t="s">
        <v>359</v>
      </c>
      <c r="B39" s="129" t="s">
        <v>222</v>
      </c>
      <c r="C39" s="223">
        <f>Indikátory!C39</f>
        <v>20.4</v>
      </c>
      <c r="D39" s="223">
        <f>Indikátory!D39</f>
        <v>16.3</v>
      </c>
      <c r="E39" s="223">
        <f>Indikátory!E39</f>
        <v>14.9</v>
      </c>
      <c r="F39" s="223">
        <f>Indikátory!F39</f>
        <v>16.4</v>
      </c>
      <c r="G39" s="231">
        <f>Indikátory!G39</f>
        <v>14.5</v>
      </c>
      <c r="H39" s="232">
        <f>Indikátory!H39</f>
        <v>5.2</v>
      </c>
      <c r="I39" s="232">
        <f>Indikátory!I39</f>
        <v>-0.8</v>
      </c>
      <c r="J39" s="232">
        <f>Indikátory!J39</f>
        <v>6.5</v>
      </c>
      <c r="K39" s="233">
        <f>Indikátory!K39</f>
        <v>6.9</v>
      </c>
    </row>
    <row r="40" spans="1:11" ht="16.5" customHeight="1" thickBot="1">
      <c r="A40" s="163" t="s">
        <v>360</v>
      </c>
      <c r="B40" s="164" t="s">
        <v>222</v>
      </c>
      <c r="C40" s="246">
        <f>Indikátory!C40</f>
        <v>18.9</v>
      </c>
      <c r="D40" s="246">
        <f>Indikátory!D40</f>
        <v>20.4</v>
      </c>
      <c r="E40" s="246">
        <f>Indikátory!E40</f>
        <v>17.9</v>
      </c>
      <c r="F40" s="246">
        <f>Indikátory!F40</f>
        <v>14.7</v>
      </c>
      <c r="G40" s="247">
        <f>Indikátory!G40</f>
        <v>12.6</v>
      </c>
      <c r="H40" s="248">
        <f>Indikátory!H40</f>
        <v>7.2</v>
      </c>
      <c r="I40" s="248">
        <f>Indikátory!I40</f>
        <v>8.7</v>
      </c>
      <c r="J40" s="248">
        <f>Indikátory!J40</f>
        <v>9.5</v>
      </c>
      <c r="K40" s="249">
        <f>Indikátory!K40</f>
        <v>4.6</v>
      </c>
    </row>
    <row r="41" spans="1:11" ht="16.5" customHeight="1">
      <c r="A41" s="291" t="s">
        <v>334</v>
      </c>
      <c r="B41" s="324" t="s">
        <v>335</v>
      </c>
      <c r="C41" s="293">
        <v>1993</v>
      </c>
      <c r="D41" s="293">
        <v>1994</v>
      </c>
      <c r="E41" s="293">
        <v>1995</v>
      </c>
      <c r="F41" s="293">
        <v>1996</v>
      </c>
      <c r="G41" s="293">
        <v>1997</v>
      </c>
      <c r="H41" s="326">
        <v>1998</v>
      </c>
      <c r="I41" s="320">
        <v>1999</v>
      </c>
      <c r="J41" s="321">
        <v>2000</v>
      </c>
      <c r="K41" s="220">
        <v>2001</v>
      </c>
    </row>
    <row r="42" spans="1:11" ht="18.75" customHeight="1" thickBot="1">
      <c r="A42" s="292"/>
      <c r="B42" s="325"/>
      <c r="C42" s="294"/>
      <c r="D42" s="294"/>
      <c r="E42" s="294"/>
      <c r="F42" s="295"/>
      <c r="G42" s="295"/>
      <c r="H42" s="294"/>
      <c r="I42" s="294"/>
      <c r="J42" s="294"/>
      <c r="K42" s="221" t="s">
        <v>215</v>
      </c>
    </row>
    <row r="43" spans="1:11" ht="16.5" customHeight="1">
      <c r="A43" s="171"/>
      <c r="B43" s="172"/>
      <c r="C43" s="173"/>
      <c r="D43" s="173"/>
      <c r="E43" s="173"/>
      <c r="F43" s="173"/>
      <c r="G43" s="173"/>
      <c r="H43" s="228"/>
      <c r="I43" s="228"/>
      <c r="J43" s="228"/>
      <c r="K43" s="229"/>
    </row>
    <row r="44" spans="1:11" ht="16.5" customHeight="1">
      <c r="A44" s="133" t="s">
        <v>361</v>
      </c>
      <c r="B44" s="129"/>
      <c r="C44" s="174"/>
      <c r="D44" s="174"/>
      <c r="E44" s="174"/>
      <c r="F44" s="174"/>
      <c r="G44" s="174"/>
      <c r="H44" s="228"/>
      <c r="I44" s="228"/>
      <c r="J44" s="228"/>
      <c r="K44" s="229"/>
    </row>
    <row r="45" spans="1:11" ht="16.5" customHeight="1">
      <c r="A45" s="118" t="s">
        <v>362</v>
      </c>
      <c r="B45" s="129" t="s">
        <v>222</v>
      </c>
      <c r="C45" s="136">
        <f>Indikátory!C45</f>
        <v>23.1</v>
      </c>
      <c r="D45" s="136">
        <f>Indikátory!D45</f>
        <v>13.5</v>
      </c>
      <c r="E45" s="136">
        <f>Indikátory!E45</f>
        <v>9.9</v>
      </c>
      <c r="F45" s="136">
        <f>Indikátory!F45</f>
        <v>5.8</v>
      </c>
      <c r="G45" s="250">
        <f>Indikátory!G45</f>
        <v>6.1</v>
      </c>
      <c r="H45" s="251">
        <f>Indikátory!H45</f>
        <v>6.7</v>
      </c>
      <c r="I45" s="251">
        <f>Indikátory!I45</f>
        <v>10.6</v>
      </c>
      <c r="J45" s="251">
        <f>Indikátory!J45</f>
        <v>12</v>
      </c>
      <c r="K45" s="233">
        <f>Indikátory!K45</f>
        <v>7.2</v>
      </c>
    </row>
    <row r="46" spans="1:11" ht="16.5" customHeight="1">
      <c r="A46" s="118" t="s">
        <v>363</v>
      </c>
      <c r="B46" s="129" t="s">
        <v>222</v>
      </c>
      <c r="C46" s="136">
        <f>Indikátory!C46</f>
        <v>17.2</v>
      </c>
      <c r="D46" s="136">
        <f>Indikátory!D46</f>
        <v>10</v>
      </c>
      <c r="E46" s="136">
        <f>Indikátory!E46</f>
        <v>9</v>
      </c>
      <c r="F46" s="136">
        <f>Indikátory!F46</f>
        <v>4.1</v>
      </c>
      <c r="G46" s="250">
        <f>Indikátory!G46</f>
        <v>4.5</v>
      </c>
      <c r="H46" s="251">
        <f>Indikátory!H46</f>
        <v>3.3</v>
      </c>
      <c r="I46" s="251">
        <f>Indikátory!I46</f>
        <v>3.8</v>
      </c>
      <c r="J46" s="251">
        <f>Indikátory!J46</f>
        <v>9.8</v>
      </c>
      <c r="K46" s="233">
        <f>Indikátory!K46</f>
        <v>8.7</v>
      </c>
    </row>
    <row r="47" spans="1:11" ht="16.5" customHeight="1">
      <c r="A47" s="118" t="s">
        <v>364</v>
      </c>
      <c r="B47" s="129" t="s">
        <v>222</v>
      </c>
      <c r="C47" s="136">
        <f>Indikátory!C47</f>
        <v>24.1</v>
      </c>
      <c r="D47" s="136">
        <f>Indikátory!D47</f>
        <v>11</v>
      </c>
      <c r="E47" s="136">
        <f>Indikátory!E47</f>
        <v>12</v>
      </c>
      <c r="F47" s="136">
        <f>Indikátory!F47</f>
        <v>15</v>
      </c>
      <c r="G47" s="250">
        <f>Indikátory!G47</f>
        <v>9.7</v>
      </c>
      <c r="H47" s="251">
        <f>Indikátory!H47</f>
        <v>8.9</v>
      </c>
      <c r="I47" s="251">
        <f>Indikátory!I47</f>
        <v>11</v>
      </c>
      <c r="J47" s="251">
        <f>Indikátory!J47</f>
        <v>9</v>
      </c>
      <c r="K47" s="233">
        <f>Indikátory!K47</f>
        <v>7</v>
      </c>
    </row>
    <row r="48" spans="1:11" ht="16.5" customHeight="1">
      <c r="A48" s="118" t="s">
        <v>365</v>
      </c>
      <c r="B48" s="129" t="s">
        <v>222</v>
      </c>
      <c r="C48" s="136">
        <f>Indikátory!C48</f>
        <v>13.6</v>
      </c>
      <c r="D48" s="136">
        <f>Indikátory!D48</f>
        <v>9.2</v>
      </c>
      <c r="E48" s="136">
        <f>Indikátory!E48</f>
        <v>12.2</v>
      </c>
      <c r="F48" s="136">
        <f>Indikátory!F48</f>
        <v>7.4</v>
      </c>
      <c r="G48" s="250">
        <f>Indikátory!G48</f>
        <v>7.6</v>
      </c>
      <c r="H48" s="251">
        <f>Indikátory!H48</f>
        <v>7.3</v>
      </c>
      <c r="I48" s="251">
        <f>Indikátory!I48</f>
        <v>1.8</v>
      </c>
      <c r="J48" s="251">
        <f>Indikátory!J48</f>
        <v>6</v>
      </c>
      <c r="K48" s="233">
        <f>Indikátory!K48</f>
        <v>7.6</v>
      </c>
    </row>
    <row r="49" spans="1:11" ht="16.5" customHeight="1">
      <c r="A49" s="118" t="s">
        <v>366</v>
      </c>
      <c r="B49" s="129" t="s">
        <v>222</v>
      </c>
      <c r="C49" s="136">
        <f>Indikátory!C50</f>
        <v>14.6</v>
      </c>
      <c r="D49" s="136">
        <f>Indikátory!D50</f>
        <v>10.8</v>
      </c>
      <c r="E49" s="136">
        <f>Indikátory!E50</f>
        <v>3.3</v>
      </c>
      <c r="F49" s="136">
        <f>Indikátory!F50</f>
        <v>5.4</v>
      </c>
      <c r="G49" s="250">
        <f>Indikátory!G50</f>
        <v>5.6</v>
      </c>
      <c r="H49" s="251">
        <f>Indikátory!H50</f>
        <v>-0.3</v>
      </c>
      <c r="I49" s="251">
        <f>Indikátory!I50</f>
        <v>-1.8</v>
      </c>
      <c r="J49" s="251">
        <f>Indikátory!J50</f>
        <v>7.2</v>
      </c>
      <c r="K49" s="233">
        <f>Indikátory!K50</f>
        <v>9.5</v>
      </c>
    </row>
    <row r="50" spans="1:11" ht="16.5" customHeight="1">
      <c r="A50" s="118" t="s">
        <v>367</v>
      </c>
      <c r="B50" s="129" t="s">
        <v>222</v>
      </c>
      <c r="C50" s="252" t="str">
        <f>Indikátory!C51</f>
        <v>-</v>
      </c>
      <c r="D50" s="234" t="str">
        <f>Indikátory!D51</f>
        <v>-</v>
      </c>
      <c r="E50" s="252" t="str">
        <f>Indikátory!E51</f>
        <v>-</v>
      </c>
      <c r="F50" s="234" t="str">
        <f>Indikátory!F51</f>
        <v>-</v>
      </c>
      <c r="G50" s="253" t="str">
        <f>Indikátory!G51</f>
        <v>-</v>
      </c>
      <c r="H50" s="232">
        <f>Indikátory!H51</f>
        <v>6.1</v>
      </c>
      <c r="I50" s="232">
        <f>Indikátory!I51</f>
        <v>6</v>
      </c>
      <c r="J50" s="232">
        <f>Indikátory!J51</f>
        <v>5.7</v>
      </c>
      <c r="K50" s="243">
        <f>Indikátory!K51</f>
        <v>3.9</v>
      </c>
    </row>
    <row r="51" spans="1:11" ht="16.5" customHeight="1">
      <c r="A51" s="118"/>
      <c r="B51" s="129"/>
      <c r="D51" s="254"/>
      <c r="F51" s="254"/>
      <c r="H51" s="254"/>
      <c r="I51" s="254"/>
      <c r="J51" s="255"/>
      <c r="K51" s="245"/>
    </row>
    <row r="52" spans="1:11" ht="18.75">
      <c r="A52" s="240" t="s">
        <v>368</v>
      </c>
      <c r="B52" s="241"/>
      <c r="C52" s="256"/>
      <c r="D52" s="256"/>
      <c r="E52" s="256"/>
      <c r="F52" s="256"/>
      <c r="G52" s="257"/>
      <c r="H52" s="228"/>
      <c r="I52" s="228"/>
      <c r="J52" s="251"/>
      <c r="K52" s="229"/>
    </row>
    <row r="53" spans="1:11" ht="15">
      <c r="A53" s="118" t="s">
        <v>369</v>
      </c>
      <c r="B53" s="129"/>
      <c r="C53" s="136"/>
      <c r="D53" s="136"/>
      <c r="E53" s="136"/>
      <c r="F53" s="136"/>
      <c r="G53" s="250"/>
      <c r="H53" s="228"/>
      <c r="I53" s="228"/>
      <c r="J53" s="251"/>
      <c r="K53" s="229"/>
    </row>
    <row r="54" spans="1:11" ht="16.5" customHeight="1">
      <c r="A54" s="118" t="s">
        <v>370</v>
      </c>
      <c r="B54" s="129" t="s">
        <v>371</v>
      </c>
      <c r="C54" s="234" t="str">
        <f>Indikátory!C55</f>
        <v>-</v>
      </c>
      <c r="D54" s="136">
        <f>Indikátory!D55</f>
        <v>333.5</v>
      </c>
      <c r="E54" s="136">
        <f>Indikátory!E55</f>
        <v>323.7</v>
      </c>
      <c r="F54" s="136">
        <f>Indikátory!F55</f>
        <v>284.2</v>
      </c>
      <c r="G54" s="250">
        <f>Indikátory!G55</f>
        <v>297.5</v>
      </c>
      <c r="H54" s="251">
        <f>Indikátory!H55</f>
        <v>317.1</v>
      </c>
      <c r="I54" s="232">
        <f>Indikátory!I55</f>
        <v>416.8</v>
      </c>
      <c r="J54" s="232">
        <f>Indikátory!J55</f>
        <v>485.2</v>
      </c>
      <c r="K54" s="233">
        <f>Indikátory!K55</f>
        <v>512.2</v>
      </c>
    </row>
    <row r="55" spans="1:11" ht="16.5" customHeight="1">
      <c r="A55" s="118" t="s">
        <v>372</v>
      </c>
      <c r="B55" s="129" t="s">
        <v>44</v>
      </c>
      <c r="C55" s="234" t="str">
        <f>Indikátory!C56</f>
        <v>-</v>
      </c>
      <c r="D55" s="136">
        <f>Indikátory!D56</f>
        <v>13.7</v>
      </c>
      <c r="E55" s="136">
        <f>Indikátory!E56</f>
        <v>13.1</v>
      </c>
      <c r="F55" s="136">
        <f>Indikátory!F56</f>
        <v>11.3</v>
      </c>
      <c r="G55" s="250">
        <f>Indikátory!G56</f>
        <v>11.8</v>
      </c>
      <c r="H55" s="251">
        <f>Indikátory!H56</f>
        <v>12.5</v>
      </c>
      <c r="I55" s="251">
        <f>Indikátory!I56</f>
        <v>16.2</v>
      </c>
      <c r="J55" s="232">
        <f>Indikátory!J56</f>
        <v>18.6</v>
      </c>
      <c r="K55" s="233">
        <f>Indikátory!K56</f>
        <v>19.3</v>
      </c>
    </row>
    <row r="56" spans="1:11" ht="16.5" customHeight="1">
      <c r="A56" s="118" t="s">
        <v>373</v>
      </c>
      <c r="B56" s="306" t="s">
        <v>44</v>
      </c>
      <c r="C56" s="327" t="str">
        <f>Indikátory!C57</f>
        <v>-</v>
      </c>
      <c r="D56" s="327" t="str">
        <f>Indikátory!D57</f>
        <v>-</v>
      </c>
      <c r="E56" s="327" t="str">
        <f>Indikátory!E57</f>
        <v>-</v>
      </c>
      <c r="F56" s="327" t="str">
        <f>Indikátory!F57</f>
        <v>-</v>
      </c>
      <c r="G56" s="328" t="str">
        <f>Indikátory!G57</f>
        <v>-</v>
      </c>
      <c r="H56" s="329">
        <f>Indikátory!H57</f>
        <v>13.7</v>
      </c>
      <c r="I56" s="329">
        <f>Indikátory!I57</f>
        <v>17.3</v>
      </c>
      <c r="J56" s="322">
        <f>Indikátory!J57</f>
        <v>18.3</v>
      </c>
      <c r="K56" s="323">
        <f>Indikátory!K57</f>
        <v>19.4</v>
      </c>
    </row>
    <row r="57" spans="1:11" ht="16.5" customHeight="1">
      <c r="A57" s="118" t="s">
        <v>374</v>
      </c>
      <c r="B57" s="306"/>
      <c r="C57" s="327"/>
      <c r="D57" s="327"/>
      <c r="E57" s="327"/>
      <c r="F57" s="327"/>
      <c r="G57" s="328"/>
      <c r="H57" s="329"/>
      <c r="I57" s="329"/>
      <c r="J57" s="322"/>
      <c r="K57" s="323"/>
    </row>
    <row r="58" spans="1:11" ht="16.5" customHeight="1">
      <c r="A58" s="118"/>
      <c r="B58" s="129"/>
      <c r="D58" s="254"/>
      <c r="F58" s="254"/>
      <c r="H58" s="254"/>
      <c r="I58" s="254"/>
      <c r="J58" s="255"/>
      <c r="K58" s="245"/>
    </row>
    <row r="59" spans="1:11" ht="18.75" customHeight="1">
      <c r="A59" s="240" t="s">
        <v>375</v>
      </c>
      <c r="B59" s="241"/>
      <c r="C59" s="256"/>
      <c r="D59" s="256"/>
      <c r="E59" s="256"/>
      <c r="F59" s="256"/>
      <c r="G59" s="257"/>
      <c r="H59" s="251"/>
      <c r="I59" s="228"/>
      <c r="J59" s="251"/>
      <c r="K59" s="229"/>
    </row>
    <row r="60" spans="1:11" ht="16.5" customHeight="1">
      <c r="A60" s="118" t="s">
        <v>376</v>
      </c>
      <c r="B60" s="129"/>
      <c r="C60" s="136"/>
      <c r="D60" s="136"/>
      <c r="E60" s="136"/>
      <c r="F60" s="136"/>
      <c r="G60" s="250"/>
      <c r="H60" s="251"/>
      <c r="I60" s="228"/>
      <c r="J60" s="251"/>
      <c r="K60" s="229"/>
    </row>
    <row r="61" spans="1:11" ht="16.5" customHeight="1">
      <c r="A61" s="118" t="s">
        <v>377</v>
      </c>
      <c r="B61" s="129" t="s">
        <v>217</v>
      </c>
      <c r="C61" s="136">
        <f>Indikátory!C62</f>
        <v>167.7</v>
      </c>
      <c r="D61" s="136">
        <f>Indikátory!D62</f>
        <v>214.4</v>
      </c>
      <c r="E61" s="136">
        <f>Indikátory!E62</f>
        <v>255.1</v>
      </c>
      <c r="F61" s="136">
        <f>Indikátory!F62</f>
        <v>270.6</v>
      </c>
      <c r="G61" s="225">
        <f>Indikátory!G62</f>
        <v>324</v>
      </c>
      <c r="H61" s="251">
        <f>Indikátory!H62</f>
        <v>377.8</v>
      </c>
      <c r="I61" s="251">
        <f>Indikátory!I62</f>
        <v>423.6</v>
      </c>
      <c r="J61" s="251">
        <f>Indikátory!J62</f>
        <v>548.372</v>
      </c>
      <c r="K61" s="233">
        <f>Indikátory!K62</f>
        <v>148.3</v>
      </c>
    </row>
    <row r="62" spans="1:11" ht="16.5" customHeight="1">
      <c r="A62" s="118" t="s">
        <v>378</v>
      </c>
      <c r="B62" s="129" t="s">
        <v>217</v>
      </c>
      <c r="C62" s="136">
        <f>Indikátory!C63</f>
        <v>71.1</v>
      </c>
      <c r="D62" s="136">
        <f>Indikátory!D63</f>
        <v>80.2</v>
      </c>
      <c r="E62" s="136">
        <f>Indikátory!E63</f>
        <v>89.9</v>
      </c>
      <c r="F62" s="136">
        <f>Indikátory!F63</f>
        <v>83.9</v>
      </c>
      <c r="G62" s="225">
        <f>Indikátory!G63</f>
        <v>82.6</v>
      </c>
      <c r="H62" s="251">
        <f>Indikátory!H63</f>
        <v>76.8</v>
      </c>
      <c r="I62" s="251">
        <f>Indikátory!I63</f>
        <v>76.5</v>
      </c>
      <c r="J62" s="251">
        <f>Indikátory!J63</f>
        <v>95.357</v>
      </c>
      <c r="K62" s="233">
        <f>Indikátory!K63</f>
        <v>24.8</v>
      </c>
    </row>
    <row r="63" spans="1:11" ht="16.5" customHeight="1">
      <c r="A63" s="118" t="s">
        <v>379</v>
      </c>
      <c r="B63" s="129" t="s">
        <v>217</v>
      </c>
      <c r="C63" s="136">
        <f>Indikátory!C64</f>
        <v>195</v>
      </c>
      <c r="D63" s="136">
        <f>Indikátory!D64</f>
        <v>211.8</v>
      </c>
      <c r="E63" s="136">
        <f>Indikátory!E64</f>
        <v>260.8</v>
      </c>
      <c r="F63" s="136">
        <f>Indikátory!F64</f>
        <v>340.9</v>
      </c>
      <c r="G63" s="225">
        <f>Indikátory!G64</f>
        <v>394</v>
      </c>
      <c r="H63" s="251">
        <f>Indikátory!H64</f>
        <v>460.7</v>
      </c>
      <c r="I63" s="251">
        <f>Indikátory!I64</f>
        <v>468.9</v>
      </c>
      <c r="J63" s="251">
        <f>Indikátory!J64</f>
        <v>590.728</v>
      </c>
      <c r="K63" s="233">
        <f>Indikátory!K64</f>
        <v>167.5</v>
      </c>
    </row>
    <row r="64" spans="1:11" ht="16.5" customHeight="1">
      <c r="A64" s="118" t="s">
        <v>378</v>
      </c>
      <c r="B64" s="129" t="s">
        <v>217</v>
      </c>
      <c r="C64" s="136">
        <f>Indikátory!C65</f>
        <v>70</v>
      </c>
      <c r="D64" s="136">
        <f>Indikátory!D65</f>
        <v>62.7</v>
      </c>
      <c r="E64" s="136">
        <f>Indikátory!E65</f>
        <v>72.4</v>
      </c>
      <c r="F64" s="136">
        <f>Indikátory!F65</f>
        <v>83</v>
      </c>
      <c r="G64" s="258">
        <f>Indikátory!G65</f>
        <v>84.1</v>
      </c>
      <c r="H64" s="251">
        <f>Indikátory!H65</f>
        <v>84.7</v>
      </c>
      <c r="I64" s="251">
        <f>Indikátory!I65</f>
        <v>78.2</v>
      </c>
      <c r="J64" s="251">
        <f>Indikátory!J65</f>
        <v>86.833</v>
      </c>
      <c r="K64" s="233">
        <f>Indikátory!K65</f>
        <v>24.7</v>
      </c>
    </row>
    <row r="65" spans="1:11" ht="16.5" customHeight="1">
      <c r="A65" s="118" t="s">
        <v>380</v>
      </c>
      <c r="B65" s="129" t="s">
        <v>217</v>
      </c>
      <c r="C65" s="136">
        <f>Indikátory!C66</f>
        <v>-27.30000000000001</v>
      </c>
      <c r="D65" s="136">
        <f>Indikátory!D66</f>
        <v>2.6</v>
      </c>
      <c r="E65" s="136">
        <f>Indikátory!E66</f>
        <v>-5.7</v>
      </c>
      <c r="F65" s="136">
        <f>Indikátory!F66</f>
        <v>-70.3</v>
      </c>
      <c r="G65" s="258">
        <f>Indikátory!G66</f>
        <v>-70</v>
      </c>
      <c r="H65" s="251">
        <f>Indikátory!H66</f>
        <v>-82.9</v>
      </c>
      <c r="I65" s="251">
        <f>Indikátory!I66</f>
        <v>-45.2</v>
      </c>
      <c r="J65" s="251">
        <f>Indikátory!J66</f>
        <v>-42.355999999999995</v>
      </c>
      <c r="K65" s="233">
        <f>Indikátory!K66</f>
        <v>-19.2</v>
      </c>
    </row>
    <row r="66" spans="1:11" ht="16.5" customHeight="1">
      <c r="A66" s="118" t="s">
        <v>381</v>
      </c>
      <c r="B66" s="129" t="s">
        <v>217</v>
      </c>
      <c r="C66" s="136">
        <f>Indikátory!C67</f>
        <v>1.0999999999999943</v>
      </c>
      <c r="D66" s="136">
        <f>Indikátory!D67</f>
        <v>17.4</v>
      </c>
      <c r="E66" s="136">
        <f>Indikátory!E67</f>
        <v>17.6</v>
      </c>
      <c r="F66" s="136">
        <f>Indikátory!F67</f>
        <v>0.9</v>
      </c>
      <c r="G66" s="250">
        <f>Indikátory!G67</f>
        <v>-1.5</v>
      </c>
      <c r="H66" s="251">
        <f>Indikátory!H67</f>
        <v>-7.9</v>
      </c>
      <c r="I66" s="251">
        <f>Indikátory!I67</f>
        <v>-1.7000000000000028</v>
      </c>
      <c r="J66" s="251">
        <f>Indikátory!J67</f>
        <v>8.524000000000001</v>
      </c>
      <c r="K66" s="233">
        <f>Indikátory!K67</f>
        <v>0.051</v>
      </c>
    </row>
    <row r="67" spans="1:11" ht="16.5" customHeight="1">
      <c r="A67" s="118"/>
      <c r="B67" s="129"/>
      <c r="D67" s="254"/>
      <c r="F67" s="254"/>
      <c r="H67" s="254"/>
      <c r="I67" s="254"/>
      <c r="J67" s="255"/>
      <c r="K67" s="245"/>
    </row>
    <row r="68" spans="1:11" ht="16.5" customHeight="1">
      <c r="A68" s="240" t="s">
        <v>382</v>
      </c>
      <c r="B68" s="241"/>
      <c r="C68" s="256"/>
      <c r="D68" s="256"/>
      <c r="E68" s="256"/>
      <c r="F68" s="256"/>
      <c r="G68" s="257"/>
      <c r="H68" s="228"/>
      <c r="I68" s="228"/>
      <c r="J68" s="251"/>
      <c r="K68" s="229"/>
    </row>
    <row r="69" spans="1:11" ht="18.75" customHeight="1">
      <c r="A69" s="118" t="s">
        <v>383</v>
      </c>
      <c r="B69" s="129"/>
      <c r="C69" s="136"/>
      <c r="D69" s="136"/>
      <c r="E69" s="136"/>
      <c r="F69" s="136"/>
      <c r="G69" s="250"/>
      <c r="H69" s="228"/>
      <c r="I69" s="228"/>
      <c r="J69" s="251"/>
      <c r="K69" s="229"/>
    </row>
    <row r="70" spans="1:11" ht="16.5" customHeight="1">
      <c r="A70" s="118" t="s">
        <v>384</v>
      </c>
      <c r="B70" s="129" t="s">
        <v>385</v>
      </c>
      <c r="C70" s="136">
        <f>Indikátory!C71</f>
        <v>-531.7</v>
      </c>
      <c r="D70" s="136">
        <f>Indikátory!D71</f>
        <v>758.6</v>
      </c>
      <c r="E70" s="136">
        <f>Indikátory!E71</f>
        <v>510.6</v>
      </c>
      <c r="F70" s="136">
        <f>Indikátory!F71</f>
        <v>-1959.5</v>
      </c>
      <c r="G70" s="258" t="s">
        <v>445</v>
      </c>
      <c r="H70" s="259">
        <f>Indikátory!H71</f>
        <v>-1982</v>
      </c>
      <c r="I70" s="259">
        <f>Indikátory!I71</f>
        <v>-979.6</v>
      </c>
      <c r="J70" s="259">
        <f>Indikátory!J71</f>
        <v>-714.2</v>
      </c>
      <c r="K70" s="260">
        <f>Indikátory!K71</f>
        <v>-315.1</v>
      </c>
    </row>
    <row r="71" spans="1:11" ht="16.5" customHeight="1">
      <c r="A71" s="118" t="s">
        <v>384</v>
      </c>
      <c r="B71" s="129" t="s">
        <v>386</v>
      </c>
      <c r="C71" s="223">
        <f>Indikátory!C72</f>
        <v>-4.191193036354327</v>
      </c>
      <c r="D71" s="136">
        <f>Indikátory!D72</f>
        <v>5.213213213213213</v>
      </c>
      <c r="E71" s="136">
        <f>Indikátory!E72</f>
        <v>2.7805860805860805</v>
      </c>
      <c r="F71" s="136">
        <f>Indikátory!F72</f>
        <v>-9.908265962712424</v>
      </c>
      <c r="G71" s="225">
        <f>Indikátory!G72</f>
        <v>-8.951756303745809</v>
      </c>
      <c r="H71" s="259">
        <f>Indikátory!H72</f>
        <v>-9.303276505061268</v>
      </c>
      <c r="I71" s="251">
        <f>Indikátory!I72</f>
        <v>-4.976573040598552</v>
      </c>
      <c r="J71" s="259">
        <f>Indikátory!J72</f>
        <v>-3.7191275924256084</v>
      </c>
      <c r="K71" s="260">
        <f>Indikátory!K72</f>
        <v>-6.718845807033364</v>
      </c>
    </row>
    <row r="72" spans="1:11" ht="16.5" customHeight="1">
      <c r="A72" s="118" t="s">
        <v>387</v>
      </c>
      <c r="B72" s="129" t="s">
        <v>386</v>
      </c>
      <c r="C72" s="223">
        <f>Indikátory!C73</f>
        <v>-7.346646185355862</v>
      </c>
      <c r="D72" s="136">
        <f>Indikátory!D73</f>
        <v>0.4021879021879022</v>
      </c>
      <c r="E72" s="136">
        <f>Indikátory!E73</f>
        <v>-1.2391941391941392</v>
      </c>
      <c r="F72" s="136">
        <f>Indikátory!F73</f>
        <v>-11.59214651047682</v>
      </c>
      <c r="G72" s="258" t="s">
        <v>273</v>
      </c>
      <c r="H72" s="259">
        <f>Indikátory!H73</f>
        <v>-11.045418220564732</v>
      </c>
      <c r="I72" s="251">
        <f>Indikátory!I73</f>
        <v>-5.549368330675826</v>
      </c>
      <c r="J72" s="259">
        <f>Indikátory!J73</f>
        <v>-4.774120829576195</v>
      </c>
      <c r="K72" s="260">
        <f>Indikátory!K73</f>
        <v>-8.665915238954012</v>
      </c>
    </row>
    <row r="73" spans="1:11" ht="16.5" customHeight="1">
      <c r="A73" s="118" t="s">
        <v>388</v>
      </c>
      <c r="B73" s="129" t="s">
        <v>385</v>
      </c>
      <c r="C73" s="223">
        <f>Indikátory!C74</f>
        <v>580</v>
      </c>
      <c r="D73" s="136">
        <f>Indikátory!D74</f>
        <v>215</v>
      </c>
      <c r="E73" s="136">
        <f>Indikátory!E74</f>
        <v>1165.8</v>
      </c>
      <c r="F73" s="136">
        <f>Indikátory!F74</f>
        <v>2215.8</v>
      </c>
      <c r="G73" s="225">
        <f>Indikátory!G74</f>
        <v>1862.03</v>
      </c>
      <c r="H73" s="232">
        <f>Indikátory!H74</f>
        <v>2053</v>
      </c>
      <c r="I73" s="232">
        <f>Indikátory!I74</f>
        <v>1924.1</v>
      </c>
      <c r="J73" s="259">
        <f>Indikátory!J74</f>
        <v>1487.1</v>
      </c>
      <c r="K73" s="260">
        <f>Indikátory!K74</f>
        <v>309.7</v>
      </c>
    </row>
    <row r="74" spans="1:11" ht="16.5" customHeight="1">
      <c r="A74" s="118" t="s">
        <v>389</v>
      </c>
      <c r="B74" s="129"/>
      <c r="C74" s="223"/>
      <c r="D74" s="136"/>
      <c r="E74" s="136"/>
      <c r="F74" s="136"/>
      <c r="G74" s="225"/>
      <c r="H74" s="232"/>
      <c r="I74" s="228"/>
      <c r="J74" s="232"/>
      <c r="K74" s="229"/>
    </row>
    <row r="75" spans="1:11" ht="16.5" customHeight="1">
      <c r="A75" s="118" t="s">
        <v>357</v>
      </c>
      <c r="B75" s="129" t="s">
        <v>385</v>
      </c>
      <c r="C75" s="223">
        <f>Indikátory!C76</f>
        <v>1402.3</v>
      </c>
      <c r="D75" s="136">
        <f>Indikátory!D76</f>
        <v>3093</v>
      </c>
      <c r="E75" s="136">
        <f>Indikátory!E76</f>
        <v>5036.7</v>
      </c>
      <c r="F75" s="136">
        <f>Indikátory!F76</f>
        <v>5682.5</v>
      </c>
      <c r="G75" s="225">
        <f>Indikátory!G76</f>
        <v>6488.5</v>
      </c>
      <c r="H75" s="232">
        <f>Indikátory!H76</f>
        <v>5957.8</v>
      </c>
      <c r="I75" s="251">
        <f>Indikátory!I76</f>
        <v>4387.4</v>
      </c>
      <c r="J75" s="251">
        <f>Indikátory!J76</f>
        <v>5581.7</v>
      </c>
      <c r="K75" s="233">
        <f>Indikátory!K76</f>
        <v>5277.2</v>
      </c>
    </row>
    <row r="76" spans="1:11" ht="16.5" customHeight="1">
      <c r="A76" s="118" t="s">
        <v>390</v>
      </c>
      <c r="B76" s="129" t="s">
        <v>385</v>
      </c>
      <c r="C76" s="223">
        <f>Indikátory!C77</f>
        <v>449.6</v>
      </c>
      <c r="D76" s="136">
        <f>Indikátory!D77</f>
        <v>1745</v>
      </c>
      <c r="E76" s="136">
        <f>Indikátory!E77</f>
        <v>3418.4</v>
      </c>
      <c r="F76" s="136">
        <f>Indikátory!F77</f>
        <v>3473.3</v>
      </c>
      <c r="G76" s="225">
        <f>Indikátory!G77</f>
        <v>3284.9</v>
      </c>
      <c r="H76" s="259">
        <f>Indikátory!H77</f>
        <v>2923.3</v>
      </c>
      <c r="I76" s="251">
        <f>Indikátory!I77</f>
        <v>3425.2</v>
      </c>
      <c r="J76" s="251">
        <f>Indikátory!J77</f>
        <v>4076.8</v>
      </c>
      <c r="K76" s="233">
        <f>Indikátory!K77</f>
        <v>3863</v>
      </c>
    </row>
    <row r="77" spans="1:11" ht="16.5" customHeight="1">
      <c r="A77" s="118" t="s">
        <v>391</v>
      </c>
      <c r="B77" s="129" t="s">
        <v>278</v>
      </c>
      <c r="C77" s="223">
        <f>Indikátory!C78</f>
        <v>3.7</v>
      </c>
      <c r="D77" s="136">
        <f>Indikátory!D78</f>
        <v>4.7</v>
      </c>
      <c r="E77" s="136">
        <f>Indikátory!E78</f>
        <v>5.7</v>
      </c>
      <c r="F77" s="136">
        <f>Indikátory!F78</f>
        <v>7.7</v>
      </c>
      <c r="G77" s="258" t="s">
        <v>279</v>
      </c>
      <c r="H77" s="232">
        <f>Indikátory!H78</f>
        <v>11.902</v>
      </c>
      <c r="I77" s="232">
        <f>Indikátory!I78</f>
        <v>10.518</v>
      </c>
      <c r="J77" s="232">
        <f>Indikátory!J78</f>
        <v>10.8042</v>
      </c>
      <c r="K77" s="233">
        <f>Indikátory!K78</f>
        <v>11.4846</v>
      </c>
    </row>
    <row r="78" spans="1:11" ht="16.5" customHeight="1">
      <c r="A78" s="118" t="s">
        <v>392</v>
      </c>
      <c r="B78" s="129" t="s">
        <v>386</v>
      </c>
      <c r="C78" s="223">
        <f>Indikátory!C79</f>
        <v>31.450947260624673</v>
      </c>
      <c r="D78" s="136">
        <f>Indikátory!D79</f>
        <v>31.531939081939086</v>
      </c>
      <c r="E78" s="136">
        <f>Indikátory!E79</f>
        <v>30.868736263736263</v>
      </c>
      <c r="F78" s="136">
        <f>Indikátory!F79</f>
        <v>40.51996370235935</v>
      </c>
      <c r="G78" s="225">
        <f>Indikátory!G79</f>
        <v>49.681329252295576</v>
      </c>
      <c r="H78" s="232">
        <f>Indikátory!H79</f>
        <v>58.516053010122526</v>
      </c>
      <c r="I78" s="232">
        <f>Indikátory!I79</f>
        <v>54.52640598552681</v>
      </c>
      <c r="J78" s="232">
        <f>Indikátory!J79</f>
        <v>57.709674684400355</v>
      </c>
      <c r="K78" s="233">
        <f>Indikátory!K79</f>
        <v>62.20086698258762</v>
      </c>
    </row>
    <row r="79" spans="1:11" ht="16.5" customHeight="1">
      <c r="A79" s="118" t="s">
        <v>393</v>
      </c>
      <c r="B79" s="129"/>
      <c r="C79" s="261"/>
      <c r="D79" s="179"/>
      <c r="E79" s="179"/>
      <c r="F79" s="179"/>
      <c r="G79" s="262"/>
      <c r="H79" s="263"/>
      <c r="I79" s="228"/>
      <c r="J79" s="232"/>
      <c r="K79" s="229"/>
    </row>
    <row r="80" spans="1:11" ht="16.5" customHeight="1">
      <c r="A80" s="118" t="s">
        <v>394</v>
      </c>
      <c r="B80" s="129"/>
      <c r="C80" s="261">
        <f>Indikátory!C81</f>
        <v>33.202</v>
      </c>
      <c r="D80" s="179">
        <f>Indikátory!D81</f>
        <v>31.277</v>
      </c>
      <c r="E80" s="179">
        <f>Indikátory!E81</f>
        <v>29.569</v>
      </c>
      <c r="F80" s="179">
        <f>Indikátory!F81</f>
        <v>31.895</v>
      </c>
      <c r="G80" s="262">
        <f>Indikátory!G81</f>
        <v>34.782</v>
      </c>
      <c r="H80" s="263">
        <f>Indikátory!H81</f>
        <v>36.913</v>
      </c>
      <c r="I80" s="228">
        <f>Indikátory!I81</f>
        <v>42.266</v>
      </c>
      <c r="J80" s="228">
        <f>Indikátory!J81</f>
        <v>47.389</v>
      </c>
      <c r="K80" s="229">
        <f>Indikátory!K81</f>
        <v>49.145</v>
      </c>
    </row>
    <row r="81" spans="1:11" ht="16.5" customHeight="1">
      <c r="A81" s="118" t="s">
        <v>395</v>
      </c>
      <c r="B81" s="129"/>
      <c r="C81" s="264">
        <f>Indikátory!C82</f>
        <v>19.233</v>
      </c>
      <c r="D81" s="179">
        <f>Indikátory!D82</f>
        <v>20.06</v>
      </c>
      <c r="E81" s="265">
        <f>Indikátory!E82</f>
        <v>20.646</v>
      </c>
      <c r="F81" s="179">
        <f>Indikátory!F82</f>
        <v>20.514</v>
      </c>
      <c r="G81" s="266">
        <f>Indikátory!G82</f>
        <v>19.398</v>
      </c>
      <c r="H81" s="263">
        <f>Indikátory!H82</f>
        <v>22.081</v>
      </c>
      <c r="I81" s="228">
        <f>Indikátory!I82</f>
        <v>21.708</v>
      </c>
      <c r="J81" s="228">
        <f>Indikátory!J82</f>
        <v>22.495</v>
      </c>
      <c r="K81" s="229">
        <f>Indikátory!K82</f>
        <v>22.305</v>
      </c>
    </row>
    <row r="82" spans="1:11" ht="16.5" customHeight="1" thickBot="1">
      <c r="A82" s="163" t="s">
        <v>396</v>
      </c>
      <c r="B82" s="164"/>
      <c r="C82" s="267" t="str">
        <f>Indikátory!C83</f>
        <v>-</v>
      </c>
      <c r="D82" s="267" t="str">
        <f>Indikátory!D83</f>
        <v>-</v>
      </c>
      <c r="E82" s="267" t="str">
        <f>Indikátory!E83</f>
        <v>-</v>
      </c>
      <c r="F82" s="267" t="str">
        <f>Indikátory!F83</f>
        <v>-</v>
      </c>
      <c r="G82" s="267" t="str">
        <f>Indikátory!G83</f>
        <v>-</v>
      </c>
      <c r="H82" s="267" t="str">
        <f>Indikátory!H83</f>
        <v>-</v>
      </c>
      <c r="I82" s="268">
        <f>Indikátory!I83</f>
        <v>42.458</v>
      </c>
      <c r="J82" s="268">
        <f>Indikátory!J83</f>
        <v>43.996</v>
      </c>
      <c r="K82" s="269">
        <f>Indikátory!K83</f>
        <v>43.624</v>
      </c>
    </row>
    <row r="83" spans="1:11" ht="16.5" customHeight="1">
      <c r="A83" s="291" t="s">
        <v>334</v>
      </c>
      <c r="B83" s="324" t="s">
        <v>335</v>
      </c>
      <c r="C83" s="293">
        <v>1993</v>
      </c>
      <c r="D83" s="293">
        <v>1994</v>
      </c>
      <c r="E83" s="293">
        <v>1995</v>
      </c>
      <c r="F83" s="293">
        <v>1996</v>
      </c>
      <c r="G83" s="293">
        <v>1997</v>
      </c>
      <c r="H83" s="326">
        <v>1998</v>
      </c>
      <c r="I83" s="320">
        <v>1999</v>
      </c>
      <c r="J83" s="321">
        <v>2000</v>
      </c>
      <c r="K83" s="220">
        <v>2001</v>
      </c>
    </row>
    <row r="84" spans="1:11" ht="18.75" customHeight="1" thickBot="1">
      <c r="A84" s="292"/>
      <c r="B84" s="325"/>
      <c r="C84" s="294"/>
      <c r="D84" s="294"/>
      <c r="E84" s="294"/>
      <c r="F84" s="295"/>
      <c r="G84" s="295"/>
      <c r="H84" s="294"/>
      <c r="I84" s="294"/>
      <c r="J84" s="294"/>
      <c r="K84" s="221" t="s">
        <v>215</v>
      </c>
    </row>
    <row r="85" spans="1:11" ht="16.5" customHeight="1">
      <c r="A85" s="171"/>
      <c r="B85" s="172"/>
      <c r="C85" s="173"/>
      <c r="D85" s="173"/>
      <c r="E85" s="173"/>
      <c r="F85" s="173"/>
      <c r="G85" s="173"/>
      <c r="H85" s="228"/>
      <c r="I85" s="228"/>
      <c r="J85" s="228"/>
      <c r="K85" s="229"/>
    </row>
    <row r="86" spans="1:11" ht="16.5" customHeight="1">
      <c r="A86" s="133" t="s">
        <v>397</v>
      </c>
      <c r="B86" s="129"/>
      <c r="C86" s="174"/>
      <c r="D86" s="174"/>
      <c r="E86" s="174"/>
      <c r="F86" s="174"/>
      <c r="G86" s="174"/>
      <c r="H86" s="228"/>
      <c r="I86" s="228"/>
      <c r="J86" s="228"/>
      <c r="K86" s="229"/>
    </row>
    <row r="87" spans="1:11" ht="16.5" customHeight="1">
      <c r="A87" s="118" t="s">
        <v>398</v>
      </c>
      <c r="B87" s="129" t="s">
        <v>44</v>
      </c>
      <c r="C87" s="136">
        <f>Indikátory!C88</f>
        <v>19.1</v>
      </c>
      <c r="D87" s="136">
        <f>Indikátory!D88</f>
        <v>19.1</v>
      </c>
      <c r="E87" s="136">
        <f>Indikátory!E88</f>
        <v>21.4</v>
      </c>
      <c r="F87" s="136">
        <f>Indikátory!F88</f>
        <v>16.7</v>
      </c>
      <c r="G87" s="270">
        <f>Indikátory!G88</f>
        <v>8.8</v>
      </c>
      <c r="H87" s="232">
        <f>Indikátory!H88</f>
        <v>4.2</v>
      </c>
      <c r="I87" s="232">
        <f>Indikátory!I88</f>
        <v>11.4</v>
      </c>
      <c r="J87" s="232">
        <f>Indikátory!J88</f>
        <v>15.4</v>
      </c>
      <c r="K87" s="243">
        <f>Indikátory!K88</f>
        <v>13.5</v>
      </c>
    </row>
    <row r="88" spans="1:11" ht="16.5" customHeight="1">
      <c r="A88" s="118" t="s">
        <v>399</v>
      </c>
      <c r="B88" s="129"/>
      <c r="C88" s="136"/>
      <c r="D88" s="136"/>
      <c r="E88" s="136"/>
      <c r="F88" s="136"/>
      <c r="G88" s="270"/>
      <c r="H88" s="251"/>
      <c r="I88" s="251"/>
      <c r="J88" s="251"/>
      <c r="K88" s="229"/>
    </row>
    <row r="89" spans="1:11" ht="16.5" customHeight="1">
      <c r="A89" s="118" t="s">
        <v>357</v>
      </c>
      <c r="B89" s="129" t="s">
        <v>44</v>
      </c>
      <c r="C89" s="136">
        <f>Indikátory!C90</f>
        <v>10.8</v>
      </c>
      <c r="D89" s="136">
        <f>Indikátory!D90</f>
        <v>0.8</v>
      </c>
      <c r="E89" s="136">
        <f>Indikátory!E90</f>
        <v>14.9</v>
      </c>
      <c r="F89" s="136">
        <f>Indikátory!F90</f>
        <v>18.2</v>
      </c>
      <c r="G89" s="270">
        <f>Indikátory!G90</f>
        <v>2.2</v>
      </c>
      <c r="H89" s="232">
        <f>Indikátory!H90</f>
        <v>5.8</v>
      </c>
      <c r="I89" s="232">
        <f>Indikátory!I90</f>
        <v>4.5</v>
      </c>
      <c r="J89" s="232">
        <f>Indikátory!J90</f>
        <v>0.3</v>
      </c>
      <c r="K89" s="243">
        <f>Indikátory!K90</f>
        <v>-22.5</v>
      </c>
    </row>
    <row r="90" spans="1:11" ht="16.5" customHeight="1">
      <c r="A90" s="118" t="s">
        <v>400</v>
      </c>
      <c r="B90" s="129" t="s">
        <v>44</v>
      </c>
      <c r="C90" s="136">
        <f>Indikátory!C91</f>
        <v>118.9</v>
      </c>
      <c r="D90" s="136">
        <f>Indikátory!D91</f>
        <v>77.8</v>
      </c>
      <c r="E90" s="136">
        <f>Indikátory!E91</f>
        <v>57.6</v>
      </c>
      <c r="F90" s="136">
        <f>Indikátory!F91</f>
        <v>35.7</v>
      </c>
      <c r="G90" s="270">
        <f>Indikátory!G91</f>
        <v>14.9</v>
      </c>
      <c r="H90" s="232">
        <f>Indikátory!H91</f>
        <v>25.4</v>
      </c>
      <c r="I90" s="232">
        <f>Indikátory!I91</f>
        <v>17.6</v>
      </c>
      <c r="J90" s="232">
        <f>Indikátory!J91</f>
        <v>-3.3</v>
      </c>
      <c r="K90" s="243">
        <f>Indikátory!K91</f>
        <v>-3.6</v>
      </c>
    </row>
    <row r="91" spans="1:11" ht="16.5" customHeight="1">
      <c r="A91" s="118" t="s">
        <v>401</v>
      </c>
      <c r="B91" s="129" t="s">
        <v>44</v>
      </c>
      <c r="C91" s="136">
        <f>Indikátory!C92</f>
        <v>17.9</v>
      </c>
      <c r="D91" s="136">
        <f>Indikátory!D92</f>
        <v>18.8</v>
      </c>
      <c r="E91" s="136">
        <f>Indikátory!E92</f>
        <v>25</v>
      </c>
      <c r="F91" s="136">
        <f>Indikátory!F92</f>
        <v>17.2</v>
      </c>
      <c r="G91" s="270">
        <f>Indikátory!G92</f>
        <v>7.4</v>
      </c>
      <c r="H91" s="251">
        <f>Indikátory!H92</f>
        <v>3.3</v>
      </c>
      <c r="I91" s="251">
        <f>Indikátory!I92</f>
        <v>9</v>
      </c>
      <c r="J91" s="251">
        <f>Indikátory!J92</f>
        <v>19.4</v>
      </c>
      <c r="K91" s="233">
        <f>Indikátory!K92</f>
        <v>13.3</v>
      </c>
    </row>
    <row r="92" spans="1:11" ht="16.5" customHeight="1">
      <c r="A92" s="118" t="s">
        <v>402</v>
      </c>
      <c r="B92" s="129" t="s">
        <v>44</v>
      </c>
      <c r="C92" s="136">
        <f>Indikátory!C93</f>
        <v>10.8</v>
      </c>
      <c r="D92" s="136">
        <f>Indikátory!D93</f>
        <v>16.6</v>
      </c>
      <c r="E92" s="136">
        <f>Indikátory!E93</f>
        <v>28.3</v>
      </c>
      <c r="F92" s="136">
        <f>Indikátory!F93</f>
        <v>18.9</v>
      </c>
      <c r="G92" s="270">
        <f>Indikátory!G93</f>
        <v>6.6</v>
      </c>
      <c r="H92" s="251">
        <f>Indikátory!H93</f>
        <v>-2</v>
      </c>
      <c r="I92" s="232">
        <f>Indikátory!I93</f>
        <v>8.8</v>
      </c>
      <c r="J92" s="232">
        <f>Indikátory!J93</f>
        <v>18.6</v>
      </c>
      <c r="K92" s="243">
        <f>Indikátory!K93</f>
        <v>11.4</v>
      </c>
    </row>
    <row r="93" spans="1:11" ht="16.5" customHeight="1">
      <c r="A93" s="118" t="s">
        <v>403</v>
      </c>
      <c r="B93" s="129" t="s">
        <v>44</v>
      </c>
      <c r="C93" s="136">
        <f>Indikátory!C94</f>
        <v>115.2</v>
      </c>
      <c r="D93" s="136">
        <f>Indikátory!D94</f>
        <v>34.6</v>
      </c>
      <c r="E93" s="136">
        <f>Indikátory!E94</f>
        <v>5</v>
      </c>
      <c r="F93" s="136">
        <f>Indikátory!F94</f>
        <v>4.5</v>
      </c>
      <c r="G93" s="270">
        <f>Indikátory!G94</f>
        <v>13.8</v>
      </c>
      <c r="H93" s="232">
        <f>Indikátory!H94</f>
        <v>46.2</v>
      </c>
      <c r="I93" s="232">
        <f>Indikátory!I94</f>
        <v>10</v>
      </c>
      <c r="J93" s="232">
        <f>Indikátory!J94</f>
        <v>23.5</v>
      </c>
      <c r="K93" s="243">
        <f>Indikátory!K94</f>
        <v>23.7</v>
      </c>
    </row>
    <row r="94" spans="1:11" ht="16.5" customHeight="1">
      <c r="A94" s="118" t="s">
        <v>404</v>
      </c>
      <c r="B94" s="129"/>
      <c r="C94" s="136"/>
      <c r="D94" s="136"/>
      <c r="E94" s="136"/>
      <c r="F94" s="136"/>
      <c r="G94" s="270"/>
      <c r="H94" s="251"/>
      <c r="I94" s="228"/>
      <c r="J94" s="251"/>
      <c r="K94" s="229"/>
    </row>
    <row r="95" spans="1:11" ht="16.5" customHeight="1">
      <c r="A95" s="118" t="s">
        <v>405</v>
      </c>
      <c r="B95" s="129" t="s">
        <v>44</v>
      </c>
      <c r="C95" s="174">
        <f>Indikátory!C96</f>
        <v>14</v>
      </c>
      <c r="D95" s="174">
        <f>Indikátory!D96</f>
        <v>14.51</v>
      </c>
      <c r="E95" s="174">
        <f>Indikátory!E96</f>
        <v>13.34</v>
      </c>
      <c r="F95" s="174">
        <f>Indikátory!F96</f>
        <v>11.89</v>
      </c>
      <c r="G95" s="271">
        <f>Indikátory!G96</f>
        <v>12.53</v>
      </c>
      <c r="H95" s="272">
        <f>Indikátory!H96</f>
        <v>13.48</v>
      </c>
      <c r="I95" s="272">
        <f>Indikátory!I96</f>
        <v>11.07</v>
      </c>
      <c r="J95" s="272">
        <f>Indikátory!J96</f>
        <v>9.79</v>
      </c>
      <c r="K95" s="273">
        <f>Indikátory!K96</f>
        <v>8.57</v>
      </c>
    </row>
    <row r="96" spans="1:11" ht="16.5" customHeight="1">
      <c r="A96" s="118" t="s">
        <v>406</v>
      </c>
      <c r="B96" s="129" t="s">
        <v>44</v>
      </c>
      <c r="C96" s="190" t="str">
        <f>Indikátory!C97</f>
        <v>-</v>
      </c>
      <c r="D96" s="174">
        <f>Indikátory!D97</f>
        <v>19.09</v>
      </c>
      <c r="E96" s="174">
        <f>Indikátory!E97</f>
        <v>16.32</v>
      </c>
      <c r="F96" s="174">
        <f>Indikátory!F97</f>
        <v>13.35</v>
      </c>
      <c r="G96" s="271">
        <f>Indikátory!G97</f>
        <v>18.4</v>
      </c>
      <c r="H96" s="272">
        <f>Indikátory!H97</f>
        <v>19.31</v>
      </c>
      <c r="I96" s="272">
        <f>Indikátory!I97</f>
        <v>16.89</v>
      </c>
      <c r="J96" s="272">
        <f>Indikátory!J97</f>
        <v>11.84</v>
      </c>
      <c r="K96" s="273">
        <f>Indikátory!K97</f>
        <v>9.81</v>
      </c>
    </row>
    <row r="97" spans="1:11" ht="16.5" customHeight="1">
      <c r="A97" s="118" t="s">
        <v>407</v>
      </c>
      <c r="B97" s="129" t="s">
        <v>44</v>
      </c>
      <c r="C97" s="174">
        <f>Indikátory!C98</f>
        <v>8.61</v>
      </c>
      <c r="D97" s="174">
        <f>Indikátory!D98</f>
        <v>9.29</v>
      </c>
      <c r="E97" s="174">
        <f>Indikátory!E98</f>
        <v>8.29</v>
      </c>
      <c r="F97" s="174">
        <f>Indikátory!F98</f>
        <v>6.7</v>
      </c>
      <c r="G97" s="271">
        <f>Indikátory!G98</f>
        <v>8</v>
      </c>
      <c r="H97" s="272">
        <f>Indikátory!H98</f>
        <v>10.16</v>
      </c>
      <c r="I97" s="272">
        <f>Indikátory!I98</f>
        <v>10.45</v>
      </c>
      <c r="J97" s="272">
        <f>Indikátory!J98</f>
        <v>7.23</v>
      </c>
      <c r="K97" s="273">
        <f>Indikátory!K98</f>
        <v>5.41</v>
      </c>
    </row>
    <row r="98" spans="1:11" ht="16.5" customHeight="1">
      <c r="A98" s="118" t="s">
        <v>408</v>
      </c>
      <c r="B98" s="129" t="s">
        <v>44</v>
      </c>
      <c r="C98" s="174">
        <f>Indikátory!C99</f>
        <v>5.390000000000001</v>
      </c>
      <c r="D98" s="174">
        <f>Indikátory!D99</f>
        <v>5.220000000000001</v>
      </c>
      <c r="E98" s="174">
        <f>Indikátory!E99</f>
        <v>5.050000000000001</v>
      </c>
      <c r="F98" s="174">
        <f>Indikátory!F99</f>
        <v>5.19</v>
      </c>
      <c r="G98" s="274">
        <f>Indikátory!G99</f>
        <v>4.529999999999999</v>
      </c>
      <c r="H98" s="272">
        <f>Indikátory!H99</f>
        <v>3.3200000000000003</v>
      </c>
      <c r="I98" s="272">
        <f>Indikátory!I99</f>
        <v>0.620000000000001</v>
      </c>
      <c r="J98" s="272">
        <f>Indikátory!J99</f>
        <v>2.5599999999999987</v>
      </c>
      <c r="K98" s="273">
        <f>Indikátory!K99</f>
        <v>3.16</v>
      </c>
    </row>
    <row r="99" spans="1:11" ht="16.5" customHeight="1">
      <c r="A99" s="118" t="s">
        <v>409</v>
      </c>
      <c r="B99" s="129"/>
      <c r="C99" s="136"/>
      <c r="D99" s="136"/>
      <c r="E99" s="136"/>
      <c r="F99" s="136"/>
      <c r="G99" s="270"/>
      <c r="H99" s="228"/>
      <c r="I99" s="228"/>
      <c r="J99" s="251"/>
      <c r="K99" s="229"/>
    </row>
    <row r="100" spans="1:11" ht="16.5" customHeight="1">
      <c r="A100" s="118" t="s">
        <v>410</v>
      </c>
      <c r="B100" s="129" t="s">
        <v>44</v>
      </c>
      <c r="C100" s="290" t="s">
        <v>411</v>
      </c>
      <c r="D100" s="174">
        <f>Indikátory!D101</f>
        <v>13.89</v>
      </c>
      <c r="E100" s="191">
        <f>Indikátory!E101</f>
        <v>9.31</v>
      </c>
      <c r="F100" s="191">
        <f>Indikátory!F101</f>
        <v>14.35</v>
      </c>
      <c r="G100" s="275">
        <f>Indikátory!G101</f>
        <v>21.18</v>
      </c>
      <c r="H100" s="276">
        <f>Indikátory!H101</f>
        <v>15.01</v>
      </c>
      <c r="I100" s="276">
        <f>Indikátory!I101</f>
        <v>12.41</v>
      </c>
      <c r="J100" s="276">
        <f>Indikátory!J101</f>
        <v>8.06</v>
      </c>
      <c r="K100" s="277">
        <f>Indikátory!K101</f>
        <v>7.89</v>
      </c>
    </row>
    <row r="101" spans="1:11" ht="16.5" customHeight="1">
      <c r="A101" s="118" t="s">
        <v>412</v>
      </c>
      <c r="B101" s="129" t="s">
        <v>44</v>
      </c>
      <c r="C101" s="190" t="str">
        <f>Indikátory!C102</f>
        <v>-</v>
      </c>
      <c r="D101" s="190" t="str">
        <f>Indikátory!D102</f>
        <v>-</v>
      </c>
      <c r="E101" s="174">
        <f>Indikátory!E102</f>
        <v>7.61</v>
      </c>
      <c r="F101" s="191">
        <f>Indikátory!F102</f>
        <v>14.71</v>
      </c>
      <c r="G101" s="275">
        <f>Indikátory!G102</f>
        <v>26.48</v>
      </c>
      <c r="H101" s="276">
        <f>Indikátory!H102</f>
        <v>18.26</v>
      </c>
      <c r="I101" s="276">
        <f>Indikátory!I102</f>
        <v>14.32</v>
      </c>
      <c r="J101" s="276">
        <f>Indikátory!J102</f>
        <v>7.93</v>
      </c>
      <c r="K101" s="277">
        <f>Indikátory!K102</f>
        <v>7.71</v>
      </c>
    </row>
    <row r="102" spans="1:11" ht="16.5" customHeight="1">
      <c r="A102" s="118" t="s">
        <v>413</v>
      </c>
      <c r="B102" s="129" t="s">
        <v>44</v>
      </c>
      <c r="C102" s="190" t="str">
        <f>Indikátory!C103</f>
        <v>-</v>
      </c>
      <c r="D102" s="190" t="str">
        <f>Indikátory!D103</f>
        <v>-</v>
      </c>
      <c r="E102" s="174">
        <f>Indikátory!E103</f>
        <v>10.11</v>
      </c>
      <c r="F102" s="191">
        <f>Indikátory!F103</f>
        <v>14.76</v>
      </c>
      <c r="G102" s="275">
        <f>Indikátory!G103</f>
        <v>26.92</v>
      </c>
      <c r="H102" s="276">
        <f>Indikátory!H103</f>
        <v>18.92</v>
      </c>
      <c r="I102" s="276">
        <f>Indikátory!I103</f>
        <v>14.21</v>
      </c>
      <c r="J102" s="276">
        <f>Indikátory!J103</f>
        <v>7.88</v>
      </c>
      <c r="K102" s="277">
        <f>Indikátory!K103</f>
        <v>7.66</v>
      </c>
    </row>
    <row r="103" spans="1:11" ht="16.5" customHeight="1">
      <c r="A103" s="118"/>
      <c r="B103" s="129"/>
      <c r="C103" s="145"/>
      <c r="D103" s="145"/>
      <c r="E103" s="145"/>
      <c r="F103" s="145"/>
      <c r="G103" s="278"/>
      <c r="H103" s="254"/>
      <c r="I103" s="254"/>
      <c r="J103" s="255"/>
      <c r="K103" s="245"/>
    </row>
    <row r="104" spans="1:11" ht="18.75" customHeight="1">
      <c r="A104" s="240" t="s">
        <v>414</v>
      </c>
      <c r="B104" s="241"/>
      <c r="C104" s="136"/>
      <c r="D104" s="136"/>
      <c r="E104" s="136"/>
      <c r="F104" s="136"/>
      <c r="G104" s="270"/>
      <c r="H104" s="228"/>
      <c r="I104" s="228"/>
      <c r="J104" s="251"/>
      <c r="K104" s="229"/>
    </row>
    <row r="105" spans="1:11" ht="16.5" customHeight="1">
      <c r="A105" s="118" t="s">
        <v>415</v>
      </c>
      <c r="B105" s="129" t="s">
        <v>217</v>
      </c>
      <c r="C105" s="196">
        <f>Indikátory!C106</f>
        <v>-7.83</v>
      </c>
      <c r="D105" s="136">
        <f>Indikátory!D106</f>
        <v>-10.27</v>
      </c>
      <c r="E105" s="136">
        <f>Indikátory!E106</f>
        <v>3.98</v>
      </c>
      <c r="F105" s="136">
        <f>Indikátory!F106</f>
        <v>-11.07</v>
      </c>
      <c r="G105" s="279">
        <f>Indikátory!G106</f>
        <v>-17.05</v>
      </c>
      <c r="H105" s="251">
        <f>Indikátory!H106</f>
        <v>-19.201</v>
      </c>
      <c r="I105" s="251">
        <f>Indikátory!I106</f>
        <v>-14.758</v>
      </c>
      <c r="J105" s="251">
        <f>Indikátory!J106</f>
        <v>-14.775</v>
      </c>
      <c r="K105" s="233">
        <f>Indikátory!K106</f>
        <v>-0.267</v>
      </c>
    </row>
    <row r="106" spans="1:11" ht="16.5" customHeight="1">
      <c r="A106" s="118" t="s">
        <v>415</v>
      </c>
      <c r="B106" s="195" t="s">
        <v>386</v>
      </c>
      <c r="C106" s="178">
        <f>Indikátory!C107</f>
        <v>-2.0046082949308754</v>
      </c>
      <c r="D106" s="197">
        <f>Indikátory!D107</f>
        <v>-2.202917202917203</v>
      </c>
      <c r="E106" s="136">
        <f>Indikátory!E107</f>
        <v>0.7289377289377289</v>
      </c>
      <c r="F106" s="197">
        <f>Indikátory!F107</f>
        <v>-1.8264312819666721</v>
      </c>
      <c r="G106" s="259">
        <f>Indikátory!G107</f>
        <v>-2.485060486809503</v>
      </c>
      <c r="H106" s="232">
        <f>Indikátory!H107</f>
        <v>-2.557405434203517</v>
      </c>
      <c r="I106" s="251">
        <f>Indikátory!I107</f>
        <v>-1.8101312400343432</v>
      </c>
      <c r="J106" s="251">
        <f>Indikátory!J107</f>
        <v>-1.6653516681695222</v>
      </c>
      <c r="K106" s="233">
        <f>Indikátory!K107</f>
        <v>-0.12037871956717763</v>
      </c>
    </row>
    <row r="107" spans="1:11" ht="16.5" customHeight="1">
      <c r="A107" s="118" t="s">
        <v>416</v>
      </c>
      <c r="B107" s="129" t="s">
        <v>217</v>
      </c>
      <c r="C107" s="235" t="str">
        <f>Indikátory!C108</f>
        <v>-</v>
      </c>
      <c r="D107" s="252" t="str">
        <f>Indikátory!D108</f>
        <v>-</v>
      </c>
      <c r="E107" s="234" t="str">
        <f>Indikátory!E108</f>
        <v>-</v>
      </c>
      <c r="F107" s="252" t="str">
        <f>Indikátory!F108</f>
        <v>-</v>
      </c>
      <c r="G107" s="176" t="str">
        <f>Indikátory!G108</f>
        <v>-</v>
      </c>
      <c r="H107" s="280" t="str">
        <f>Indikátory!H108</f>
        <v>-</v>
      </c>
      <c r="I107" s="280" t="str">
        <f>Indikátory!I108</f>
        <v>-</v>
      </c>
      <c r="J107" s="251">
        <f>Indikátory!J108</f>
        <v>-27.6484</v>
      </c>
      <c r="K107" s="233">
        <f>Indikátory!K108</f>
        <v>-5.647</v>
      </c>
    </row>
    <row r="108" spans="1:11" ht="16.5" customHeight="1">
      <c r="A108" s="118" t="s">
        <v>416</v>
      </c>
      <c r="B108" s="195" t="s">
        <v>386</v>
      </c>
      <c r="C108" s="235" t="str">
        <f>Indikátory!C109</f>
        <v>-</v>
      </c>
      <c r="D108" s="252" t="str">
        <f>Indikátory!D109</f>
        <v>-</v>
      </c>
      <c r="E108" s="234" t="str">
        <f>Indikátory!E109</f>
        <v>-</v>
      </c>
      <c r="F108" s="252" t="str">
        <f>Indikátory!F109</f>
        <v>-</v>
      </c>
      <c r="G108" s="176" t="str">
        <f>Indikátory!G109</f>
        <v>-</v>
      </c>
      <c r="H108" s="280" t="str">
        <f>Indikátory!H109</f>
        <v>-</v>
      </c>
      <c r="I108" s="280" t="str">
        <f>Indikátory!I109</f>
        <v>-</v>
      </c>
      <c r="J108" s="251">
        <f>Indikátory!J109</f>
        <v>-3.1163660955816046</v>
      </c>
      <c r="K108" s="233">
        <f>Indikátory!K109</f>
        <v>-2.5459873760144274</v>
      </c>
    </row>
    <row r="109" spans="1:11" ht="16.5" customHeight="1">
      <c r="A109" s="118" t="s">
        <v>417</v>
      </c>
      <c r="B109" s="129" t="s">
        <v>217</v>
      </c>
      <c r="C109" s="178">
        <f>Indikátory!C110</f>
        <v>98.606</v>
      </c>
      <c r="D109" s="197">
        <f>Indikátory!D110</f>
        <v>105.86</v>
      </c>
      <c r="E109" s="136">
        <f>Indikátory!E110</f>
        <v>110.489</v>
      </c>
      <c r="F109" s="197">
        <f>Indikátory!F110</f>
        <v>118.36600000000001</v>
      </c>
      <c r="G109" s="259">
        <f>Indikátory!G110</f>
        <v>149.6368</v>
      </c>
      <c r="H109" s="251">
        <f>Indikátory!H110</f>
        <v>177.6649</v>
      </c>
      <c r="I109" s="251">
        <f>Indikátory!I110</f>
        <v>192.325</v>
      </c>
      <c r="J109" s="251">
        <f>Indikátory!J110</f>
        <v>222.6017</v>
      </c>
      <c r="K109" s="233">
        <f>Indikátory!K110</f>
        <v>333.4775</v>
      </c>
    </row>
    <row r="110" spans="1:11" ht="16.5" customHeight="1">
      <c r="A110" s="118" t="s">
        <v>418</v>
      </c>
      <c r="B110" s="129" t="s">
        <v>217</v>
      </c>
      <c r="C110" s="178">
        <f>Indikátory!C111</f>
        <v>47.011</v>
      </c>
      <c r="D110" s="197">
        <f>Indikátory!D111</f>
        <v>62.476</v>
      </c>
      <c r="E110" s="136">
        <f>Indikátory!E111</f>
        <v>76.027</v>
      </c>
      <c r="F110" s="197">
        <f>Indikátory!F111</f>
        <v>86.391</v>
      </c>
      <c r="G110" s="259">
        <f>Indikátory!G111</f>
        <v>110.0019</v>
      </c>
      <c r="H110" s="251">
        <f>Indikátory!H111</f>
        <v>112.0136</v>
      </c>
      <c r="I110" s="251">
        <f>Indikátory!I111</f>
        <v>105.5</v>
      </c>
      <c r="J110" s="251">
        <f>Indikátory!J111</f>
        <v>112.9594</v>
      </c>
      <c r="K110" s="233">
        <f>Indikátory!K111</f>
        <v>227.0943</v>
      </c>
    </row>
    <row r="111" spans="1:11" ht="16.5" customHeight="1">
      <c r="A111" s="118" t="s">
        <v>419</v>
      </c>
      <c r="B111" s="129" t="s">
        <v>217</v>
      </c>
      <c r="C111" s="178">
        <f>Indikátory!C112</f>
        <v>51.595</v>
      </c>
      <c r="D111" s="197">
        <f>Indikátory!D112</f>
        <v>43.384</v>
      </c>
      <c r="E111" s="136">
        <f>Indikátory!E112</f>
        <v>34.462</v>
      </c>
      <c r="F111" s="197">
        <f>Indikátory!F112</f>
        <v>31.975</v>
      </c>
      <c r="G111" s="259">
        <f>Indikátory!G112</f>
        <v>39.6348</v>
      </c>
      <c r="H111" s="251">
        <f>Indikátory!H112</f>
        <v>65.6513</v>
      </c>
      <c r="I111" s="251">
        <f>Indikátory!I112</f>
        <v>86.8</v>
      </c>
      <c r="J111" s="251">
        <f>Indikátory!J112</f>
        <v>109.6423</v>
      </c>
      <c r="K111" s="233">
        <f>Indikátory!K112</f>
        <v>106.3832</v>
      </c>
    </row>
    <row r="112" spans="1:11" ht="16.5" customHeight="1">
      <c r="A112" s="118" t="s">
        <v>417</v>
      </c>
      <c r="B112" s="195" t="s">
        <v>386</v>
      </c>
      <c r="C112" s="178">
        <f>Indikátory!C113</f>
        <v>25.244751664106502</v>
      </c>
      <c r="D112" s="197">
        <f>Indikátory!D113</f>
        <v>22.706992706992708</v>
      </c>
      <c r="E112" s="136">
        <f>Indikátory!E113</f>
        <v>20.236080586080586</v>
      </c>
      <c r="F112" s="197">
        <f>Indikátory!F113</f>
        <v>19.529120607160536</v>
      </c>
      <c r="G112" s="259">
        <f>Indikátory!G113</f>
        <v>21.809765340329395</v>
      </c>
      <c r="H112" s="232">
        <f>Indikátory!H113</f>
        <v>23.663412360149174</v>
      </c>
      <c r="I112" s="251">
        <f>Indikátory!I113</f>
        <v>23.589476266405004</v>
      </c>
      <c r="J112" s="251">
        <f>Indikátory!J113</f>
        <v>25.09036293958521</v>
      </c>
      <c r="K112" s="233">
        <f>Indikátory!K113</f>
        <v>36.75088163985013</v>
      </c>
    </row>
    <row r="113" spans="1:11" ht="18.75" customHeight="1">
      <c r="A113" s="118" t="s">
        <v>420</v>
      </c>
      <c r="B113" s="195"/>
      <c r="C113" s="178"/>
      <c r="D113" s="197"/>
      <c r="E113" s="136"/>
      <c r="F113" s="197"/>
      <c r="G113" s="259"/>
      <c r="H113" s="232"/>
      <c r="I113" s="251"/>
      <c r="J113" s="251"/>
      <c r="K113" s="233"/>
    </row>
    <row r="114" spans="1:11" ht="16.5" customHeight="1">
      <c r="A114" s="118" t="s">
        <v>415</v>
      </c>
      <c r="B114" s="195" t="s">
        <v>217</v>
      </c>
      <c r="C114" s="178">
        <f>Indikátory!C115</f>
        <v>-23.579</v>
      </c>
      <c r="D114" s="209">
        <f>Indikátory!D115</f>
        <v>-7.1392</v>
      </c>
      <c r="E114" s="178">
        <f>Indikátory!E115</f>
        <v>9.7899</v>
      </c>
      <c r="F114" s="178">
        <f>Indikátory!F115</f>
        <v>-8.9581</v>
      </c>
      <c r="G114" s="259">
        <f>Indikátory!G115</f>
        <v>-30.2052</v>
      </c>
      <c r="H114" s="232">
        <f>Indikátory!H115</f>
        <v>-34.4456</v>
      </c>
      <c r="I114" s="251">
        <f>Indikátory!I115</f>
        <v>-29.211</v>
      </c>
      <c r="J114" s="251">
        <f>Indikátory!J115</f>
        <v>-17.3</v>
      </c>
      <c r="K114" s="233"/>
    </row>
    <row r="115" spans="1:11" ht="16.5" customHeight="1">
      <c r="A115" s="118" t="s">
        <v>415</v>
      </c>
      <c r="B115" s="195" t="s">
        <v>386</v>
      </c>
      <c r="C115" s="178">
        <f>Indikátory!C116</f>
        <v>-6.036610343061956</v>
      </c>
      <c r="D115" s="209">
        <f>Indikátory!D116</f>
        <v>-1.5313599313599313</v>
      </c>
      <c r="E115" s="178">
        <f>Indikátory!E116</f>
        <v>1.7930219780219778</v>
      </c>
      <c r="F115" s="209">
        <f>Indikátory!F116</f>
        <v>-1.4779904306220095</v>
      </c>
      <c r="G115" s="259">
        <f>Indikátory!G116</f>
        <v>-4.402448622649759</v>
      </c>
      <c r="H115" s="232">
        <f>Indikátory!H116</f>
        <v>-4.587852956846031</v>
      </c>
      <c r="I115" s="251">
        <f>Indikátory!I116</f>
        <v>-3.582852937568993</v>
      </c>
      <c r="J115" s="251">
        <f>Indikátory!J116</f>
        <v>-1.9499549143372406</v>
      </c>
      <c r="K115" s="233"/>
    </row>
    <row r="116" spans="1:11" ht="16.5" customHeight="1">
      <c r="A116" s="118" t="s">
        <v>416</v>
      </c>
      <c r="B116" s="129" t="s">
        <v>217</v>
      </c>
      <c r="C116" s="235" t="str">
        <f>Indikátory!C117</f>
        <v>-</v>
      </c>
      <c r="D116" s="281" t="str">
        <f>Indikátory!D117</f>
        <v>-</v>
      </c>
      <c r="E116" s="235" t="str">
        <f>Indikátory!E117</f>
        <v>-</v>
      </c>
      <c r="F116" s="281" t="str">
        <f>Indikátory!F117</f>
        <v>-</v>
      </c>
      <c r="G116" s="176" t="str">
        <f>Indikátory!G117</f>
        <v>-</v>
      </c>
      <c r="H116" s="280" t="str">
        <f>Indikátory!H117</f>
        <v>-</v>
      </c>
      <c r="I116" s="280" t="str">
        <f>Indikátory!I117</f>
        <v>-</v>
      </c>
      <c r="J116" s="251">
        <f>Indikátory!J117</f>
        <v>-30.249</v>
      </c>
      <c r="K116" s="233"/>
    </row>
    <row r="117" spans="1:11" ht="16.5" customHeight="1">
      <c r="A117" s="118" t="s">
        <v>416</v>
      </c>
      <c r="B117" s="195" t="s">
        <v>386</v>
      </c>
      <c r="C117" s="235" t="str">
        <f>Indikátory!C118</f>
        <v>-</v>
      </c>
      <c r="D117" s="281" t="str">
        <f>Indikátory!D118</f>
        <v>-</v>
      </c>
      <c r="E117" s="235" t="str">
        <f>Indikátory!E118</f>
        <v>-</v>
      </c>
      <c r="F117" s="281" t="str">
        <f>Indikátory!F118</f>
        <v>-</v>
      </c>
      <c r="G117" s="176" t="str">
        <f>Indikátory!G118</f>
        <v>-</v>
      </c>
      <c r="H117" s="280" t="str">
        <f>Indikátory!H118</f>
        <v>-</v>
      </c>
      <c r="I117" s="280" t="str">
        <f>Indikátory!I118</f>
        <v>-</v>
      </c>
      <c r="J117" s="251">
        <f>Indikátory!J118</f>
        <v>-3.4094905320108206</v>
      </c>
      <c r="K117" s="233"/>
    </row>
    <row r="118" spans="1:11" ht="16.5" customHeight="1">
      <c r="A118" s="118" t="s">
        <v>421</v>
      </c>
      <c r="B118" s="195" t="s">
        <v>217</v>
      </c>
      <c r="C118" s="178">
        <f>Indikátory!C119</f>
        <v>109.592</v>
      </c>
      <c r="D118" s="209">
        <f>Indikátory!D119</f>
        <v>116.351</v>
      </c>
      <c r="E118" s="178">
        <f>Indikátory!E119</f>
        <v>124.6</v>
      </c>
      <c r="F118" s="282">
        <f>Indikátory!F119</f>
        <v>166.232</v>
      </c>
      <c r="G118" s="259">
        <f>Indikátory!G119</f>
        <v>203.856</v>
      </c>
      <c r="H118" s="232">
        <f>Indikátory!H119</f>
        <v>227.964</v>
      </c>
      <c r="I118" s="251">
        <f>Indikátory!I119</f>
        <v>246.137</v>
      </c>
      <c r="J118" s="251">
        <f>Indikátory!J119</f>
        <v>290.8</v>
      </c>
      <c r="K118" s="233"/>
    </row>
    <row r="119" spans="1:11" ht="16.5" customHeight="1" thickBot="1">
      <c r="A119" s="163" t="s">
        <v>421</v>
      </c>
      <c r="B119" s="283" t="s">
        <v>386</v>
      </c>
      <c r="C119" s="284">
        <f>Indikátory!C120</f>
        <v>28.05734767025089</v>
      </c>
      <c r="D119" s="285">
        <f>Indikátory!D120</f>
        <v>24.957314457314457</v>
      </c>
      <c r="E119" s="284">
        <f>Indikátory!E120</f>
        <v>22.82051282051282</v>
      </c>
      <c r="F119" s="285">
        <f>Indikátory!F120</f>
        <v>27.426497277676948</v>
      </c>
      <c r="G119" s="286">
        <f>Indikátory!G120</f>
        <v>29.712286838653256</v>
      </c>
      <c r="H119" s="287">
        <f>Indikátory!H120</f>
        <v>30.362812999467238</v>
      </c>
      <c r="I119" s="288">
        <f>Indikátory!I120</f>
        <v>30.189746105727956</v>
      </c>
      <c r="J119" s="288">
        <f>Indikátory!J120</f>
        <v>32.777276825969345</v>
      </c>
      <c r="K119" s="249"/>
    </row>
    <row r="120" spans="1:10" ht="15" customHeight="1">
      <c r="A120" s="226" t="s">
        <v>422</v>
      </c>
      <c r="B120" s="217"/>
      <c r="C120" s="218"/>
      <c r="D120" s="218"/>
      <c r="E120" s="218"/>
      <c r="F120" s="218"/>
      <c r="G120" s="218"/>
      <c r="H120" s="218"/>
      <c r="J120" s="289"/>
    </row>
    <row r="121" spans="1:10" ht="15" customHeight="1">
      <c r="A121" s="227" t="s">
        <v>423</v>
      </c>
      <c r="B121" s="217"/>
      <c r="C121" s="218"/>
      <c r="D121" s="218"/>
      <c r="E121" s="218"/>
      <c r="F121" s="218"/>
      <c r="G121" s="218"/>
      <c r="H121" s="218"/>
      <c r="J121" s="289"/>
    </row>
    <row r="122" spans="1:10" ht="15" customHeight="1">
      <c r="A122" s="227" t="s">
        <v>424</v>
      </c>
      <c r="B122" s="217"/>
      <c r="C122" s="218"/>
      <c r="D122" s="218"/>
      <c r="E122" s="218"/>
      <c r="F122" s="218"/>
      <c r="G122" s="218"/>
      <c r="H122" s="218"/>
      <c r="J122" s="289"/>
    </row>
    <row r="123" spans="1:10" ht="15" customHeight="1">
      <c r="A123" s="227" t="s">
        <v>425</v>
      </c>
      <c r="B123" s="217"/>
      <c r="C123" s="218"/>
      <c r="D123" s="218"/>
      <c r="E123" s="218"/>
      <c r="F123" s="218"/>
      <c r="G123" s="218"/>
      <c r="H123" s="218"/>
      <c r="J123" s="289"/>
    </row>
    <row r="124" spans="1:10" ht="15" customHeight="1">
      <c r="A124" s="227" t="s">
        <v>426</v>
      </c>
      <c r="J124" s="289"/>
    </row>
    <row r="125" spans="1:10" ht="15" customHeight="1">
      <c r="A125" s="227" t="s">
        <v>427</v>
      </c>
      <c r="J125" s="289"/>
    </row>
    <row r="126" ht="15" customHeight="1">
      <c r="A126" s="227" t="s">
        <v>428</v>
      </c>
    </row>
    <row r="127" ht="15" customHeight="1">
      <c r="A127" s="227" t="s">
        <v>429</v>
      </c>
    </row>
    <row r="128" ht="15" customHeight="1">
      <c r="A128" s="227" t="s">
        <v>430</v>
      </c>
    </row>
    <row r="129" ht="15" customHeight="1">
      <c r="A129" s="227" t="s">
        <v>431</v>
      </c>
    </row>
    <row r="130" ht="15" customHeight="1">
      <c r="A130" s="227" t="s">
        <v>432</v>
      </c>
    </row>
    <row r="131" ht="15" customHeight="1">
      <c r="A131" s="227" t="s">
        <v>433</v>
      </c>
    </row>
    <row r="132" ht="15" customHeight="1">
      <c r="A132" s="227" t="s">
        <v>434</v>
      </c>
    </row>
    <row r="133" ht="15" customHeight="1">
      <c r="A133" s="227" t="s">
        <v>435</v>
      </c>
    </row>
    <row r="134" ht="15" customHeight="1">
      <c r="A134" s="227" t="s">
        <v>436</v>
      </c>
    </row>
    <row r="135" ht="15" customHeight="1">
      <c r="A135" s="227" t="s">
        <v>437</v>
      </c>
    </row>
    <row r="136" ht="15" customHeight="1">
      <c r="A136" s="227" t="s">
        <v>438</v>
      </c>
    </row>
    <row r="137" ht="15" customHeight="1">
      <c r="A137" s="227" t="s">
        <v>439</v>
      </c>
    </row>
    <row r="138" ht="15" customHeight="1">
      <c r="A138" s="227" t="s">
        <v>440</v>
      </c>
    </row>
    <row r="139" ht="15" customHeight="1">
      <c r="A139" s="227" t="s">
        <v>441</v>
      </c>
    </row>
    <row r="140" ht="15" customHeight="1">
      <c r="A140" s="227" t="s">
        <v>442</v>
      </c>
    </row>
    <row r="141" ht="15" customHeight="1">
      <c r="A141" s="227" t="s">
        <v>443</v>
      </c>
    </row>
  </sheetData>
  <mergeCells count="40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B56:B57"/>
    <mergeCell ref="C56:C57"/>
    <mergeCell ref="D56:D57"/>
    <mergeCell ref="E56:E57"/>
    <mergeCell ref="F56:F57"/>
    <mergeCell ref="G56:G57"/>
    <mergeCell ref="H56:H57"/>
    <mergeCell ref="I56:I57"/>
    <mergeCell ref="E83:E84"/>
    <mergeCell ref="F83:F84"/>
    <mergeCell ref="G83:G84"/>
    <mergeCell ref="H83:H84"/>
    <mergeCell ref="A83:A84"/>
    <mergeCell ref="B83:B84"/>
    <mergeCell ref="C83:C84"/>
    <mergeCell ref="D83:D84"/>
    <mergeCell ref="I83:I84"/>
    <mergeCell ref="J83:J84"/>
    <mergeCell ref="J56:J57"/>
    <mergeCell ref="K56:K57"/>
  </mergeCells>
  <printOptions horizontalCentered="1" verticalCentered="1"/>
  <pageMargins left="0.5905511811023623" right="0.5905511811023623" top="0.5905511811023623" bottom="0.5905511811023623" header="0.3937007874015748" footer="0.3937007874015748"/>
  <pageSetup horizontalDpi="600" verticalDpi="600" orientation="landscape" paperSize="9" scale="65" r:id="rId1"/>
  <headerFooter alignWithMargins="0">
    <oddFooter>&amp;C&amp;P&amp;RMF SR, Inštitút finančnej politiky</oddFooter>
  </headerFooter>
  <rowBreaks count="3" manualBreakCount="3">
    <brk id="40" max="255" man="1"/>
    <brk id="82" max="255" man="1"/>
    <brk id="119" max="255" man="1"/>
  </rowBreaks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62"/>
  <sheetViews>
    <sheetView workbookViewId="0" topLeftCell="A1">
      <selection activeCell="A1" sqref="A1"/>
    </sheetView>
  </sheetViews>
  <sheetFormatPr defaultColWidth="9.00390625" defaultRowHeight="12.75"/>
  <cols>
    <col min="1" max="1" width="36.875" style="2" customWidth="1"/>
    <col min="2" max="16384" width="9.125" style="2" customWidth="1"/>
  </cols>
  <sheetData>
    <row r="1" ht="15.75">
      <c r="A1" s="1" t="s">
        <v>0</v>
      </c>
    </row>
    <row r="3" spans="1:14" ht="12.75">
      <c r="A3" s="5"/>
      <c r="B3" s="26" t="s">
        <v>8</v>
      </c>
      <c r="C3" s="6">
        <v>1993</v>
      </c>
      <c r="D3" s="6">
        <v>1994</v>
      </c>
      <c r="E3" s="6">
        <v>1995</v>
      </c>
      <c r="F3" s="6">
        <v>1996</v>
      </c>
      <c r="G3" s="6">
        <v>1997</v>
      </c>
      <c r="H3" s="6">
        <v>1998</v>
      </c>
      <c r="I3" s="6">
        <v>1999</v>
      </c>
      <c r="J3" s="6">
        <v>2000</v>
      </c>
      <c r="K3" s="6">
        <v>2001</v>
      </c>
      <c r="L3" s="6">
        <v>2002</v>
      </c>
      <c r="M3" s="6">
        <v>2003</v>
      </c>
      <c r="N3" s="7">
        <v>2004</v>
      </c>
    </row>
    <row r="4" spans="1:14" ht="12.75">
      <c r="A4" s="23"/>
      <c r="B4" s="27"/>
      <c r="C4" s="24"/>
      <c r="D4" s="24"/>
      <c r="E4" s="24"/>
      <c r="F4" s="24"/>
      <c r="G4" s="24"/>
      <c r="H4" s="24"/>
      <c r="I4" s="24"/>
      <c r="J4" s="24"/>
      <c r="K4" s="19" t="s">
        <v>10</v>
      </c>
      <c r="L4" s="19" t="s">
        <v>10</v>
      </c>
      <c r="M4" s="19" t="s">
        <v>10</v>
      </c>
      <c r="N4" s="25" t="s">
        <v>10</v>
      </c>
    </row>
    <row r="5" spans="1:14" ht="15.75">
      <c r="A5" s="9" t="s">
        <v>1</v>
      </c>
      <c r="B5" s="28" t="s">
        <v>18</v>
      </c>
      <c r="C5" s="10">
        <v>487.6</v>
      </c>
      <c r="D5" s="10">
        <v>511.6</v>
      </c>
      <c r="E5" s="10">
        <v>546</v>
      </c>
      <c r="F5" s="10">
        <v>579.9</v>
      </c>
      <c r="G5" s="10">
        <v>615.9</v>
      </c>
      <c r="H5" s="10">
        <v>641.1</v>
      </c>
      <c r="I5" s="10">
        <v>653.3</v>
      </c>
      <c r="J5" s="10">
        <v>667.7</v>
      </c>
      <c r="K5" s="10">
        <v>687.4</v>
      </c>
      <c r="L5" s="10">
        <v>712.1</v>
      </c>
      <c r="M5" s="10">
        <v>741.1</v>
      </c>
      <c r="N5" s="11">
        <v>776.1</v>
      </c>
    </row>
    <row r="6" spans="1:14" ht="12.75">
      <c r="A6" s="29"/>
      <c r="B6" s="27" t="s">
        <v>19</v>
      </c>
      <c r="C6" s="30" t="s">
        <v>15</v>
      </c>
      <c r="D6" s="31">
        <v>104.9</v>
      </c>
      <c r="E6" s="31">
        <v>106.7</v>
      </c>
      <c r="F6" s="31">
        <v>106.2</v>
      </c>
      <c r="G6" s="31">
        <v>106.2</v>
      </c>
      <c r="H6" s="31">
        <v>104.1</v>
      </c>
      <c r="I6" s="31">
        <v>101.9</v>
      </c>
      <c r="J6" s="31">
        <v>102.2</v>
      </c>
      <c r="K6" s="31">
        <v>103</v>
      </c>
      <c r="L6" s="31">
        <v>103.6</v>
      </c>
      <c r="M6" s="31">
        <v>104.1</v>
      </c>
      <c r="N6" s="32">
        <v>104.7</v>
      </c>
    </row>
    <row r="7" spans="1:14" ht="12.75">
      <c r="A7" s="12" t="s">
        <v>9</v>
      </c>
      <c r="B7" s="28" t="s">
        <v>18</v>
      </c>
      <c r="C7" s="10">
        <v>268.8</v>
      </c>
      <c r="D7" s="10">
        <v>271.6</v>
      </c>
      <c r="E7" s="10">
        <v>280.8</v>
      </c>
      <c r="F7" s="10">
        <v>303.2</v>
      </c>
      <c r="G7" s="10">
        <v>319.7</v>
      </c>
      <c r="H7" s="10">
        <v>338.3</v>
      </c>
      <c r="I7" s="10">
        <v>337.6</v>
      </c>
      <c r="J7" s="10">
        <v>326.2</v>
      </c>
      <c r="K7" s="10">
        <v>336.9</v>
      </c>
      <c r="L7" s="10">
        <v>349.6</v>
      </c>
      <c r="M7" s="10">
        <v>367.1</v>
      </c>
      <c r="N7" s="11">
        <v>389.6</v>
      </c>
    </row>
    <row r="8" spans="1:14" ht="12.75">
      <c r="A8" s="12"/>
      <c r="B8" s="28" t="s">
        <v>19</v>
      </c>
      <c r="C8" s="14" t="s">
        <v>15</v>
      </c>
      <c r="D8" s="14">
        <f>D7/C7*100</f>
        <v>101.04166666666667</v>
      </c>
      <c r="E8" s="14">
        <f aca="true" t="shared" si="0" ref="E8:N8">E7/D7*100</f>
        <v>103.38733431516935</v>
      </c>
      <c r="F8" s="14">
        <f t="shared" si="0"/>
        <v>107.97720797720798</v>
      </c>
      <c r="G8" s="14">
        <f t="shared" si="0"/>
        <v>105.44195250659631</v>
      </c>
      <c r="H8" s="14">
        <f t="shared" si="0"/>
        <v>105.81795433218643</v>
      </c>
      <c r="I8" s="14">
        <f t="shared" si="0"/>
        <v>99.79308306237068</v>
      </c>
      <c r="J8" s="14">
        <f t="shared" si="0"/>
        <v>96.62322274881515</v>
      </c>
      <c r="K8" s="14">
        <f t="shared" si="0"/>
        <v>103.28019619865114</v>
      </c>
      <c r="L8" s="14">
        <f t="shared" si="0"/>
        <v>103.7696645888988</v>
      </c>
      <c r="M8" s="14">
        <f t="shared" si="0"/>
        <v>105.00572082379863</v>
      </c>
      <c r="N8" s="15">
        <f t="shared" si="0"/>
        <v>106.12912013075457</v>
      </c>
    </row>
    <row r="9" spans="1:14" ht="12.75">
      <c r="A9" s="12" t="s">
        <v>2</v>
      </c>
      <c r="B9" s="28" t="s">
        <v>18</v>
      </c>
      <c r="C9" s="10">
        <v>117.4</v>
      </c>
      <c r="D9" s="10">
        <v>104</v>
      </c>
      <c r="E9" s="10">
        <v>106.2</v>
      </c>
      <c r="F9" s="10">
        <v>128.5</v>
      </c>
      <c r="G9" s="10">
        <v>133.7</v>
      </c>
      <c r="H9" s="10">
        <v>139.1</v>
      </c>
      <c r="I9" s="10">
        <v>129.5</v>
      </c>
      <c r="J9" s="10">
        <v>128.3</v>
      </c>
      <c r="K9" s="10">
        <v>129.2</v>
      </c>
      <c r="L9" s="10">
        <v>130.6</v>
      </c>
      <c r="M9" s="10">
        <v>132.3</v>
      </c>
      <c r="N9" s="11">
        <v>134.4</v>
      </c>
    </row>
    <row r="10" spans="1:14" ht="12.75">
      <c r="A10" s="29"/>
      <c r="B10" s="27" t="s">
        <v>19</v>
      </c>
      <c r="C10" s="30" t="s">
        <v>15</v>
      </c>
      <c r="D10" s="31">
        <v>88.6</v>
      </c>
      <c r="E10" s="31">
        <v>102.1</v>
      </c>
      <c r="F10" s="31">
        <v>121</v>
      </c>
      <c r="G10" s="31">
        <v>104</v>
      </c>
      <c r="H10" s="31">
        <v>104</v>
      </c>
      <c r="I10" s="31">
        <v>93.1</v>
      </c>
      <c r="J10" s="31">
        <v>99.1</v>
      </c>
      <c r="K10" s="31">
        <v>100.7</v>
      </c>
      <c r="L10" s="31">
        <v>101.1</v>
      </c>
      <c r="M10" s="31">
        <v>101.3</v>
      </c>
      <c r="N10" s="32">
        <v>101.6</v>
      </c>
    </row>
    <row r="11" spans="1:14" ht="12.75">
      <c r="A11" s="12" t="s">
        <v>3</v>
      </c>
      <c r="B11" s="28" t="s">
        <v>18</v>
      </c>
      <c r="C11" s="10">
        <v>124.1</v>
      </c>
      <c r="D11" s="10">
        <v>109.2</v>
      </c>
      <c r="E11" s="10">
        <v>149.3</v>
      </c>
      <c r="F11" s="10">
        <v>190.7</v>
      </c>
      <c r="G11" s="10">
        <v>195.9</v>
      </c>
      <c r="H11" s="10">
        <v>233.4</v>
      </c>
      <c r="I11" s="10">
        <v>211</v>
      </c>
      <c r="J11" s="10">
        <v>214.8</v>
      </c>
      <c r="K11" s="10">
        <v>231.4</v>
      </c>
      <c r="L11" s="10">
        <v>237.5</v>
      </c>
      <c r="M11" s="10">
        <v>242.9</v>
      </c>
      <c r="N11" s="11">
        <v>249.3</v>
      </c>
    </row>
    <row r="12" spans="1:14" ht="12.75">
      <c r="A12" s="12"/>
      <c r="B12" s="28" t="s">
        <v>19</v>
      </c>
      <c r="C12" s="13" t="s">
        <v>15</v>
      </c>
      <c r="D12" s="14">
        <f>D11/C11*100</f>
        <v>87.99355358581789</v>
      </c>
      <c r="E12" s="14">
        <f aca="true" t="shared" si="1" ref="E12:N12">E11/D11*100</f>
        <v>136.72161172161174</v>
      </c>
      <c r="F12" s="14">
        <f t="shared" si="1"/>
        <v>127.7294038847957</v>
      </c>
      <c r="G12" s="14">
        <f t="shared" si="1"/>
        <v>102.72679601468275</v>
      </c>
      <c r="H12" s="14">
        <f t="shared" si="1"/>
        <v>119.14241960183767</v>
      </c>
      <c r="I12" s="14">
        <f t="shared" si="1"/>
        <v>90.40274207369323</v>
      </c>
      <c r="J12" s="14">
        <f t="shared" si="1"/>
        <v>101.80094786729859</v>
      </c>
      <c r="K12" s="14">
        <f t="shared" si="1"/>
        <v>107.72811918063314</v>
      </c>
      <c r="L12" s="14">
        <f t="shared" si="1"/>
        <v>102.63612791702678</v>
      </c>
      <c r="M12" s="14">
        <f t="shared" si="1"/>
        <v>102.27368421052631</v>
      </c>
      <c r="N12" s="15">
        <f t="shared" si="1"/>
        <v>102.63482914779745</v>
      </c>
    </row>
    <row r="13" spans="1:14" ht="12.75">
      <c r="A13" s="16" t="s">
        <v>65</v>
      </c>
      <c r="B13" s="28" t="s">
        <v>18</v>
      </c>
      <c r="C13" s="10">
        <v>144.1</v>
      </c>
      <c r="D13" s="10">
        <v>136.9</v>
      </c>
      <c r="E13" s="10">
        <v>144.2</v>
      </c>
      <c r="F13" s="10">
        <v>190.3</v>
      </c>
      <c r="G13" s="10">
        <v>213.1</v>
      </c>
      <c r="H13" s="10">
        <v>236.8</v>
      </c>
      <c r="I13" s="10">
        <v>192.2</v>
      </c>
      <c r="J13" s="10">
        <v>190.9</v>
      </c>
      <c r="K13" s="10">
        <v>202.3</v>
      </c>
      <c r="L13" s="10">
        <v>213.8</v>
      </c>
      <c r="M13" s="10">
        <v>226.2</v>
      </c>
      <c r="N13" s="11">
        <v>240.5</v>
      </c>
    </row>
    <row r="14" spans="1:14" ht="12.75">
      <c r="A14" s="12"/>
      <c r="B14" s="28" t="s">
        <v>19</v>
      </c>
      <c r="C14" s="13" t="s">
        <v>15</v>
      </c>
      <c r="D14" s="14">
        <f>D13/C13*100</f>
        <v>95.00346981263013</v>
      </c>
      <c r="E14" s="14">
        <f aca="true" t="shared" si="2" ref="E14:N14">E13/D13*100</f>
        <v>105.33235938641343</v>
      </c>
      <c r="F14" s="14">
        <f t="shared" si="2"/>
        <v>131.96948682385576</v>
      </c>
      <c r="G14" s="14">
        <f t="shared" si="2"/>
        <v>111.98108250131371</v>
      </c>
      <c r="H14" s="14">
        <f t="shared" si="2"/>
        <v>111.12153918348193</v>
      </c>
      <c r="I14" s="14">
        <f t="shared" si="2"/>
        <v>81.16554054054053</v>
      </c>
      <c r="J14" s="14">
        <f t="shared" si="2"/>
        <v>99.32362122788763</v>
      </c>
      <c r="K14" s="14">
        <f t="shared" si="2"/>
        <v>105.97171293871138</v>
      </c>
      <c r="L14" s="14">
        <f t="shared" si="2"/>
        <v>105.68462679189324</v>
      </c>
      <c r="M14" s="14">
        <f t="shared" si="2"/>
        <v>105.79981290926096</v>
      </c>
      <c r="N14" s="15">
        <f t="shared" si="2"/>
        <v>106.32183908045978</v>
      </c>
    </row>
    <row r="15" spans="1:14" ht="12.75">
      <c r="A15" s="18" t="s">
        <v>56</v>
      </c>
      <c r="B15" s="27" t="s">
        <v>18</v>
      </c>
      <c r="C15" s="21">
        <v>-20</v>
      </c>
      <c r="D15" s="21">
        <v>-27.7</v>
      </c>
      <c r="E15" s="21">
        <v>5.1</v>
      </c>
      <c r="F15" s="21">
        <v>0.4</v>
      </c>
      <c r="G15" s="21">
        <v>-17.2</v>
      </c>
      <c r="H15" s="21">
        <v>-3.4</v>
      </c>
      <c r="I15" s="21">
        <v>18.8</v>
      </c>
      <c r="J15" s="21">
        <v>23.9</v>
      </c>
      <c r="K15" s="21">
        <v>29.1</v>
      </c>
      <c r="L15" s="21">
        <v>23.7</v>
      </c>
      <c r="M15" s="21">
        <v>16.7</v>
      </c>
      <c r="N15" s="22">
        <v>8.8</v>
      </c>
    </row>
    <row r="16" spans="1:14" ht="12.75">
      <c r="A16" s="12" t="s">
        <v>4</v>
      </c>
      <c r="B16" s="28" t="s">
        <v>18</v>
      </c>
      <c r="C16" s="10">
        <v>-22.7</v>
      </c>
      <c r="D16" s="10">
        <v>26.8</v>
      </c>
      <c r="E16" s="10">
        <v>9.7</v>
      </c>
      <c r="F16" s="10">
        <v>-42.5</v>
      </c>
      <c r="G16" s="10">
        <v>-33.4</v>
      </c>
      <c r="H16" s="10">
        <v>-69.7</v>
      </c>
      <c r="I16" s="10">
        <v>-24.8</v>
      </c>
      <c r="J16" s="10">
        <v>-1.6</v>
      </c>
      <c r="K16" s="10">
        <v>-10.1</v>
      </c>
      <c r="L16" s="10">
        <v>-5.6</v>
      </c>
      <c r="M16" s="10">
        <v>-1.3</v>
      </c>
      <c r="N16" s="11">
        <v>2.7</v>
      </c>
    </row>
    <row r="17" spans="1:14" ht="12.75">
      <c r="A17" s="16" t="s">
        <v>196</v>
      </c>
      <c r="B17" s="28" t="s">
        <v>18</v>
      </c>
      <c r="C17" s="10">
        <v>277.4</v>
      </c>
      <c r="D17" s="10">
        <v>316.8</v>
      </c>
      <c r="E17" s="10">
        <v>326.4</v>
      </c>
      <c r="F17" s="10">
        <v>328.6</v>
      </c>
      <c r="G17" s="10">
        <v>386.3</v>
      </c>
      <c r="H17" s="10">
        <v>433.3</v>
      </c>
      <c r="I17" s="10">
        <v>448</v>
      </c>
      <c r="J17" s="10">
        <v>519.2</v>
      </c>
      <c r="K17" s="10">
        <v>568.5</v>
      </c>
      <c r="L17" s="10">
        <v>608.7</v>
      </c>
      <c r="M17" s="10">
        <v>648</v>
      </c>
      <c r="N17" s="11">
        <v>687.1</v>
      </c>
    </row>
    <row r="18" spans="1:14" ht="12.75">
      <c r="A18" s="12"/>
      <c r="B18" s="28" t="s">
        <v>19</v>
      </c>
      <c r="C18" s="13" t="s">
        <v>15</v>
      </c>
      <c r="D18" s="14">
        <f>D17/C17*100</f>
        <v>114.20331651045423</v>
      </c>
      <c r="E18" s="14">
        <f aca="true" t="shared" si="3" ref="E18:N18">E17/D17*100</f>
        <v>103.03030303030303</v>
      </c>
      <c r="F18" s="14">
        <f t="shared" si="3"/>
        <v>100.67401960784315</v>
      </c>
      <c r="G18" s="14">
        <f t="shared" si="3"/>
        <v>117.55934266585516</v>
      </c>
      <c r="H18" s="14">
        <f t="shared" si="3"/>
        <v>112.1667098110277</v>
      </c>
      <c r="I18" s="14">
        <f t="shared" si="3"/>
        <v>103.39256865912762</v>
      </c>
      <c r="J18" s="14">
        <f t="shared" si="3"/>
        <v>115.89285714285715</v>
      </c>
      <c r="K18" s="14">
        <f t="shared" si="3"/>
        <v>109.49537750385207</v>
      </c>
      <c r="L18" s="14">
        <f t="shared" si="3"/>
        <v>107.0712401055409</v>
      </c>
      <c r="M18" s="14">
        <f t="shared" si="3"/>
        <v>106.45638245441103</v>
      </c>
      <c r="N18" s="15">
        <f t="shared" si="3"/>
        <v>106.03395061728395</v>
      </c>
    </row>
    <row r="19" spans="1:14" ht="12.75">
      <c r="A19" s="16" t="s">
        <v>197</v>
      </c>
      <c r="B19" s="28" t="s">
        <v>18</v>
      </c>
      <c r="C19" s="10">
        <v>300.1</v>
      </c>
      <c r="D19" s="10">
        <v>290</v>
      </c>
      <c r="E19" s="10">
        <v>316.7</v>
      </c>
      <c r="F19" s="10">
        <v>371.1</v>
      </c>
      <c r="G19" s="10">
        <v>419.7</v>
      </c>
      <c r="H19" s="10">
        <v>503</v>
      </c>
      <c r="I19" s="10">
        <v>472.8</v>
      </c>
      <c r="J19" s="10">
        <v>520.8</v>
      </c>
      <c r="K19" s="10">
        <v>578.6</v>
      </c>
      <c r="L19" s="10">
        <v>614.3</v>
      </c>
      <c r="M19" s="10">
        <v>649.3</v>
      </c>
      <c r="N19" s="11">
        <v>684.4</v>
      </c>
    </row>
    <row r="20" spans="1:14" ht="12.75">
      <c r="A20" s="29"/>
      <c r="B20" s="27" t="s">
        <v>19</v>
      </c>
      <c r="C20" s="30" t="s">
        <v>15</v>
      </c>
      <c r="D20" s="31">
        <f>D19/C19*100</f>
        <v>96.63445518160613</v>
      </c>
      <c r="E20" s="31">
        <f aca="true" t="shared" si="4" ref="E20:N20">E19/D19*100</f>
        <v>109.20689655172413</v>
      </c>
      <c r="F20" s="31">
        <f t="shared" si="4"/>
        <v>117.17713924850017</v>
      </c>
      <c r="G20" s="31">
        <f t="shared" si="4"/>
        <v>113.09620048504445</v>
      </c>
      <c r="H20" s="31">
        <f t="shared" si="4"/>
        <v>119.84751012628068</v>
      </c>
      <c r="I20" s="31">
        <f t="shared" si="4"/>
        <v>93.99602385685884</v>
      </c>
      <c r="J20" s="31">
        <f t="shared" si="4"/>
        <v>110.15228426395937</v>
      </c>
      <c r="K20" s="31">
        <f t="shared" si="4"/>
        <v>111.09831029185871</v>
      </c>
      <c r="L20" s="31">
        <f t="shared" si="4"/>
        <v>106.17006567576908</v>
      </c>
      <c r="M20" s="31">
        <f t="shared" si="4"/>
        <v>105.69754191762983</v>
      </c>
      <c r="N20" s="32">
        <f t="shared" si="4"/>
        <v>105.40582165408902</v>
      </c>
    </row>
    <row r="21" spans="1:14" ht="15.75">
      <c r="A21" s="9" t="s">
        <v>11</v>
      </c>
      <c r="B21" s="28" t="s">
        <v>18</v>
      </c>
      <c r="C21" s="10">
        <v>510.3</v>
      </c>
      <c r="D21" s="10">
        <v>484.8</v>
      </c>
      <c r="E21" s="10">
        <v>536.3</v>
      </c>
      <c r="F21" s="10">
        <v>622.4</v>
      </c>
      <c r="G21" s="10">
        <v>649.3</v>
      </c>
      <c r="H21" s="10">
        <v>710.8</v>
      </c>
      <c r="I21" s="10">
        <v>678.1</v>
      </c>
      <c r="J21" s="10">
        <v>669.3</v>
      </c>
      <c r="K21" s="10">
        <v>697.5</v>
      </c>
      <c r="L21" s="10">
        <v>717.7</v>
      </c>
      <c r="M21" s="10">
        <v>742.4</v>
      </c>
      <c r="N21" s="11">
        <v>773.3</v>
      </c>
    </row>
    <row r="22" spans="1:14" ht="12.75">
      <c r="A22" s="29"/>
      <c r="B22" s="27" t="s">
        <v>19</v>
      </c>
      <c r="C22" s="30" t="s">
        <v>15</v>
      </c>
      <c r="D22" s="31">
        <f>D21/C21*100</f>
        <v>95.0029394473839</v>
      </c>
      <c r="E22" s="31">
        <f aca="true" t="shared" si="5" ref="E22:N22">E21/D21*100</f>
        <v>110.62293729372936</v>
      </c>
      <c r="F22" s="31">
        <f t="shared" si="5"/>
        <v>116.05444713779602</v>
      </c>
      <c r="G22" s="31">
        <f t="shared" si="5"/>
        <v>104.3219794344473</v>
      </c>
      <c r="H22" s="31">
        <f t="shared" si="5"/>
        <v>109.47173879562607</v>
      </c>
      <c r="I22" s="31">
        <f t="shared" si="5"/>
        <v>95.39954980303884</v>
      </c>
      <c r="J22" s="31">
        <f t="shared" si="5"/>
        <v>98.70225630437987</v>
      </c>
      <c r="K22" s="31">
        <f t="shared" si="5"/>
        <v>104.21335723890633</v>
      </c>
      <c r="L22" s="31">
        <f t="shared" si="5"/>
        <v>102.89605734767026</v>
      </c>
      <c r="M22" s="31">
        <f t="shared" si="5"/>
        <v>103.44154939389716</v>
      </c>
      <c r="N22" s="32">
        <f t="shared" si="5"/>
        <v>104.16217672413792</v>
      </c>
    </row>
    <row r="23" spans="1:14" ht="15.75">
      <c r="A23" s="9" t="s">
        <v>5</v>
      </c>
      <c r="B23" s="28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5"/>
    </row>
    <row r="24" spans="1:14" ht="12.75">
      <c r="A24" s="16" t="s">
        <v>198</v>
      </c>
      <c r="B24" s="28" t="s">
        <v>25</v>
      </c>
      <c r="C24" s="17" t="s">
        <v>15</v>
      </c>
      <c r="D24" s="10">
        <f aca="true" t="shared" si="6" ref="D24:N24">(D21-C21)/C5*100</f>
        <v>-5.229696472518457</v>
      </c>
      <c r="E24" s="10">
        <f t="shared" si="6"/>
        <v>10.06645817044565</v>
      </c>
      <c r="F24" s="10">
        <f t="shared" si="6"/>
        <v>15.769230769230774</v>
      </c>
      <c r="G24" s="10">
        <f t="shared" si="6"/>
        <v>4.638730815657868</v>
      </c>
      <c r="H24" s="10">
        <f t="shared" si="6"/>
        <v>9.985387238188018</v>
      </c>
      <c r="I24" s="10">
        <f t="shared" si="6"/>
        <v>-5.100608329433775</v>
      </c>
      <c r="J24" s="10">
        <f t="shared" si="6"/>
        <v>-1.3470075003826831</v>
      </c>
      <c r="K24" s="10">
        <f t="shared" si="6"/>
        <v>4.223453646847393</v>
      </c>
      <c r="L24" s="10">
        <f t="shared" si="6"/>
        <v>2.93860925225488</v>
      </c>
      <c r="M24" s="10">
        <f t="shared" si="6"/>
        <v>3.4686139587136537</v>
      </c>
      <c r="N24" s="11">
        <f t="shared" si="6"/>
        <v>4.169477803265413</v>
      </c>
    </row>
    <row r="25" spans="1:14" ht="12.75">
      <c r="A25" s="16" t="s">
        <v>199</v>
      </c>
      <c r="B25" s="28" t="s">
        <v>25</v>
      </c>
      <c r="C25" s="17" t="s">
        <v>15</v>
      </c>
      <c r="D25" s="10">
        <f aca="true" t="shared" si="7" ref="D25:N25">(D7+D9-C7-C9)/C5*100</f>
        <v>-2.17391304347826</v>
      </c>
      <c r="E25" s="10">
        <f t="shared" si="7"/>
        <v>2.2283033620015593</v>
      </c>
      <c r="F25" s="10">
        <f t="shared" si="7"/>
        <v>8.186813186813183</v>
      </c>
      <c r="G25" s="10">
        <f t="shared" si="7"/>
        <v>3.742024486980512</v>
      </c>
      <c r="H25" s="10">
        <f t="shared" si="7"/>
        <v>3.896736483195324</v>
      </c>
      <c r="I25" s="10">
        <f t="shared" si="7"/>
        <v>-1.6066136328185903</v>
      </c>
      <c r="J25" s="10">
        <f t="shared" si="7"/>
        <v>-1.9286698300933758</v>
      </c>
      <c r="K25" s="10">
        <f t="shared" si="7"/>
        <v>1.73730717388048</v>
      </c>
      <c r="L25" s="10">
        <f t="shared" si="7"/>
        <v>2.0512074483561364</v>
      </c>
      <c r="M25" s="10">
        <f t="shared" si="7"/>
        <v>2.696250526611433</v>
      </c>
      <c r="N25" s="11">
        <f t="shared" si="7"/>
        <v>3.3193900958035307</v>
      </c>
    </row>
    <row r="26" spans="1:14" ht="12.75">
      <c r="A26" s="16" t="s">
        <v>200</v>
      </c>
      <c r="B26" s="28" t="s">
        <v>25</v>
      </c>
      <c r="C26" s="17" t="s">
        <v>15</v>
      </c>
      <c r="D26" s="10">
        <f aca="true" t="shared" si="8" ref="D26:N26">(D11-C11)/C5*100</f>
        <v>-3.0557834290401953</v>
      </c>
      <c r="E26" s="10">
        <f t="shared" si="8"/>
        <v>7.838154808444098</v>
      </c>
      <c r="F26" s="10">
        <f t="shared" si="8"/>
        <v>7.582417582417578</v>
      </c>
      <c r="G26" s="10">
        <f t="shared" si="8"/>
        <v>0.8967063286773611</v>
      </c>
      <c r="H26" s="10">
        <f t="shared" si="8"/>
        <v>6.088650754992694</v>
      </c>
      <c r="I26" s="10">
        <f t="shared" si="8"/>
        <v>-3.493994696615194</v>
      </c>
      <c r="J26" s="10">
        <f t="shared" si="8"/>
        <v>0.5816623297107013</v>
      </c>
      <c r="K26" s="10">
        <f t="shared" si="8"/>
        <v>2.4861464729669</v>
      </c>
      <c r="L26" s="10">
        <f t="shared" si="8"/>
        <v>0.8874018038987481</v>
      </c>
      <c r="M26" s="10">
        <f t="shared" si="8"/>
        <v>0.7583204606094658</v>
      </c>
      <c r="N26" s="11">
        <f t="shared" si="8"/>
        <v>0.8635811631358798</v>
      </c>
    </row>
    <row r="27" spans="1:14" ht="12.75">
      <c r="A27" s="18" t="s">
        <v>201</v>
      </c>
      <c r="B27" s="27" t="s">
        <v>25</v>
      </c>
      <c r="C27" s="20" t="s">
        <v>15</v>
      </c>
      <c r="D27" s="21">
        <f aca="true" t="shared" si="9" ref="D27:N27">(D16-C16)/C5*100</f>
        <v>10.151763740771123</v>
      </c>
      <c r="E27" s="21">
        <f t="shared" si="9"/>
        <v>-3.342455043002346</v>
      </c>
      <c r="F27" s="21">
        <f t="shared" si="9"/>
        <v>-9.560439560439562</v>
      </c>
      <c r="G27" s="21">
        <f t="shared" si="9"/>
        <v>1.5692360751853773</v>
      </c>
      <c r="H27" s="21">
        <f t="shared" si="9"/>
        <v>-5.893813930832929</v>
      </c>
      <c r="I27" s="21">
        <f t="shared" si="9"/>
        <v>7.003587583840274</v>
      </c>
      <c r="J27" s="21">
        <f t="shared" si="9"/>
        <v>3.5512015919179554</v>
      </c>
      <c r="K27" s="21">
        <f t="shared" si="9"/>
        <v>-1.2730268084469072</v>
      </c>
      <c r="L27" s="21">
        <f t="shared" si="9"/>
        <v>0.6546406750072737</v>
      </c>
      <c r="M27" s="21">
        <f t="shared" si="9"/>
        <v>0.6038477741890184</v>
      </c>
      <c r="N27" s="22">
        <f t="shared" si="9"/>
        <v>0.5397382269599243</v>
      </c>
    </row>
    <row r="28" spans="3:14" ht="12.7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>
      <c r="A29" s="4" t="s">
        <v>13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.75">
      <c r="A30" s="4" t="s">
        <v>14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3:14" ht="12.7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4" ht="15.75">
      <c r="A34" s="1" t="s">
        <v>20</v>
      </c>
    </row>
    <row r="36" spans="1:14" ht="12.75">
      <c r="A36" s="5"/>
      <c r="B36" s="26" t="s">
        <v>8</v>
      </c>
      <c r="C36" s="6">
        <v>1993</v>
      </c>
      <c r="D36" s="6">
        <v>1994</v>
      </c>
      <c r="E36" s="6">
        <v>1995</v>
      </c>
      <c r="F36" s="6">
        <v>1996</v>
      </c>
      <c r="G36" s="6">
        <v>1997</v>
      </c>
      <c r="H36" s="6">
        <v>1998</v>
      </c>
      <c r="I36" s="6">
        <v>1999</v>
      </c>
      <c r="J36" s="6">
        <v>2000</v>
      </c>
      <c r="K36" s="6">
        <v>2001</v>
      </c>
      <c r="L36" s="6">
        <v>2002</v>
      </c>
      <c r="M36" s="6">
        <v>2003</v>
      </c>
      <c r="N36" s="7">
        <v>2004</v>
      </c>
    </row>
    <row r="37" spans="1:14" ht="12.75">
      <c r="A37" s="23"/>
      <c r="B37" s="27"/>
      <c r="C37" s="24"/>
      <c r="D37" s="24"/>
      <c r="E37" s="24"/>
      <c r="F37" s="24"/>
      <c r="G37" s="24"/>
      <c r="H37" s="24"/>
      <c r="I37" s="24"/>
      <c r="J37" s="24"/>
      <c r="K37" s="19" t="s">
        <v>10</v>
      </c>
      <c r="L37" s="19" t="s">
        <v>10</v>
      </c>
      <c r="M37" s="19" t="s">
        <v>10</v>
      </c>
      <c r="N37" s="25" t="s">
        <v>10</v>
      </c>
    </row>
    <row r="38" spans="1:14" ht="15.75">
      <c r="A38" s="9" t="s">
        <v>1</v>
      </c>
      <c r="B38" s="28" t="s">
        <v>6</v>
      </c>
      <c r="C38" s="10">
        <v>390.6</v>
      </c>
      <c r="D38" s="10">
        <v>466.2</v>
      </c>
      <c r="E38" s="10">
        <v>546</v>
      </c>
      <c r="F38" s="10">
        <v>606.1</v>
      </c>
      <c r="G38" s="10">
        <v>686.1</v>
      </c>
      <c r="H38" s="10">
        <v>750.8</v>
      </c>
      <c r="I38" s="10">
        <v>815.3</v>
      </c>
      <c r="J38" s="10">
        <v>887.2</v>
      </c>
      <c r="K38" s="10">
        <v>972.2</v>
      </c>
      <c r="L38" s="10">
        <v>1061.7</v>
      </c>
      <c r="M38" s="10">
        <v>1162.6</v>
      </c>
      <c r="N38" s="11">
        <v>1276.3</v>
      </c>
    </row>
    <row r="39" spans="1:14" ht="12.75">
      <c r="A39" s="29"/>
      <c r="B39" s="27" t="s">
        <v>21</v>
      </c>
      <c r="C39" s="33" t="s">
        <v>15</v>
      </c>
      <c r="D39" s="31">
        <f>D38/C38*100</f>
        <v>119.35483870967741</v>
      </c>
      <c r="E39" s="31">
        <f aca="true" t="shared" si="10" ref="E39:N39">E38/D38*100</f>
        <v>117.11711711711712</v>
      </c>
      <c r="F39" s="31">
        <f t="shared" si="10"/>
        <v>111.00732600732601</v>
      </c>
      <c r="G39" s="31">
        <f t="shared" si="10"/>
        <v>113.19914205576637</v>
      </c>
      <c r="H39" s="31">
        <f t="shared" si="10"/>
        <v>109.4301122285381</v>
      </c>
      <c r="I39" s="31">
        <f t="shared" si="10"/>
        <v>108.59083644112945</v>
      </c>
      <c r="J39" s="31">
        <f t="shared" si="10"/>
        <v>108.81883969091133</v>
      </c>
      <c r="K39" s="31">
        <f t="shared" si="10"/>
        <v>109.58070333633904</v>
      </c>
      <c r="L39" s="31">
        <f t="shared" si="10"/>
        <v>109.20592470685044</v>
      </c>
      <c r="M39" s="31">
        <f t="shared" si="10"/>
        <v>109.50362625977206</v>
      </c>
      <c r="N39" s="32">
        <f t="shared" si="10"/>
        <v>109.77980388783762</v>
      </c>
    </row>
    <row r="40" spans="1:14" ht="12.75">
      <c r="A40" s="12" t="s">
        <v>9</v>
      </c>
      <c r="B40" s="28" t="s">
        <v>6</v>
      </c>
      <c r="C40" s="10">
        <v>215.8</v>
      </c>
      <c r="D40" s="10">
        <v>246.5</v>
      </c>
      <c r="E40" s="10">
        <v>280.8</v>
      </c>
      <c r="F40" s="10">
        <v>319</v>
      </c>
      <c r="G40" s="10">
        <v>356.6</v>
      </c>
      <c r="H40" s="10">
        <v>400.4</v>
      </c>
      <c r="I40" s="10">
        <v>440.4</v>
      </c>
      <c r="J40" s="10">
        <v>473.6</v>
      </c>
      <c r="K40" s="10">
        <v>521</v>
      </c>
      <c r="L40" s="10">
        <v>573.5</v>
      </c>
      <c r="M40" s="10">
        <v>628.3</v>
      </c>
      <c r="N40" s="11">
        <v>687.9</v>
      </c>
    </row>
    <row r="41" spans="1:14" ht="12.75">
      <c r="A41" s="12"/>
      <c r="B41" s="28" t="s">
        <v>21</v>
      </c>
      <c r="C41" s="14" t="s">
        <v>15</v>
      </c>
      <c r="D41" s="14">
        <f aca="true" t="shared" si="11" ref="D41:N41">D40/C40*100</f>
        <v>114.22613531047266</v>
      </c>
      <c r="E41" s="14">
        <f t="shared" si="11"/>
        <v>113.91480730223125</v>
      </c>
      <c r="F41" s="14">
        <f t="shared" si="11"/>
        <v>113.6039886039886</v>
      </c>
      <c r="G41" s="14">
        <f t="shared" si="11"/>
        <v>111.78683385579937</v>
      </c>
      <c r="H41" s="14">
        <f t="shared" si="11"/>
        <v>112.28266965787996</v>
      </c>
      <c r="I41" s="14">
        <f t="shared" si="11"/>
        <v>109.99000999000998</v>
      </c>
      <c r="J41" s="14">
        <f t="shared" si="11"/>
        <v>107.53860127157131</v>
      </c>
      <c r="K41" s="14">
        <f t="shared" si="11"/>
        <v>110.00844594594594</v>
      </c>
      <c r="L41" s="14">
        <f t="shared" si="11"/>
        <v>110.0767754318618</v>
      </c>
      <c r="M41" s="14">
        <f t="shared" si="11"/>
        <v>109.55536181342632</v>
      </c>
      <c r="N41" s="15">
        <f t="shared" si="11"/>
        <v>109.48591437211523</v>
      </c>
    </row>
    <row r="42" spans="1:14" ht="12.75">
      <c r="A42" s="12" t="s">
        <v>2</v>
      </c>
      <c r="B42" s="28" t="s">
        <v>6</v>
      </c>
      <c r="C42" s="10">
        <v>91.6</v>
      </c>
      <c r="D42" s="10">
        <v>93.1</v>
      </c>
      <c r="E42" s="10">
        <v>106.2</v>
      </c>
      <c r="F42" s="10">
        <v>132.1</v>
      </c>
      <c r="G42" s="10">
        <v>145.7</v>
      </c>
      <c r="H42" s="10">
        <v>161.4</v>
      </c>
      <c r="I42" s="10">
        <v>158.7</v>
      </c>
      <c r="J42" s="10">
        <v>168.7</v>
      </c>
      <c r="K42" s="10">
        <v>181.5</v>
      </c>
      <c r="L42" s="10">
        <v>194.7</v>
      </c>
      <c r="M42" s="10">
        <v>208.3</v>
      </c>
      <c r="N42" s="11">
        <v>222.8</v>
      </c>
    </row>
    <row r="43" spans="1:14" ht="12.75">
      <c r="A43" s="29"/>
      <c r="B43" s="27" t="s">
        <v>21</v>
      </c>
      <c r="C43" s="33" t="s">
        <v>15</v>
      </c>
      <c r="D43" s="31">
        <v>101.6</v>
      </c>
      <c r="E43" s="31">
        <v>114.1</v>
      </c>
      <c r="F43" s="31">
        <v>124.4</v>
      </c>
      <c r="G43" s="31">
        <v>110.3</v>
      </c>
      <c r="H43" s="31">
        <v>110.8</v>
      </c>
      <c r="I43" s="31">
        <v>98.3</v>
      </c>
      <c r="J43" s="31">
        <v>106.3</v>
      </c>
      <c r="K43" s="31">
        <v>107.6</v>
      </c>
      <c r="L43" s="31">
        <v>107.3</v>
      </c>
      <c r="M43" s="31">
        <v>107</v>
      </c>
      <c r="N43" s="32">
        <v>106.9</v>
      </c>
    </row>
    <row r="44" spans="1:14" ht="12.75">
      <c r="A44" s="12" t="s">
        <v>3</v>
      </c>
      <c r="B44" s="28" t="s">
        <v>22</v>
      </c>
      <c r="C44" s="10">
        <v>103.6</v>
      </c>
      <c r="D44" s="10">
        <v>104.2</v>
      </c>
      <c r="E44" s="10">
        <v>149.3</v>
      </c>
      <c r="F44" s="10">
        <v>225.1</v>
      </c>
      <c r="G44" s="10">
        <v>251.2</v>
      </c>
      <c r="H44" s="10">
        <v>271.3</v>
      </c>
      <c r="I44" s="10">
        <v>259.8</v>
      </c>
      <c r="J44" s="10">
        <v>267</v>
      </c>
      <c r="K44" s="10">
        <v>319.2</v>
      </c>
      <c r="L44" s="10">
        <v>343.9</v>
      </c>
      <c r="M44" s="10">
        <v>384.4</v>
      </c>
      <c r="N44" s="11">
        <v>430.9</v>
      </c>
    </row>
    <row r="45" spans="1:14" ht="12.75">
      <c r="A45" s="12"/>
      <c r="B45" s="28" t="s">
        <v>21</v>
      </c>
      <c r="C45" s="14" t="s">
        <v>15</v>
      </c>
      <c r="D45" s="14">
        <f>D44/C44*100</f>
        <v>100.57915057915059</v>
      </c>
      <c r="E45" s="14">
        <f aca="true" t="shared" si="12" ref="E45:N45">E44/D44*100</f>
        <v>143.28214971209215</v>
      </c>
      <c r="F45" s="14">
        <f t="shared" si="12"/>
        <v>150.77026121902207</v>
      </c>
      <c r="G45" s="14">
        <f t="shared" si="12"/>
        <v>111.59484673478455</v>
      </c>
      <c r="H45" s="14">
        <f t="shared" si="12"/>
        <v>108.00159235668791</v>
      </c>
      <c r="I45" s="14">
        <f t="shared" si="12"/>
        <v>95.76115001842979</v>
      </c>
      <c r="J45" s="14">
        <f t="shared" si="12"/>
        <v>102.77136258660508</v>
      </c>
      <c r="K45" s="14">
        <f t="shared" si="12"/>
        <v>119.5505617977528</v>
      </c>
      <c r="L45" s="14">
        <f t="shared" si="12"/>
        <v>107.73809523809523</v>
      </c>
      <c r="M45" s="14">
        <f t="shared" si="12"/>
        <v>111.77667926722886</v>
      </c>
      <c r="N45" s="15">
        <f t="shared" si="12"/>
        <v>112.0967741935484</v>
      </c>
    </row>
    <row r="46" spans="1:14" ht="12.75">
      <c r="A46" s="16" t="s">
        <v>65</v>
      </c>
      <c r="B46" s="28" t="s">
        <v>6</v>
      </c>
      <c r="C46" s="10">
        <v>123.4</v>
      </c>
      <c r="D46" s="10">
        <v>131.8</v>
      </c>
      <c r="E46" s="10">
        <v>144.2</v>
      </c>
      <c r="F46" s="10">
        <v>207.5</v>
      </c>
      <c r="G46" s="10">
        <v>246.5</v>
      </c>
      <c r="H46" s="10">
        <v>285.3</v>
      </c>
      <c r="I46" s="10">
        <v>251</v>
      </c>
      <c r="J46" s="10">
        <v>265.9</v>
      </c>
      <c r="K46" s="10">
        <v>303.5</v>
      </c>
      <c r="L46" s="10">
        <v>340.26</v>
      </c>
      <c r="M46" s="10">
        <v>385.1</v>
      </c>
      <c r="N46" s="11">
        <v>441.7</v>
      </c>
    </row>
    <row r="47" spans="1:14" ht="12.75">
      <c r="A47" s="12"/>
      <c r="B47" s="28" t="s">
        <v>21</v>
      </c>
      <c r="C47" s="14" t="s">
        <v>15</v>
      </c>
      <c r="D47" s="14">
        <f>D46/C46*100</f>
        <v>106.80713128038899</v>
      </c>
      <c r="E47" s="14">
        <f aca="true" t="shared" si="13" ref="E47:N47">E46/D46*100</f>
        <v>109.4081942336874</v>
      </c>
      <c r="F47" s="14">
        <f t="shared" si="13"/>
        <v>143.8973647711512</v>
      </c>
      <c r="G47" s="14">
        <f t="shared" si="13"/>
        <v>118.79518072289157</v>
      </c>
      <c r="H47" s="14">
        <f t="shared" si="13"/>
        <v>115.74036511156187</v>
      </c>
      <c r="I47" s="14">
        <f t="shared" si="13"/>
        <v>87.9775674728356</v>
      </c>
      <c r="J47" s="14">
        <f t="shared" si="13"/>
        <v>105.93625498007968</v>
      </c>
      <c r="K47" s="14">
        <f t="shared" si="13"/>
        <v>114.14065438134638</v>
      </c>
      <c r="L47" s="14">
        <f t="shared" si="13"/>
        <v>112.11202635914333</v>
      </c>
      <c r="M47" s="14">
        <f t="shared" si="13"/>
        <v>113.17815787926881</v>
      </c>
      <c r="N47" s="15">
        <f t="shared" si="13"/>
        <v>114.69748117372109</v>
      </c>
    </row>
    <row r="48" spans="1:14" ht="12.75">
      <c r="A48" s="18" t="s">
        <v>56</v>
      </c>
      <c r="B48" s="27" t="s">
        <v>6</v>
      </c>
      <c r="C48" s="21">
        <v>-19.8</v>
      </c>
      <c r="D48" s="21">
        <v>-27.6</v>
      </c>
      <c r="E48" s="21">
        <v>5.1</v>
      </c>
      <c r="F48" s="21">
        <v>17.6</v>
      </c>
      <c r="G48" s="21">
        <v>4.7</v>
      </c>
      <c r="H48" s="21">
        <v>-14</v>
      </c>
      <c r="I48" s="21">
        <v>8.8</v>
      </c>
      <c r="J48" s="21">
        <v>1.1</v>
      </c>
      <c r="K48" s="21">
        <v>15.7</v>
      </c>
      <c r="L48" s="21">
        <v>3.6</v>
      </c>
      <c r="M48" s="21">
        <v>-0.7</v>
      </c>
      <c r="N48" s="22">
        <v>-10.8</v>
      </c>
    </row>
    <row r="49" spans="1:14" ht="12.75">
      <c r="A49" s="12" t="s">
        <v>4</v>
      </c>
      <c r="B49" s="28" t="s">
        <v>6</v>
      </c>
      <c r="C49" s="10">
        <v>-20.4</v>
      </c>
      <c r="D49" s="10">
        <v>22.4</v>
      </c>
      <c r="E49" s="10">
        <v>9.7</v>
      </c>
      <c r="F49" s="10">
        <v>-70.1</v>
      </c>
      <c r="G49" s="10">
        <v>-67.4</v>
      </c>
      <c r="H49" s="10">
        <v>-82.3</v>
      </c>
      <c r="I49" s="10">
        <v>-43.6</v>
      </c>
      <c r="J49" s="10">
        <v>-22.1</v>
      </c>
      <c r="K49" s="10">
        <v>-49.5</v>
      </c>
      <c r="L49" s="10">
        <v>-50.4</v>
      </c>
      <c r="M49" s="10">
        <v>-58.4</v>
      </c>
      <c r="N49" s="11">
        <v>-65.3</v>
      </c>
    </row>
    <row r="50" spans="1:14" ht="12.75">
      <c r="A50" s="16" t="s">
        <v>16</v>
      </c>
      <c r="B50" s="28" t="s">
        <v>6</v>
      </c>
      <c r="C50" s="10">
        <v>228.3</v>
      </c>
      <c r="D50" s="10">
        <v>287.3</v>
      </c>
      <c r="E50" s="10">
        <v>326.4</v>
      </c>
      <c r="F50" s="10">
        <v>334.7</v>
      </c>
      <c r="G50" s="10">
        <v>397.8</v>
      </c>
      <c r="H50" s="10">
        <v>459.5</v>
      </c>
      <c r="I50" s="10">
        <v>501.7</v>
      </c>
      <c r="J50" s="10">
        <v>652.4</v>
      </c>
      <c r="K50" s="10">
        <v>751.3</v>
      </c>
      <c r="L50" s="10">
        <v>839.5</v>
      </c>
      <c r="M50" s="10">
        <v>932.3</v>
      </c>
      <c r="N50" s="11">
        <v>1031.3</v>
      </c>
    </row>
    <row r="51" spans="1:14" ht="12.75">
      <c r="A51" s="12"/>
      <c r="B51" s="28" t="s">
        <v>21</v>
      </c>
      <c r="C51" s="14" t="s">
        <v>15</v>
      </c>
      <c r="D51" s="14">
        <v>125.8</v>
      </c>
      <c r="E51" s="14">
        <v>113.6</v>
      </c>
      <c r="F51" s="14">
        <v>102.5</v>
      </c>
      <c r="G51" s="14">
        <v>118.9</v>
      </c>
      <c r="H51" s="14">
        <v>115.5</v>
      </c>
      <c r="I51" s="14">
        <v>109.2</v>
      </c>
      <c r="J51" s="14">
        <v>130</v>
      </c>
      <c r="K51" s="14">
        <v>115.2</v>
      </c>
      <c r="L51" s="14">
        <v>111.7</v>
      </c>
      <c r="M51" s="14">
        <v>111.1</v>
      </c>
      <c r="N51" s="15">
        <v>110.6</v>
      </c>
    </row>
    <row r="52" spans="1:14" ht="12.75">
      <c r="A52" s="16" t="s">
        <v>17</v>
      </c>
      <c r="B52" s="28" t="s">
        <v>6</v>
      </c>
      <c r="C52" s="10">
        <v>248.7</v>
      </c>
      <c r="D52" s="10">
        <v>264.9</v>
      </c>
      <c r="E52" s="10">
        <v>316.7</v>
      </c>
      <c r="F52" s="10">
        <v>404.8</v>
      </c>
      <c r="G52" s="10">
        <v>465.2</v>
      </c>
      <c r="H52" s="10">
        <v>541.8</v>
      </c>
      <c r="I52" s="10">
        <v>545.3</v>
      </c>
      <c r="J52" s="10">
        <v>674.5</v>
      </c>
      <c r="K52" s="10">
        <v>800.8</v>
      </c>
      <c r="L52" s="10">
        <v>889.9</v>
      </c>
      <c r="M52" s="10">
        <v>990.7</v>
      </c>
      <c r="N52" s="11">
        <v>1096.6</v>
      </c>
    </row>
    <row r="53" spans="1:14" ht="12.75">
      <c r="A53" s="29"/>
      <c r="B53" s="27" t="s">
        <v>21</v>
      </c>
      <c r="C53" s="30" t="s">
        <v>15</v>
      </c>
      <c r="D53" s="31">
        <v>106.5</v>
      </c>
      <c r="E53" s="31">
        <v>119.6</v>
      </c>
      <c r="F53" s="31">
        <v>127.8</v>
      </c>
      <c r="G53" s="31">
        <v>114.9</v>
      </c>
      <c r="H53" s="31">
        <v>116.5</v>
      </c>
      <c r="I53" s="31">
        <v>100.6</v>
      </c>
      <c r="J53" s="31">
        <v>123.7</v>
      </c>
      <c r="K53" s="31">
        <v>118.7</v>
      </c>
      <c r="L53" s="31">
        <v>111.1</v>
      </c>
      <c r="M53" s="31">
        <v>111.3</v>
      </c>
      <c r="N53" s="32">
        <v>110.7</v>
      </c>
    </row>
    <row r="54" spans="1:14" ht="15.75">
      <c r="A54" s="9" t="s">
        <v>11</v>
      </c>
      <c r="B54" s="28" t="s">
        <v>6</v>
      </c>
      <c r="C54" s="10">
        <v>411</v>
      </c>
      <c r="D54" s="10">
        <v>443.8</v>
      </c>
      <c r="E54" s="10">
        <v>536.3</v>
      </c>
      <c r="F54" s="10">
        <v>676.2</v>
      </c>
      <c r="G54" s="10">
        <v>753.5</v>
      </c>
      <c r="H54" s="10">
        <v>833.1</v>
      </c>
      <c r="I54" s="10">
        <v>858.9</v>
      </c>
      <c r="J54" s="10">
        <v>909.3</v>
      </c>
      <c r="K54" s="10">
        <v>1021.7</v>
      </c>
      <c r="L54" s="10">
        <v>1112.1</v>
      </c>
      <c r="M54" s="10">
        <v>1221</v>
      </c>
      <c r="N54" s="11">
        <v>1341.6</v>
      </c>
    </row>
    <row r="55" spans="1:14" ht="12.75">
      <c r="A55" s="29"/>
      <c r="B55" s="27" t="s">
        <v>21</v>
      </c>
      <c r="C55" s="30" t="s">
        <v>15</v>
      </c>
      <c r="D55" s="31">
        <f>D54/C54*100</f>
        <v>107.98053527980535</v>
      </c>
      <c r="E55" s="31">
        <f aca="true" t="shared" si="14" ref="E55:N55">E54/D54*100</f>
        <v>120.84272194682288</v>
      </c>
      <c r="F55" s="31">
        <f t="shared" si="14"/>
        <v>126.08614581391014</v>
      </c>
      <c r="G55" s="31">
        <f t="shared" si="14"/>
        <v>111.43152913339247</v>
      </c>
      <c r="H55" s="31">
        <f t="shared" si="14"/>
        <v>110.56403450564034</v>
      </c>
      <c r="I55" s="31">
        <f t="shared" si="14"/>
        <v>103.09686712279438</v>
      </c>
      <c r="J55" s="31">
        <f t="shared" si="14"/>
        <v>105.86797066014671</v>
      </c>
      <c r="K55" s="31">
        <f t="shared" si="14"/>
        <v>112.3611569339052</v>
      </c>
      <c r="L55" s="31">
        <f t="shared" si="14"/>
        <v>108.84799843398257</v>
      </c>
      <c r="M55" s="31">
        <f t="shared" si="14"/>
        <v>109.79228486646886</v>
      </c>
      <c r="N55" s="32">
        <f t="shared" si="14"/>
        <v>109.87714987714988</v>
      </c>
    </row>
    <row r="56" spans="1:14" ht="15.75">
      <c r="A56" s="9" t="s">
        <v>5</v>
      </c>
      <c r="B56" s="28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5"/>
    </row>
    <row r="57" spans="1:14" ht="12.75">
      <c r="A57" s="16" t="s">
        <v>198</v>
      </c>
      <c r="B57" s="28" t="s">
        <v>25</v>
      </c>
      <c r="C57" s="17" t="s">
        <v>15</v>
      </c>
      <c r="D57" s="10">
        <f aca="true" t="shared" si="15" ref="D57:N57">(D54-C54)/C38*100</f>
        <v>8.397337429595497</v>
      </c>
      <c r="E57" s="10">
        <f t="shared" si="15"/>
        <v>19.841269841269828</v>
      </c>
      <c r="F57" s="10">
        <f t="shared" si="15"/>
        <v>25.62271062271064</v>
      </c>
      <c r="G57" s="10">
        <f t="shared" si="15"/>
        <v>12.753671011384252</v>
      </c>
      <c r="H57" s="10">
        <f t="shared" si="15"/>
        <v>11.601807316717682</v>
      </c>
      <c r="I57" s="10">
        <f t="shared" si="15"/>
        <v>3.4363345764517788</v>
      </c>
      <c r="J57" s="10">
        <f t="shared" si="15"/>
        <v>6.181773580277196</v>
      </c>
      <c r="K57" s="10">
        <f t="shared" si="15"/>
        <v>12.669071235347168</v>
      </c>
      <c r="L57" s="10">
        <f t="shared" si="15"/>
        <v>9.298498251388589</v>
      </c>
      <c r="M57" s="10">
        <f t="shared" si="15"/>
        <v>10.25713478383725</v>
      </c>
      <c r="N57" s="11">
        <f t="shared" si="15"/>
        <v>10.373301221400302</v>
      </c>
    </row>
    <row r="58" spans="1:14" ht="12.75">
      <c r="A58" s="16" t="s">
        <v>199</v>
      </c>
      <c r="B58" s="28" t="s">
        <v>25</v>
      </c>
      <c r="C58" s="17" t="s">
        <v>15</v>
      </c>
      <c r="D58" s="10">
        <f aca="true" t="shared" si="16" ref="D58:N58">(D40+D42-C40-C42)/C38*100</f>
        <v>8.243727598566313</v>
      </c>
      <c r="E58" s="10">
        <f t="shared" si="16"/>
        <v>10.167310167310168</v>
      </c>
      <c r="F58" s="10">
        <f t="shared" si="16"/>
        <v>11.73992673992674</v>
      </c>
      <c r="G58" s="10">
        <f t="shared" si="16"/>
        <v>8.447450915690483</v>
      </c>
      <c r="H58" s="10">
        <f t="shared" si="16"/>
        <v>8.672205217898258</v>
      </c>
      <c r="I58" s="10">
        <f t="shared" si="16"/>
        <v>4.96803409696323</v>
      </c>
      <c r="J58" s="10">
        <f t="shared" si="16"/>
        <v>5.298663068809026</v>
      </c>
      <c r="K58" s="10">
        <f t="shared" si="16"/>
        <v>6.785392245266003</v>
      </c>
      <c r="L58" s="10">
        <f t="shared" si="16"/>
        <v>6.757868751285748</v>
      </c>
      <c r="M58" s="10">
        <f t="shared" si="16"/>
        <v>6.442497880757268</v>
      </c>
      <c r="N58" s="11">
        <f t="shared" si="16"/>
        <v>6.373645277825571</v>
      </c>
    </row>
    <row r="59" spans="1:14" ht="12.75">
      <c r="A59" s="16" t="s">
        <v>200</v>
      </c>
      <c r="B59" s="28" t="s">
        <v>25</v>
      </c>
      <c r="C59" s="17" t="s">
        <v>15</v>
      </c>
      <c r="D59" s="10">
        <f aca="true" t="shared" si="17" ref="D59:N59">(D44-C44)/C38*100</f>
        <v>0.15360983102918804</v>
      </c>
      <c r="E59" s="10">
        <f t="shared" si="17"/>
        <v>9.673959673959676</v>
      </c>
      <c r="F59" s="10">
        <f t="shared" si="17"/>
        <v>13.882783882783881</v>
      </c>
      <c r="G59" s="10">
        <f t="shared" si="17"/>
        <v>4.306220095693779</v>
      </c>
      <c r="H59" s="10">
        <f t="shared" si="17"/>
        <v>2.929602098819417</v>
      </c>
      <c r="I59" s="10">
        <f t="shared" si="17"/>
        <v>-1.5316995205114545</v>
      </c>
      <c r="J59" s="10">
        <f t="shared" si="17"/>
        <v>0.8831105114681699</v>
      </c>
      <c r="K59" s="10">
        <f t="shared" si="17"/>
        <v>5.883678990081152</v>
      </c>
      <c r="L59" s="10">
        <f t="shared" si="17"/>
        <v>2.5406295001028583</v>
      </c>
      <c r="M59" s="10">
        <f t="shared" si="17"/>
        <v>3.814636903079966</v>
      </c>
      <c r="N59" s="11">
        <f t="shared" si="17"/>
        <v>3.9996559435747465</v>
      </c>
    </row>
    <row r="60" spans="1:14" ht="12.75">
      <c r="A60" s="18" t="s">
        <v>201</v>
      </c>
      <c r="B60" s="27" t="s">
        <v>25</v>
      </c>
      <c r="C60" s="20" t="s">
        <v>15</v>
      </c>
      <c r="D60" s="21">
        <f aca="true" t="shared" si="18" ref="D60:N60">(D49-C49)/C38*100</f>
        <v>10.957501280081924</v>
      </c>
      <c r="E60" s="21">
        <f t="shared" si="18"/>
        <v>-2.724152724152724</v>
      </c>
      <c r="F60" s="21">
        <f t="shared" si="18"/>
        <v>-14.615384615384617</v>
      </c>
      <c r="G60" s="21">
        <f t="shared" si="18"/>
        <v>0.4454710443821132</v>
      </c>
      <c r="H60" s="21">
        <f t="shared" si="18"/>
        <v>-2.1716950881795642</v>
      </c>
      <c r="I60" s="21">
        <f t="shared" si="18"/>
        <v>5.154501864677677</v>
      </c>
      <c r="J60" s="21">
        <f t="shared" si="18"/>
        <v>2.637066110634122</v>
      </c>
      <c r="K60" s="21">
        <f t="shared" si="18"/>
        <v>-3.088367899008115</v>
      </c>
      <c r="L60" s="21">
        <f t="shared" si="18"/>
        <v>-0.09257354453816073</v>
      </c>
      <c r="M60" s="21">
        <f t="shared" si="18"/>
        <v>-0.7535085240651784</v>
      </c>
      <c r="N60" s="22">
        <f t="shared" si="18"/>
        <v>-0.5934973335627042</v>
      </c>
    </row>
    <row r="61" spans="3:14" ht="12.75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2.75">
      <c r="A62" s="4" t="s">
        <v>12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</sheetData>
  <printOptions horizontalCentered="1"/>
  <pageMargins left="0.5905511811023623" right="0.5905511811023623" top="0.5905511811023623" bottom="0.5905511811023623" header="0.5118110236220472" footer="0.5118110236220472"/>
  <pageSetup horizontalDpi="180" verticalDpi="180" orientation="landscape" paperSize="9" scale="85" r:id="rId1"/>
  <rowBreaks count="2" manualBreakCount="2">
    <brk id="30" max="255" man="1"/>
    <brk id="62" max="255" man="1"/>
  </rowBreaks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Y1:AK4"/>
  <sheetViews>
    <sheetView workbookViewId="0" topLeftCell="A1">
      <selection activeCell="A1" sqref="A1"/>
    </sheetView>
  </sheetViews>
  <sheetFormatPr defaultColWidth="9.00390625" defaultRowHeight="12.75"/>
  <cols>
    <col min="1" max="24" width="9.125" style="2" customWidth="1"/>
    <col min="25" max="25" width="11.125" style="2" bestFit="1" customWidth="1"/>
    <col min="26" max="16384" width="9.125" style="2" customWidth="1"/>
  </cols>
  <sheetData>
    <row r="1" spans="25:37" ht="12.75">
      <c r="Y1" s="8"/>
      <c r="Z1" s="8"/>
      <c r="AA1" s="34">
        <v>1994</v>
      </c>
      <c r="AB1" s="34">
        <v>1995</v>
      </c>
      <c r="AC1" s="34">
        <v>1996</v>
      </c>
      <c r="AD1" s="34">
        <v>1997</v>
      </c>
      <c r="AE1" s="34">
        <v>1998</v>
      </c>
      <c r="AF1" s="34">
        <v>1999</v>
      </c>
      <c r="AG1" s="34">
        <v>2000</v>
      </c>
      <c r="AH1" s="34">
        <v>2001</v>
      </c>
      <c r="AI1" s="34">
        <v>2002</v>
      </c>
      <c r="AJ1" s="34">
        <v>2003</v>
      </c>
      <c r="AK1" s="34">
        <v>2004</v>
      </c>
    </row>
    <row r="2" spans="25:37" ht="12.75">
      <c r="Y2" s="2" t="s">
        <v>23</v>
      </c>
      <c r="Z2" s="2" t="s">
        <v>7</v>
      </c>
      <c r="AA2" s="2">
        <f>'HDP-tab'!D6</f>
        <v>104.9</v>
      </c>
      <c r="AB2" s="2">
        <f>'HDP-tab'!E6</f>
        <v>106.7</v>
      </c>
      <c r="AC2" s="2">
        <f>'HDP-tab'!F6</f>
        <v>106.2</v>
      </c>
      <c r="AD2" s="2">
        <f>'HDP-tab'!G6</f>
        <v>106.2</v>
      </c>
      <c r="AE2" s="2">
        <f>'HDP-tab'!H6</f>
        <v>104.1</v>
      </c>
      <c r="AF2" s="2">
        <f>'HDP-tab'!I6</f>
        <v>101.9</v>
      </c>
      <c r="AG2" s="2">
        <f>'HDP-tab'!J6</f>
        <v>102.2</v>
      </c>
      <c r="AH2" s="2">
        <f>'HDP-tab'!K6</f>
        <v>103</v>
      </c>
      <c r="AI2" s="2">
        <f>'HDP-tab'!L6</f>
        <v>103.6</v>
      </c>
      <c r="AJ2" s="2">
        <f>'HDP-tab'!M6</f>
        <v>104.1</v>
      </c>
      <c r="AK2" s="2">
        <f>'HDP-tab'!N6</f>
        <v>104.7</v>
      </c>
    </row>
    <row r="3" spans="25:37" ht="12.75">
      <c r="Y3" s="2" t="s">
        <v>23</v>
      </c>
      <c r="Z3" s="2" t="s">
        <v>24</v>
      </c>
      <c r="AA3" s="2">
        <f>AA2-100</f>
        <v>4.900000000000006</v>
      </c>
      <c r="AB3" s="2">
        <f aca="true" t="shared" si="0" ref="AB3:AK3">AB2-100</f>
        <v>6.700000000000003</v>
      </c>
      <c r="AC3" s="2">
        <f t="shared" si="0"/>
        <v>6.200000000000003</v>
      </c>
      <c r="AD3" s="2">
        <f t="shared" si="0"/>
        <v>6.200000000000003</v>
      </c>
      <c r="AE3" s="2">
        <f t="shared" si="0"/>
        <v>4.099999999999994</v>
      </c>
      <c r="AF3" s="2">
        <f t="shared" si="0"/>
        <v>1.9000000000000057</v>
      </c>
      <c r="AG3" s="2">
        <f t="shared" si="0"/>
        <v>2.200000000000003</v>
      </c>
      <c r="AH3" s="2">
        <f t="shared" si="0"/>
        <v>3</v>
      </c>
      <c r="AI3" s="2">
        <f t="shared" si="0"/>
        <v>3.5999999999999943</v>
      </c>
      <c r="AJ3" s="2">
        <f t="shared" si="0"/>
        <v>4.099999999999994</v>
      </c>
      <c r="AK3" s="2">
        <f t="shared" si="0"/>
        <v>4.700000000000003</v>
      </c>
    </row>
    <row r="4" spans="25:37" ht="12.75">
      <c r="Y4" s="2" t="s">
        <v>26</v>
      </c>
      <c r="Z4" s="2" t="s">
        <v>7</v>
      </c>
      <c r="AA4" s="35">
        <f>91.13/80.11*100</f>
        <v>113.75608538259891</v>
      </c>
      <c r="AB4" s="35">
        <f>100/91.13*100</f>
        <v>109.73334796444641</v>
      </c>
      <c r="AC4" s="35">
        <f>104.52/100*100</f>
        <v>104.52</v>
      </c>
      <c r="AD4" s="35">
        <f>111.4/104.52*100</f>
        <v>106.58247225411405</v>
      </c>
      <c r="AE4" s="35">
        <f>117.11/111.4*100</f>
        <v>105.12567324955116</v>
      </c>
      <c r="AF4" s="35">
        <f>124.8/117.11*100</f>
        <v>106.56647596277004</v>
      </c>
      <c r="AG4" s="35">
        <f>132.87/124.8*100</f>
        <v>106.46634615384616</v>
      </c>
      <c r="AH4" s="36">
        <v>106.4</v>
      </c>
      <c r="AI4" s="36">
        <v>105.4</v>
      </c>
      <c r="AJ4" s="36">
        <v>105.2</v>
      </c>
      <c r="AK4" s="36">
        <v>104.8</v>
      </c>
    </row>
  </sheetData>
  <printOptions horizontalCentered="1" verticalCentered="1"/>
  <pageMargins left="0.5905511811023623" right="0.5905511811023623" top="0.5905511811023623" bottom="0.5905511811023623" header="0.5118110236220472" footer="0.5118110236220472"/>
  <pageSetup horizontalDpi="180" verticalDpi="18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Y1:AS5"/>
  <sheetViews>
    <sheetView workbookViewId="0" topLeftCell="A1">
      <selection activeCell="A1" sqref="A1"/>
    </sheetView>
  </sheetViews>
  <sheetFormatPr defaultColWidth="9.00390625" defaultRowHeight="12.75"/>
  <cols>
    <col min="25" max="25" width="14.75390625" style="0" bestFit="1" customWidth="1"/>
  </cols>
  <sheetData>
    <row r="1" spans="27:38" ht="12.75">
      <c r="AA1" s="34">
        <v>1993</v>
      </c>
      <c r="AB1" s="34">
        <v>1994</v>
      </c>
      <c r="AC1" s="34">
        <v>1995</v>
      </c>
      <c r="AD1" s="34">
        <v>1996</v>
      </c>
      <c r="AE1" s="34">
        <v>1997</v>
      </c>
      <c r="AF1" s="34">
        <v>1998</v>
      </c>
      <c r="AG1" s="34">
        <v>1999</v>
      </c>
      <c r="AH1" s="34">
        <v>2000</v>
      </c>
      <c r="AI1" s="34">
        <v>2001</v>
      </c>
      <c r="AJ1" s="34">
        <v>2002</v>
      </c>
      <c r="AK1" s="34">
        <v>2003</v>
      </c>
      <c r="AL1" s="34">
        <v>2004</v>
      </c>
    </row>
    <row r="2" spans="25:38" ht="12.75">
      <c r="Y2" s="2" t="s">
        <v>27</v>
      </c>
      <c r="AA2" s="37">
        <f>'HDP-tab'!C40/'HDP-tab'!C7*100</f>
        <v>80.28273809523809</v>
      </c>
      <c r="AB2" s="37">
        <f>'HDP-tab'!D40/'HDP-tab'!D7*100</f>
        <v>90.75846833578791</v>
      </c>
      <c r="AC2" s="37">
        <f>'HDP-tab'!E40/'HDP-tab'!E7*100</f>
        <v>100</v>
      </c>
      <c r="AD2" s="37">
        <f>'HDP-tab'!F40/'HDP-tab'!F7*100</f>
        <v>105.21108179419525</v>
      </c>
      <c r="AE2" s="37">
        <f>'HDP-tab'!G40/'HDP-tab'!G7*100</f>
        <v>111.54207069127308</v>
      </c>
      <c r="AF2" s="37">
        <f>'HDP-tab'!H40/'HDP-tab'!H7*100</f>
        <v>118.35648832397278</v>
      </c>
      <c r="AG2" s="37">
        <f>'HDP-tab'!I40/'HDP-tab'!I7*100</f>
        <v>130.45023696682463</v>
      </c>
      <c r="AH2" s="37">
        <f>'HDP-tab'!J40/'HDP-tab'!J7*100</f>
        <v>145.18700183936238</v>
      </c>
      <c r="AI2" s="37">
        <f>'HDP-tab'!K40/'HDP-tab'!K7*100</f>
        <v>154.64529533986345</v>
      </c>
      <c r="AJ2" s="37">
        <f>'HDP-tab'!L40/'HDP-tab'!L7*100</f>
        <v>164.04462242562929</v>
      </c>
      <c r="AK2" s="37">
        <f>'HDP-tab'!M40/'HDP-tab'!M7*100</f>
        <v>171.15227458458185</v>
      </c>
      <c r="AL2" s="37">
        <f>'HDP-tab'!N40/'HDP-tab'!N7*100</f>
        <v>176.56570841889118</v>
      </c>
    </row>
    <row r="3" spans="26:38" ht="12.75">
      <c r="Z3" s="2" t="s">
        <v>7</v>
      </c>
      <c r="AA3" s="35"/>
      <c r="AB3" s="37">
        <f>AB2/AA2*100</f>
        <v>113.04854628665335</v>
      </c>
      <c r="AC3" s="37">
        <f aca="true" t="shared" si="0" ref="AC3:AL3">AC2/AB2*100</f>
        <v>110.18255578093307</v>
      </c>
      <c r="AD3" s="37">
        <f t="shared" si="0"/>
        <v>105.21108179419525</v>
      </c>
      <c r="AE3" s="37">
        <f t="shared" si="0"/>
        <v>106.01741640625077</v>
      </c>
      <c r="AF3" s="37">
        <f t="shared" si="0"/>
        <v>106.10928019398231</v>
      </c>
      <c r="AG3" s="37">
        <f t="shared" si="0"/>
        <v>110.2180698448471</v>
      </c>
      <c r="AH3" s="37">
        <f t="shared" si="0"/>
        <v>111.2968479131897</v>
      </c>
      <c r="AI3" s="37">
        <f t="shared" si="0"/>
        <v>106.51455941694141</v>
      </c>
      <c r="AJ3" s="37">
        <f t="shared" si="0"/>
        <v>106.07799096966318</v>
      </c>
      <c r="AK3" s="37">
        <f t="shared" si="0"/>
        <v>104.33275535269367</v>
      </c>
      <c r="AL3" s="37">
        <f t="shared" si="0"/>
        <v>103.16293420432112</v>
      </c>
    </row>
    <row r="4" spans="25:45" ht="12.75">
      <c r="Y4" t="s">
        <v>28</v>
      </c>
      <c r="AA4" s="37">
        <f>'HDP-tab'!C46/'HDP-tab'!C13*100</f>
        <v>85.6349757113116</v>
      </c>
      <c r="AB4" s="37">
        <f>'HDP-tab'!D46/'HDP-tab'!D13*100</f>
        <v>96.2746530314098</v>
      </c>
      <c r="AC4" s="37">
        <f>'HDP-tab'!E46/'HDP-tab'!E13*100</f>
        <v>100</v>
      </c>
      <c r="AD4" s="37">
        <f>'HDP-tab'!F46/'HDP-tab'!F13*100</f>
        <v>109.03836048344718</v>
      </c>
      <c r="AE4" s="37">
        <f>'HDP-tab'!G46/'HDP-tab'!G13*100</f>
        <v>115.67339277334585</v>
      </c>
      <c r="AF4" s="37">
        <f>'HDP-tab'!H46/'HDP-tab'!H13*100</f>
        <v>120.48141891891892</v>
      </c>
      <c r="AG4" s="37">
        <f>'HDP-tab'!I46/'HDP-tab'!I13*100</f>
        <v>130.59313215400624</v>
      </c>
      <c r="AH4" s="37">
        <f>'HDP-tab'!J46/'HDP-tab'!J13*100</f>
        <v>139.28758512310108</v>
      </c>
      <c r="AI4" s="37">
        <f>'HDP-tab'!K46/'HDP-tab'!K13*100</f>
        <v>150.0247157686604</v>
      </c>
      <c r="AJ4" s="37">
        <f>'HDP-tab'!L46/'HDP-tab'!L13*100</f>
        <v>159.1487371375117</v>
      </c>
      <c r="AK4" s="37">
        <f>'HDP-tab'!M46/'HDP-tab'!M13*100</f>
        <v>170.2475685234306</v>
      </c>
      <c r="AL4" s="37">
        <f>'HDP-tab'!N46/'HDP-tab'!N13*100</f>
        <v>183.65904365904368</v>
      </c>
      <c r="AM4" s="37"/>
      <c r="AN4" s="37"/>
      <c r="AO4" s="37"/>
      <c r="AP4" s="37"/>
      <c r="AQ4" s="37"/>
      <c r="AR4" s="37"/>
      <c r="AS4" s="37"/>
    </row>
    <row r="5" spans="26:45" ht="12.75">
      <c r="Z5" t="s">
        <v>7</v>
      </c>
      <c r="AA5" s="37"/>
      <c r="AB5" s="37">
        <f>AB4/AA4*100</f>
        <v>112.42445301317787</v>
      </c>
      <c r="AC5" s="37">
        <f aca="true" t="shared" si="1" ref="AC5:AL5">AC4/AB4*100</f>
        <v>103.86949924127464</v>
      </c>
      <c r="AD5" s="37">
        <f t="shared" si="1"/>
        <v>109.03836048344718</v>
      </c>
      <c r="AE5" s="37">
        <f t="shared" si="1"/>
        <v>106.08504407116972</v>
      </c>
      <c r="AF5" s="37">
        <f t="shared" si="1"/>
        <v>104.15655323173073</v>
      </c>
      <c r="AG5" s="37">
        <f t="shared" si="1"/>
        <v>108.39275742751026</v>
      </c>
      <c r="AH5" s="37">
        <f t="shared" si="1"/>
        <v>106.65766478350609</v>
      </c>
      <c r="AI5" s="37">
        <f t="shared" si="1"/>
        <v>107.70860564211084</v>
      </c>
      <c r="AJ5" s="37">
        <f t="shared" si="1"/>
        <v>106.08167882345508</v>
      </c>
      <c r="AK5" s="37">
        <f t="shared" si="1"/>
        <v>106.97387336245654</v>
      </c>
      <c r="AL5" s="37">
        <f t="shared" si="1"/>
        <v>107.87763094177012</v>
      </c>
      <c r="AM5" s="37"/>
      <c r="AN5" s="37"/>
      <c r="AO5" s="37"/>
      <c r="AP5" s="37"/>
      <c r="AQ5" s="37"/>
      <c r="AR5" s="37"/>
      <c r="AS5" s="37"/>
    </row>
  </sheetData>
  <printOptions horizontalCentered="1"/>
  <pageMargins left="0.5905511811023623" right="0.5905511811023623" top="0.5905511811023623" bottom="0.5905511811023623" header="0.5118110236220472" footer="0.5118110236220472"/>
  <pageSetup horizontalDpi="180" verticalDpi="180" orientation="portrait" paperSize="9" scale="90" r:id="rId2"/>
  <rowBreaks count="2" manualBreakCount="2">
    <brk id="67" max="255" man="1"/>
    <brk id="111" max="255" man="1"/>
  </rowBreaks>
  <colBreaks count="1" manualBreakCount="1">
    <brk id="10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1">
      <selection activeCell="A1" sqref="A1"/>
    </sheetView>
  </sheetViews>
  <sheetFormatPr defaultColWidth="9.00390625" defaultRowHeight="12.75"/>
  <cols>
    <col min="1" max="1" width="33.25390625" style="2" customWidth="1"/>
    <col min="2" max="2" width="13.625" style="2" bestFit="1" customWidth="1"/>
    <col min="3" max="16384" width="9.125" style="2" customWidth="1"/>
  </cols>
  <sheetData>
    <row r="1" ht="15.75">
      <c r="A1" s="1" t="s">
        <v>60</v>
      </c>
    </row>
    <row r="3" spans="1:14" ht="12.75">
      <c r="A3" s="40"/>
      <c r="B3" s="26" t="s">
        <v>8</v>
      </c>
      <c r="C3" s="6">
        <v>1993</v>
      </c>
      <c r="D3" s="6">
        <v>1994</v>
      </c>
      <c r="E3" s="6">
        <v>1995</v>
      </c>
      <c r="F3" s="6">
        <v>1996</v>
      </c>
      <c r="G3" s="6">
        <v>1997</v>
      </c>
      <c r="H3" s="6">
        <v>1998</v>
      </c>
      <c r="I3" s="6">
        <v>1999</v>
      </c>
      <c r="J3" s="6">
        <v>2000</v>
      </c>
      <c r="K3" s="6">
        <v>2001</v>
      </c>
      <c r="L3" s="6">
        <v>2002</v>
      </c>
      <c r="M3" s="6">
        <v>2003</v>
      </c>
      <c r="N3" s="7">
        <v>2004</v>
      </c>
    </row>
    <row r="4" spans="1:14" ht="12.75">
      <c r="A4" s="41"/>
      <c r="B4" s="27"/>
      <c r="C4" s="24"/>
      <c r="D4" s="24"/>
      <c r="E4" s="24"/>
      <c r="F4" s="24"/>
      <c r="G4" s="24"/>
      <c r="H4" s="24"/>
      <c r="I4" s="24"/>
      <c r="J4" s="24"/>
      <c r="K4" s="19" t="s">
        <v>10</v>
      </c>
      <c r="L4" s="19" t="s">
        <v>10</v>
      </c>
      <c r="M4" s="19" t="s">
        <v>10</v>
      </c>
      <c r="N4" s="25" t="s">
        <v>10</v>
      </c>
    </row>
    <row r="5" spans="1:14" ht="12.75">
      <c r="A5" s="44" t="s">
        <v>55</v>
      </c>
      <c r="B5" s="28" t="s">
        <v>6</v>
      </c>
      <c r="C5" s="46">
        <f>'HDP-tab'!C44</f>
        <v>103.6</v>
      </c>
      <c r="D5" s="46">
        <f>'HDP-tab'!D44</f>
        <v>104.2</v>
      </c>
      <c r="E5" s="46">
        <f>'HDP-tab'!E44</f>
        <v>149.3</v>
      </c>
      <c r="F5" s="46">
        <f>'HDP-tab'!F44</f>
        <v>225.1</v>
      </c>
      <c r="G5" s="46">
        <f>'HDP-tab'!G44</f>
        <v>251.2</v>
      </c>
      <c r="H5" s="46">
        <f>'HDP-tab'!H44</f>
        <v>271.3</v>
      </c>
      <c r="I5" s="46">
        <f>'HDP-tab'!I44</f>
        <v>259.8</v>
      </c>
      <c r="J5" s="46">
        <f>'HDP-tab'!J44</f>
        <v>267</v>
      </c>
      <c r="K5" s="46">
        <f>'HDP-tab'!K44</f>
        <v>319.2</v>
      </c>
      <c r="L5" s="46">
        <f>'HDP-tab'!L44</f>
        <v>343.9</v>
      </c>
      <c r="M5" s="46">
        <f>'HDP-tab'!M44</f>
        <v>384.4</v>
      </c>
      <c r="N5" s="11">
        <f>'HDP-tab'!N44</f>
        <v>430.9</v>
      </c>
    </row>
    <row r="6" spans="1:14" ht="12.75">
      <c r="A6" s="44"/>
      <c r="B6" s="28" t="s">
        <v>116</v>
      </c>
      <c r="C6" s="3" t="str">
        <f>'HDP-tab'!C45</f>
        <v>-</v>
      </c>
      <c r="D6" s="3">
        <f>'HDP-tab'!D45</f>
        <v>100.57915057915059</v>
      </c>
      <c r="E6" s="3">
        <f>'HDP-tab'!E45</f>
        <v>143.28214971209215</v>
      </c>
      <c r="F6" s="3">
        <f>'HDP-tab'!F45</f>
        <v>150.77026121902207</v>
      </c>
      <c r="G6" s="3">
        <f>'HDP-tab'!G45</f>
        <v>111.59484673478455</v>
      </c>
      <c r="H6" s="3">
        <f>'HDP-tab'!H45</f>
        <v>108.00159235668791</v>
      </c>
      <c r="I6" s="3">
        <f>'HDP-tab'!I45</f>
        <v>95.76115001842979</v>
      </c>
      <c r="J6" s="3">
        <f>'HDP-tab'!J45</f>
        <v>102.77136258660508</v>
      </c>
      <c r="K6" s="3">
        <f>'HDP-tab'!K45</f>
        <v>119.5505617977528</v>
      </c>
      <c r="L6" s="3">
        <f>'HDP-tab'!L45</f>
        <v>107.73809523809523</v>
      </c>
      <c r="M6" s="3">
        <f>'HDP-tab'!M45</f>
        <v>111.77667926722886</v>
      </c>
      <c r="N6" s="15">
        <f>'HDP-tab'!N45</f>
        <v>112.0967741935484</v>
      </c>
    </row>
    <row r="7" spans="1:14" ht="12.75">
      <c r="A7" s="44" t="s">
        <v>65</v>
      </c>
      <c r="B7" s="28" t="s">
        <v>6</v>
      </c>
      <c r="C7" s="46">
        <f>'HDP-tab'!C46</f>
        <v>123.4</v>
      </c>
      <c r="D7" s="46">
        <f>'HDP-tab'!D46</f>
        <v>131.8</v>
      </c>
      <c r="E7" s="46">
        <f>'HDP-tab'!E46</f>
        <v>144.2</v>
      </c>
      <c r="F7" s="46">
        <f>'HDP-tab'!F46</f>
        <v>207.5</v>
      </c>
      <c r="G7" s="46">
        <f>'HDP-tab'!G46</f>
        <v>246.5</v>
      </c>
      <c r="H7" s="46">
        <f>'HDP-tab'!H46</f>
        <v>285.3</v>
      </c>
      <c r="I7" s="46">
        <f>'HDP-tab'!I46</f>
        <v>251</v>
      </c>
      <c r="J7" s="46">
        <f>'HDP-tab'!J46</f>
        <v>265.9</v>
      </c>
      <c r="K7" s="46">
        <f>'HDP-tab'!K46</f>
        <v>303.5</v>
      </c>
      <c r="L7" s="46">
        <f>'HDP-tab'!L46</f>
        <v>340.26</v>
      </c>
      <c r="M7" s="46">
        <f>'HDP-tab'!M46</f>
        <v>385.1</v>
      </c>
      <c r="N7" s="11">
        <f>'HDP-tab'!N46</f>
        <v>441.7</v>
      </c>
    </row>
    <row r="8" spans="1:14" ht="12.75">
      <c r="A8" s="44"/>
      <c r="B8" s="28" t="s">
        <v>116</v>
      </c>
      <c r="C8" s="3" t="str">
        <f>'HDP-tab'!C47</f>
        <v>-</v>
      </c>
      <c r="D8" s="3">
        <f>'HDP-tab'!D47</f>
        <v>106.80713128038899</v>
      </c>
      <c r="E8" s="3">
        <f>'HDP-tab'!E47</f>
        <v>109.4081942336874</v>
      </c>
      <c r="F8" s="3">
        <f>'HDP-tab'!F47</f>
        <v>143.8973647711512</v>
      </c>
      <c r="G8" s="3">
        <f>'HDP-tab'!G47</f>
        <v>118.79518072289157</v>
      </c>
      <c r="H8" s="3">
        <f>'HDP-tab'!H47</f>
        <v>115.74036511156187</v>
      </c>
      <c r="I8" s="3">
        <f>'HDP-tab'!I47</f>
        <v>87.9775674728356</v>
      </c>
      <c r="J8" s="3">
        <f>'HDP-tab'!J47</f>
        <v>105.93625498007968</v>
      </c>
      <c r="K8" s="3">
        <f>'HDP-tab'!K47</f>
        <v>114.14065438134638</v>
      </c>
      <c r="L8" s="3">
        <f>'HDP-tab'!L47</f>
        <v>112.11202635914333</v>
      </c>
      <c r="M8" s="3">
        <f>'HDP-tab'!M47</f>
        <v>113.17815787926881</v>
      </c>
      <c r="N8" s="15">
        <f>'HDP-tab'!N47</f>
        <v>114.69748117372109</v>
      </c>
    </row>
    <row r="9" spans="1:14" ht="12.75">
      <c r="A9" s="44" t="s">
        <v>56</v>
      </c>
      <c r="B9" s="27" t="s">
        <v>6</v>
      </c>
      <c r="C9" s="21">
        <f>'HDP-tab'!C48</f>
        <v>-19.8</v>
      </c>
      <c r="D9" s="21">
        <f>'HDP-tab'!D48</f>
        <v>-27.6</v>
      </c>
      <c r="E9" s="21">
        <f>'HDP-tab'!E48</f>
        <v>5.1</v>
      </c>
      <c r="F9" s="21">
        <f>'HDP-tab'!F48</f>
        <v>17.6</v>
      </c>
      <c r="G9" s="21">
        <f>'HDP-tab'!G48</f>
        <v>4.7</v>
      </c>
      <c r="H9" s="21">
        <f>'HDP-tab'!H48</f>
        <v>-14</v>
      </c>
      <c r="I9" s="21">
        <f>'HDP-tab'!I48</f>
        <v>8.8</v>
      </c>
      <c r="J9" s="21">
        <f>'HDP-tab'!J48</f>
        <v>1.1</v>
      </c>
      <c r="K9" s="21">
        <f>'HDP-tab'!K48</f>
        <v>15.7</v>
      </c>
      <c r="L9" s="21">
        <f>'HDP-tab'!L48</f>
        <v>3.6</v>
      </c>
      <c r="M9" s="21">
        <f>'HDP-tab'!M48</f>
        <v>-0.7</v>
      </c>
      <c r="N9" s="22">
        <f>'HDP-tab'!N48</f>
        <v>-10.8</v>
      </c>
    </row>
    <row r="10" spans="1:14" ht="12.75">
      <c r="A10" s="53" t="s">
        <v>61</v>
      </c>
      <c r="B10" s="52" t="s">
        <v>6</v>
      </c>
      <c r="C10" s="55">
        <v>-16.3708</v>
      </c>
      <c r="D10" s="55">
        <v>24.304</v>
      </c>
      <c r="E10" s="55">
        <v>15.182</v>
      </c>
      <c r="F10" s="55">
        <v>-60.054</v>
      </c>
      <c r="G10" s="55">
        <v>-61.418</v>
      </c>
      <c r="H10" s="55">
        <v>-69.849</v>
      </c>
      <c r="I10" s="55">
        <v>-40.574</v>
      </c>
      <c r="J10" s="55">
        <v>-32.9961</v>
      </c>
      <c r="K10" s="55">
        <v>-54.8</v>
      </c>
      <c r="L10" s="55">
        <v>-59.4</v>
      </c>
      <c r="M10" s="55">
        <v>-64.4</v>
      </c>
      <c r="N10" s="56">
        <v>-68.3</v>
      </c>
    </row>
    <row r="11" spans="1:14" ht="12.75">
      <c r="A11" s="44" t="s">
        <v>57</v>
      </c>
      <c r="B11" s="28" t="s">
        <v>6</v>
      </c>
      <c r="C11" s="46">
        <f>C5+C10</f>
        <v>87.22919999999999</v>
      </c>
      <c r="D11" s="46">
        <f aca="true" t="shared" si="0" ref="D11:N11">D5+D10</f>
        <v>128.504</v>
      </c>
      <c r="E11" s="46">
        <f t="shared" si="0"/>
        <v>164.482</v>
      </c>
      <c r="F11" s="46">
        <f t="shared" si="0"/>
        <v>165.046</v>
      </c>
      <c r="G11" s="46">
        <f t="shared" si="0"/>
        <v>189.78199999999998</v>
      </c>
      <c r="H11" s="46">
        <f t="shared" si="0"/>
        <v>201.45100000000002</v>
      </c>
      <c r="I11" s="46">
        <f t="shared" si="0"/>
        <v>219.226</v>
      </c>
      <c r="J11" s="46">
        <f t="shared" si="0"/>
        <v>234.0039</v>
      </c>
      <c r="K11" s="46">
        <f t="shared" si="0"/>
        <v>264.4</v>
      </c>
      <c r="L11" s="46">
        <f t="shared" si="0"/>
        <v>284.5</v>
      </c>
      <c r="M11" s="46">
        <f t="shared" si="0"/>
        <v>320</v>
      </c>
      <c r="N11" s="11">
        <f t="shared" si="0"/>
        <v>362.59999999999997</v>
      </c>
    </row>
    <row r="12" spans="1:14" ht="12.75">
      <c r="A12" s="43"/>
      <c r="B12" s="28" t="s">
        <v>116</v>
      </c>
      <c r="C12" s="33" t="s">
        <v>15</v>
      </c>
      <c r="D12" s="31">
        <f>D11/C11*100</f>
        <v>147.31764134028512</v>
      </c>
      <c r="E12" s="31">
        <f aca="true" t="shared" si="1" ref="E12:N12">E11/D11*100</f>
        <v>127.9975720600137</v>
      </c>
      <c r="F12" s="31">
        <f t="shared" si="1"/>
        <v>100.34289466324581</v>
      </c>
      <c r="G12" s="31">
        <f t="shared" si="1"/>
        <v>114.98733686366225</v>
      </c>
      <c r="H12" s="31">
        <f t="shared" si="1"/>
        <v>106.14863369550329</v>
      </c>
      <c r="I12" s="31">
        <f t="shared" si="1"/>
        <v>108.82348561188576</v>
      </c>
      <c r="J12" s="31">
        <f t="shared" si="1"/>
        <v>106.74094313630683</v>
      </c>
      <c r="K12" s="31">
        <f t="shared" si="1"/>
        <v>112.98956983195578</v>
      </c>
      <c r="L12" s="31">
        <f t="shared" si="1"/>
        <v>107.60211800302572</v>
      </c>
      <c r="M12" s="31">
        <f t="shared" si="1"/>
        <v>112.47803163444641</v>
      </c>
      <c r="N12" s="32">
        <f t="shared" si="1"/>
        <v>113.3125</v>
      </c>
    </row>
    <row r="13" spans="1:14" ht="12.75">
      <c r="A13" s="54" t="s">
        <v>58</v>
      </c>
      <c r="B13" s="26" t="s">
        <v>44</v>
      </c>
      <c r="C13" s="10">
        <f>C11/'HDP-tab'!C38*100</f>
        <v>22.332104454685098</v>
      </c>
      <c r="D13" s="46">
        <f>D11/'HDP-tab'!D38*100</f>
        <v>27.56413556413556</v>
      </c>
      <c r="E13" s="46">
        <f>E11/'HDP-tab'!E38*100</f>
        <v>30.124908424908426</v>
      </c>
      <c r="F13" s="46">
        <f>F11/'HDP-tab'!F38*100</f>
        <v>27.230819996700212</v>
      </c>
      <c r="G13" s="46">
        <f>G11/'HDP-tab'!G38*100</f>
        <v>27.660982364086866</v>
      </c>
      <c r="H13" s="46">
        <f>H11/'HDP-tab'!H38*100</f>
        <v>26.831513052743745</v>
      </c>
      <c r="I13" s="46">
        <f>I11/'HDP-tab'!I38*100</f>
        <v>26.88899791487796</v>
      </c>
      <c r="J13" s="46">
        <f>J11/'HDP-tab'!J38*100</f>
        <v>26.3755522993688</v>
      </c>
      <c r="K13" s="46">
        <f>K11/'HDP-tab'!K38*100</f>
        <v>27.196050195433035</v>
      </c>
      <c r="L13" s="46">
        <f>L11/'HDP-tab'!L38*100</f>
        <v>26.796646887067908</v>
      </c>
      <c r="M13" s="46">
        <f>M11/'HDP-tab'!M38*100</f>
        <v>27.52451402029933</v>
      </c>
      <c r="N13" s="11">
        <f>N11/'HDP-tab'!N38*100</f>
        <v>28.410248374206688</v>
      </c>
    </row>
    <row r="14" spans="1:14" ht="12.75">
      <c r="A14" s="44" t="s">
        <v>64</v>
      </c>
      <c r="B14" s="28" t="s">
        <v>44</v>
      </c>
      <c r="C14" s="46">
        <f>C7/'HDP-tab'!C38*100</f>
        <v>31.59242191500256</v>
      </c>
      <c r="D14" s="46">
        <f>D7/'HDP-tab'!D38*100</f>
        <v>28.271128271128276</v>
      </c>
      <c r="E14" s="46">
        <f>E7/'HDP-tab'!E38*100</f>
        <v>26.410256410256412</v>
      </c>
      <c r="F14" s="46">
        <f>F7/'HDP-tab'!F38*100</f>
        <v>34.235274707144036</v>
      </c>
      <c r="G14" s="46">
        <f>G7/'HDP-tab'!G38*100</f>
        <v>35.927707331292815</v>
      </c>
      <c r="H14" s="46">
        <f>H7/'HDP-tab'!H38*100</f>
        <v>37.99946723494939</v>
      </c>
      <c r="I14" s="46">
        <f>I7/'HDP-tab'!I38*100</f>
        <v>30.786213663682084</v>
      </c>
      <c r="J14" s="46">
        <f>J7/'HDP-tab'!J38*100</f>
        <v>29.970694319206487</v>
      </c>
      <c r="K14" s="46">
        <f>K7/'HDP-tab'!K38*100</f>
        <v>31.21785640814647</v>
      </c>
      <c r="L14" s="46">
        <f>L7/'HDP-tab'!L38*100</f>
        <v>32.0486012998022</v>
      </c>
      <c r="M14" s="46">
        <f>M7/'HDP-tab'!M38*100</f>
        <v>33.12403234130398</v>
      </c>
      <c r="N14" s="11">
        <f>N7/'HDP-tab'!N38*100</f>
        <v>34.60785081877302</v>
      </c>
    </row>
    <row r="15" spans="1:14" ht="12.75">
      <c r="A15" s="50" t="s">
        <v>62</v>
      </c>
      <c r="B15" s="27" t="s">
        <v>44</v>
      </c>
      <c r="C15" s="21">
        <f>('HDP-tab'!C40+'HDP-tab'!C42)/'HDP-tab'!C38*100</f>
        <v>78.69943676395287</v>
      </c>
      <c r="D15" s="21">
        <f>('HDP-tab'!D40+'HDP-tab'!D42)/'HDP-tab'!D38*100</f>
        <v>72.84427284427285</v>
      </c>
      <c r="E15" s="21">
        <f>('HDP-tab'!E40+'HDP-tab'!E42)/'HDP-tab'!E38*100</f>
        <v>70.87912087912088</v>
      </c>
      <c r="F15" s="21">
        <f>('HDP-tab'!F40+'HDP-tab'!F42)/'HDP-tab'!F38*100</f>
        <v>74.42666226695265</v>
      </c>
      <c r="G15" s="21">
        <f>('HDP-tab'!G40+'HDP-tab'!G42)/'HDP-tab'!G38*100</f>
        <v>73.21090220084537</v>
      </c>
      <c r="H15" s="21">
        <f>('HDP-tab'!H40+'HDP-tab'!H42)/'HDP-tab'!H38*100</f>
        <v>74.82685135855087</v>
      </c>
      <c r="I15" s="21">
        <f>('HDP-tab'!I40+'HDP-tab'!I42)/'HDP-tab'!I38*100</f>
        <v>73.48215380841407</v>
      </c>
      <c r="J15" s="21">
        <f>('HDP-tab'!J40+'HDP-tab'!J42)/'HDP-tab'!J38*100</f>
        <v>72.39630297565374</v>
      </c>
      <c r="K15" s="21">
        <f>('HDP-tab'!K40+'HDP-tab'!K42)/'HDP-tab'!K38*100</f>
        <v>72.25879448673112</v>
      </c>
      <c r="L15" s="21">
        <f>('HDP-tab'!L40+'HDP-tab'!L42)/'HDP-tab'!L38*100</f>
        <v>72.35565602335876</v>
      </c>
      <c r="M15" s="21">
        <f>('HDP-tab'!M40+'HDP-tab'!M42)/'HDP-tab'!M38*100</f>
        <v>71.95940134182007</v>
      </c>
      <c r="N15" s="22">
        <f>('HDP-tab'!N40+'HDP-tab'!N42)/'HDP-tab'!N38*100</f>
        <v>71.3546971715114</v>
      </c>
    </row>
    <row r="17" ht="12.75">
      <c r="A17" s="4" t="s">
        <v>59</v>
      </c>
    </row>
    <row r="18" ht="12.75">
      <c r="A18" s="4" t="s">
        <v>63</v>
      </c>
    </row>
  </sheetData>
  <printOptions horizontalCentered="1"/>
  <pageMargins left="0.5905511811023623" right="0.5905511811023623" top="0.5905511811023623" bottom="0.5905511811023623" header="0.5118110236220472" footer="0.5118110236220472"/>
  <pageSetup horizontalDpi="180" verticalDpi="18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9.125" style="2" customWidth="1"/>
  </cols>
  <sheetData/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8"/>
  <sheetViews>
    <sheetView workbookViewId="0" topLeftCell="A1">
      <selection activeCell="A1" sqref="A1"/>
    </sheetView>
  </sheetViews>
  <sheetFormatPr defaultColWidth="9.00390625" defaultRowHeight="12.75"/>
  <cols>
    <col min="1" max="1" width="36.75390625" style="2" bestFit="1" customWidth="1"/>
    <col min="2" max="2" width="13.625" style="2" bestFit="1" customWidth="1"/>
    <col min="3" max="16384" width="9.125" style="2" customWidth="1"/>
  </cols>
  <sheetData>
    <row r="1" ht="15.75">
      <c r="A1" s="1" t="s">
        <v>29</v>
      </c>
    </row>
    <row r="2" ht="12.75">
      <c r="A2" s="38"/>
    </row>
    <row r="3" spans="1:14" ht="12.75">
      <c r="A3" s="40"/>
      <c r="B3" s="26" t="s">
        <v>8</v>
      </c>
      <c r="C3" s="6">
        <v>1993</v>
      </c>
      <c r="D3" s="6">
        <v>1994</v>
      </c>
      <c r="E3" s="6">
        <v>1995</v>
      </c>
      <c r="F3" s="6">
        <v>1996</v>
      </c>
      <c r="G3" s="6">
        <v>1997</v>
      </c>
      <c r="H3" s="6">
        <v>1998</v>
      </c>
      <c r="I3" s="6">
        <v>1999</v>
      </c>
      <c r="J3" s="6">
        <v>2000</v>
      </c>
      <c r="K3" s="6">
        <v>2001</v>
      </c>
      <c r="L3" s="6">
        <v>2002</v>
      </c>
      <c r="M3" s="6">
        <v>2003</v>
      </c>
      <c r="N3" s="7">
        <v>2004</v>
      </c>
    </row>
    <row r="4" spans="1:14" ht="12.75">
      <c r="A4" s="41"/>
      <c r="B4" s="27"/>
      <c r="C4" s="24"/>
      <c r="D4" s="24"/>
      <c r="E4" s="24"/>
      <c r="F4" s="24"/>
      <c r="G4" s="24"/>
      <c r="H4" s="24"/>
      <c r="I4" s="24"/>
      <c r="J4" s="24"/>
      <c r="K4" s="19" t="s">
        <v>10</v>
      </c>
      <c r="L4" s="19" t="s">
        <v>10</v>
      </c>
      <c r="M4" s="19" t="s">
        <v>10</v>
      </c>
      <c r="N4" s="25" t="s">
        <v>10</v>
      </c>
    </row>
    <row r="5" spans="1:14" ht="15.75">
      <c r="A5" s="42" t="s">
        <v>30</v>
      </c>
      <c r="B5" s="28"/>
      <c r="N5" s="45"/>
    </row>
    <row r="6" spans="1:14" ht="12.75">
      <c r="A6" s="43" t="s">
        <v>31</v>
      </c>
      <c r="B6" s="28" t="s">
        <v>138</v>
      </c>
      <c r="C6" s="3">
        <v>77.9</v>
      </c>
      <c r="D6" s="3">
        <v>88.4</v>
      </c>
      <c r="E6" s="3">
        <v>97.1</v>
      </c>
      <c r="F6" s="3">
        <v>102.7</v>
      </c>
      <c r="G6" s="3">
        <v>109</v>
      </c>
      <c r="H6" s="3">
        <v>116.3</v>
      </c>
      <c r="I6" s="3">
        <v>128.6</v>
      </c>
      <c r="J6" s="3">
        <v>144</v>
      </c>
      <c r="K6" s="3">
        <v>154.9</v>
      </c>
      <c r="L6" s="3">
        <v>165.3</v>
      </c>
      <c r="M6" s="3">
        <v>175.6</v>
      </c>
      <c r="N6" s="15">
        <v>185.1</v>
      </c>
    </row>
    <row r="7" spans="1:14" ht="12.75">
      <c r="A7" s="44" t="s">
        <v>32</v>
      </c>
      <c r="B7" s="28" t="s">
        <v>44</v>
      </c>
      <c r="C7" s="46">
        <v>23.1</v>
      </c>
      <c r="D7" s="46">
        <v>13.5</v>
      </c>
      <c r="E7" s="46">
        <v>9.9</v>
      </c>
      <c r="F7" s="46">
        <v>5.8</v>
      </c>
      <c r="G7" s="46">
        <v>6.1</v>
      </c>
      <c r="H7" s="46">
        <v>6.7</v>
      </c>
      <c r="I7" s="46">
        <v>10.6</v>
      </c>
      <c r="J7" s="46">
        <v>12</v>
      </c>
      <c r="K7" s="46">
        <v>7.6</v>
      </c>
      <c r="L7" s="46">
        <v>6.7</v>
      </c>
      <c r="M7" s="46">
        <v>6.2</v>
      </c>
      <c r="N7" s="11">
        <v>5.4</v>
      </c>
    </row>
    <row r="8" spans="1:14" ht="12.75">
      <c r="A8" s="43" t="s">
        <v>49</v>
      </c>
      <c r="B8" s="28" t="s">
        <v>138</v>
      </c>
      <c r="C8" s="3">
        <v>83.5</v>
      </c>
      <c r="D8" s="3">
        <v>93.3</v>
      </c>
      <c r="E8" s="3">
        <v>100</v>
      </c>
      <c r="F8" s="3">
        <v>105.4</v>
      </c>
      <c r="G8" s="3">
        <v>112.1</v>
      </c>
      <c r="H8" s="3">
        <v>118.4</v>
      </c>
      <c r="I8" s="3">
        <v>135.2</v>
      </c>
      <c r="J8" s="3">
        <v>146.5</v>
      </c>
      <c r="K8" s="3" t="s">
        <v>15</v>
      </c>
      <c r="L8" s="3" t="s">
        <v>15</v>
      </c>
      <c r="M8" s="3" t="s">
        <v>15</v>
      </c>
      <c r="N8" s="15" t="s">
        <v>15</v>
      </c>
    </row>
    <row r="9" spans="1:14" ht="12.75">
      <c r="A9" s="44" t="s">
        <v>48</v>
      </c>
      <c r="B9" s="28" t="s">
        <v>44</v>
      </c>
      <c r="C9" s="46">
        <v>25.1</v>
      </c>
      <c r="D9" s="46">
        <v>11.7</v>
      </c>
      <c r="E9" s="46">
        <v>7.2</v>
      </c>
      <c r="F9" s="46">
        <v>5.4</v>
      </c>
      <c r="G9" s="46">
        <v>6.4</v>
      </c>
      <c r="H9" s="46">
        <v>5.6</v>
      </c>
      <c r="I9" s="46">
        <v>14.2</v>
      </c>
      <c r="J9" s="46">
        <v>8.4</v>
      </c>
      <c r="K9" s="47" t="s">
        <v>47</v>
      </c>
      <c r="L9" s="47" t="s">
        <v>50</v>
      </c>
      <c r="M9" s="47" t="s">
        <v>51</v>
      </c>
      <c r="N9" s="48" t="s">
        <v>52</v>
      </c>
    </row>
    <row r="10" spans="1:14" ht="12.75">
      <c r="A10" s="50" t="s">
        <v>36</v>
      </c>
      <c r="B10" s="27" t="s">
        <v>44</v>
      </c>
      <c r="C10" s="21" t="s">
        <v>15</v>
      </c>
      <c r="D10" s="21" t="s">
        <v>15</v>
      </c>
      <c r="E10" s="21" t="s">
        <v>15</v>
      </c>
      <c r="F10" s="21" t="s">
        <v>15</v>
      </c>
      <c r="G10" s="21" t="s">
        <v>15</v>
      </c>
      <c r="H10" s="21">
        <v>6.1</v>
      </c>
      <c r="I10" s="21">
        <v>6</v>
      </c>
      <c r="J10" s="21">
        <v>5.7</v>
      </c>
      <c r="K10" s="21">
        <v>4.2</v>
      </c>
      <c r="L10" s="21">
        <v>4</v>
      </c>
      <c r="M10" s="21">
        <v>3.9</v>
      </c>
      <c r="N10" s="22">
        <v>3.8</v>
      </c>
    </row>
    <row r="11" spans="1:14" ht="15.75">
      <c r="A11" s="42" t="s">
        <v>37</v>
      </c>
      <c r="B11" s="28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11"/>
    </row>
    <row r="12" spans="1:14" ht="12.75">
      <c r="A12" s="43" t="s">
        <v>31</v>
      </c>
      <c r="B12" s="28" t="s">
        <v>138</v>
      </c>
      <c r="C12" s="3">
        <v>81.9</v>
      </c>
      <c r="D12" s="3">
        <v>90</v>
      </c>
      <c r="E12" s="3">
        <v>98.1</v>
      </c>
      <c r="F12" s="3">
        <v>102.2</v>
      </c>
      <c r="G12" s="3">
        <v>106.8</v>
      </c>
      <c r="H12" s="3">
        <v>110.3</v>
      </c>
      <c r="I12" s="3">
        <v>114.5</v>
      </c>
      <c r="J12" s="3">
        <v>125.7</v>
      </c>
      <c r="K12" s="3">
        <v>137</v>
      </c>
      <c r="L12" s="3">
        <v>146.9</v>
      </c>
      <c r="M12" s="3">
        <v>156.4</v>
      </c>
      <c r="N12" s="15">
        <v>165.7</v>
      </c>
    </row>
    <row r="13" spans="1:14" ht="12.75">
      <c r="A13" s="50" t="s">
        <v>31</v>
      </c>
      <c r="B13" s="27" t="s">
        <v>116</v>
      </c>
      <c r="C13" s="21">
        <v>117.2</v>
      </c>
      <c r="D13" s="21">
        <v>110</v>
      </c>
      <c r="E13" s="21">
        <v>109</v>
      </c>
      <c r="F13" s="21">
        <v>104.1</v>
      </c>
      <c r="G13" s="21">
        <v>104.5</v>
      </c>
      <c r="H13" s="21">
        <v>103.3</v>
      </c>
      <c r="I13" s="21">
        <v>103.8</v>
      </c>
      <c r="J13" s="21">
        <v>109.8</v>
      </c>
      <c r="K13" s="21">
        <v>109</v>
      </c>
      <c r="L13" s="21">
        <v>107.2</v>
      </c>
      <c r="M13" s="21">
        <v>106.5</v>
      </c>
      <c r="N13" s="22">
        <v>105.9</v>
      </c>
    </row>
    <row r="14" spans="1:14" ht="15.75">
      <c r="A14" s="42" t="s">
        <v>38</v>
      </c>
      <c r="B14" s="28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11"/>
    </row>
    <row r="15" spans="1:14" ht="12.75">
      <c r="A15" s="44" t="s">
        <v>39</v>
      </c>
      <c r="B15" s="28" t="s">
        <v>45</v>
      </c>
      <c r="C15" s="3">
        <v>80.11</v>
      </c>
      <c r="D15" s="3">
        <v>91.13</v>
      </c>
      <c r="E15" s="3">
        <v>100</v>
      </c>
      <c r="F15" s="3">
        <v>104.52</v>
      </c>
      <c r="G15" s="3">
        <v>111.4</v>
      </c>
      <c r="H15" s="3">
        <v>117.11</v>
      </c>
      <c r="I15" s="3">
        <v>124.8</v>
      </c>
      <c r="J15" s="3">
        <v>132.87</v>
      </c>
      <c r="K15" s="3">
        <v>141.4</v>
      </c>
      <c r="L15" s="3">
        <v>149.1</v>
      </c>
      <c r="M15" s="3">
        <v>156.9</v>
      </c>
      <c r="N15" s="15">
        <v>164.4</v>
      </c>
    </row>
    <row r="16" spans="1:14" ht="12.75">
      <c r="A16" s="43"/>
      <c r="B16" s="28" t="s">
        <v>116</v>
      </c>
      <c r="C16" s="46" t="s">
        <v>15</v>
      </c>
      <c r="D16" s="46">
        <f>D15/C15*100</f>
        <v>113.75608538259891</v>
      </c>
      <c r="E16" s="46">
        <f aca="true" t="shared" si="0" ref="E16:N16">E15/D15*100</f>
        <v>109.73334796444641</v>
      </c>
      <c r="F16" s="46">
        <f t="shared" si="0"/>
        <v>104.52</v>
      </c>
      <c r="G16" s="46">
        <f t="shared" si="0"/>
        <v>106.58247225411405</v>
      </c>
      <c r="H16" s="46">
        <f t="shared" si="0"/>
        <v>105.12567324955116</v>
      </c>
      <c r="I16" s="46">
        <f t="shared" si="0"/>
        <v>106.56647596277004</v>
      </c>
      <c r="J16" s="46">
        <f t="shared" si="0"/>
        <v>106.46634615384616</v>
      </c>
      <c r="K16" s="46">
        <f t="shared" si="0"/>
        <v>106.41980883570407</v>
      </c>
      <c r="L16" s="46">
        <f t="shared" si="0"/>
        <v>105.44554455445542</v>
      </c>
      <c r="M16" s="46">
        <f t="shared" si="0"/>
        <v>105.2313883299799</v>
      </c>
      <c r="N16" s="11">
        <f t="shared" si="0"/>
        <v>104.78011472275335</v>
      </c>
    </row>
    <row r="17" spans="1:14" ht="12.75">
      <c r="A17" s="44" t="s">
        <v>9</v>
      </c>
      <c r="B17" s="28" t="s">
        <v>45</v>
      </c>
      <c r="C17" s="3">
        <f>'C,I,X-graf'!AA2</f>
        <v>80.28273809523809</v>
      </c>
      <c r="D17" s="3">
        <f>'C,I,X-graf'!AB2</f>
        <v>90.75846833578791</v>
      </c>
      <c r="E17" s="3">
        <f>'C,I,X-graf'!AC2</f>
        <v>100</v>
      </c>
      <c r="F17" s="3">
        <f>'C,I,X-graf'!AD2</f>
        <v>105.21108179419525</v>
      </c>
      <c r="G17" s="3">
        <f>'C,I,X-graf'!AE2</f>
        <v>111.54207069127308</v>
      </c>
      <c r="H17" s="3">
        <f>'C,I,X-graf'!AF2</f>
        <v>118.35648832397278</v>
      </c>
      <c r="I17" s="3">
        <f>'C,I,X-graf'!AG2</f>
        <v>130.45023696682463</v>
      </c>
      <c r="J17" s="3">
        <f>'C,I,X-graf'!AH2</f>
        <v>145.18700183936238</v>
      </c>
      <c r="K17" s="3">
        <f>'C,I,X-graf'!AI2</f>
        <v>154.64529533986345</v>
      </c>
      <c r="L17" s="3">
        <f>'C,I,X-graf'!AJ2</f>
        <v>164.04462242562929</v>
      </c>
      <c r="M17" s="3">
        <f>'C,I,X-graf'!AK2</f>
        <v>171.15227458458185</v>
      </c>
      <c r="N17" s="15">
        <f>'C,I,X-graf'!AL2</f>
        <v>176.56570841889118</v>
      </c>
    </row>
    <row r="18" spans="1:14" ht="12.75">
      <c r="A18" s="43"/>
      <c r="B18" s="28" t="s">
        <v>116</v>
      </c>
      <c r="C18" s="46" t="s">
        <v>15</v>
      </c>
      <c r="D18" s="46">
        <f>D17/C17*100</f>
        <v>113.04854628665335</v>
      </c>
      <c r="E18" s="46">
        <f aca="true" t="shared" si="1" ref="E18:N18">E17/D17*100</f>
        <v>110.18255578093307</v>
      </c>
      <c r="F18" s="46">
        <f t="shared" si="1"/>
        <v>105.21108179419525</v>
      </c>
      <c r="G18" s="46">
        <f t="shared" si="1"/>
        <v>106.01741640625077</v>
      </c>
      <c r="H18" s="46">
        <f t="shared" si="1"/>
        <v>106.10928019398231</v>
      </c>
      <c r="I18" s="46">
        <f t="shared" si="1"/>
        <v>110.2180698448471</v>
      </c>
      <c r="J18" s="46">
        <f t="shared" si="1"/>
        <v>111.2968479131897</v>
      </c>
      <c r="K18" s="46">
        <f t="shared" si="1"/>
        <v>106.51455941694141</v>
      </c>
      <c r="L18" s="46">
        <f t="shared" si="1"/>
        <v>106.07799096966318</v>
      </c>
      <c r="M18" s="46">
        <f t="shared" si="1"/>
        <v>104.33275535269367</v>
      </c>
      <c r="N18" s="11">
        <f t="shared" si="1"/>
        <v>103.16293420432112</v>
      </c>
    </row>
    <row r="19" spans="1:14" ht="12.75">
      <c r="A19" s="44" t="s">
        <v>2</v>
      </c>
      <c r="B19" s="28" t="s">
        <v>45</v>
      </c>
      <c r="C19" s="3">
        <v>78.02</v>
      </c>
      <c r="D19" s="3">
        <v>89.52</v>
      </c>
      <c r="E19" s="3">
        <v>100</v>
      </c>
      <c r="F19" s="3">
        <v>102.8</v>
      </c>
      <c r="G19" s="3">
        <v>108.98</v>
      </c>
      <c r="H19" s="3">
        <v>116.03</v>
      </c>
      <c r="I19" s="3">
        <v>122.55</v>
      </c>
      <c r="J19" s="3">
        <v>131.49</v>
      </c>
      <c r="K19" s="3">
        <v>140.48</v>
      </c>
      <c r="L19" s="3">
        <v>149.1</v>
      </c>
      <c r="M19" s="3">
        <v>157.4</v>
      </c>
      <c r="N19" s="15">
        <v>165.7</v>
      </c>
    </row>
    <row r="20" spans="1:14" ht="12.75">
      <c r="A20" s="43"/>
      <c r="B20" s="28" t="s">
        <v>116</v>
      </c>
      <c r="C20" s="46" t="s">
        <v>15</v>
      </c>
      <c r="D20" s="46">
        <f>D19/C19*100</f>
        <v>114.73981030504999</v>
      </c>
      <c r="E20" s="46">
        <f aca="true" t="shared" si="2" ref="E20:N20">E19/D19*100</f>
        <v>111.70688114387848</v>
      </c>
      <c r="F20" s="46">
        <f t="shared" si="2"/>
        <v>102.8</v>
      </c>
      <c r="G20" s="46">
        <f t="shared" si="2"/>
        <v>106.01167315175097</v>
      </c>
      <c r="H20" s="46">
        <f t="shared" si="2"/>
        <v>106.46907689484308</v>
      </c>
      <c r="I20" s="46">
        <f t="shared" si="2"/>
        <v>105.61923640437819</v>
      </c>
      <c r="J20" s="46">
        <f t="shared" si="2"/>
        <v>107.29498164014689</v>
      </c>
      <c r="K20" s="46">
        <f t="shared" si="2"/>
        <v>106.83702182675488</v>
      </c>
      <c r="L20" s="46">
        <f t="shared" si="2"/>
        <v>106.1361047835991</v>
      </c>
      <c r="M20" s="46">
        <f t="shared" si="2"/>
        <v>105.56673373574783</v>
      </c>
      <c r="N20" s="11">
        <f t="shared" si="2"/>
        <v>105.27318932655653</v>
      </c>
    </row>
    <row r="21" spans="1:14" ht="12.75">
      <c r="A21" s="44" t="s">
        <v>40</v>
      </c>
      <c r="B21" s="28" t="s">
        <v>45</v>
      </c>
      <c r="C21" s="3">
        <f>'C,I,X-graf'!AA4</f>
        <v>85.6349757113116</v>
      </c>
      <c r="D21" s="3">
        <f>'C,I,X-graf'!AB4</f>
        <v>96.2746530314098</v>
      </c>
      <c r="E21" s="3">
        <f>'C,I,X-graf'!AC4</f>
        <v>100</v>
      </c>
      <c r="F21" s="3">
        <f>'C,I,X-graf'!AD4</f>
        <v>109.03836048344718</v>
      </c>
      <c r="G21" s="3">
        <f>'C,I,X-graf'!AE4</f>
        <v>115.67339277334585</v>
      </c>
      <c r="H21" s="3">
        <f>'C,I,X-graf'!AF4</f>
        <v>120.48141891891892</v>
      </c>
      <c r="I21" s="3">
        <f>'C,I,X-graf'!AG4</f>
        <v>130.59313215400624</v>
      </c>
      <c r="J21" s="3">
        <f>'C,I,X-graf'!AH4</f>
        <v>139.28758512310108</v>
      </c>
      <c r="K21" s="3">
        <f>'C,I,X-graf'!AI4</f>
        <v>150.0247157686604</v>
      </c>
      <c r="L21" s="3">
        <f>'C,I,X-graf'!AJ4</f>
        <v>159.1487371375117</v>
      </c>
      <c r="M21" s="3">
        <f>'C,I,X-graf'!AK4</f>
        <v>170.2475685234306</v>
      </c>
      <c r="N21" s="15">
        <f>'C,I,X-graf'!AL4</f>
        <v>183.65904365904368</v>
      </c>
    </row>
    <row r="22" spans="1:14" ht="12.75">
      <c r="A22" s="41"/>
      <c r="B22" s="27" t="s">
        <v>116</v>
      </c>
      <c r="C22" s="21" t="s">
        <v>15</v>
      </c>
      <c r="D22" s="21">
        <f>D21/C21*100</f>
        <v>112.42445301317787</v>
      </c>
      <c r="E22" s="21">
        <f aca="true" t="shared" si="3" ref="E22:N22">E21/D21*100</f>
        <v>103.86949924127464</v>
      </c>
      <c r="F22" s="21">
        <f t="shared" si="3"/>
        <v>109.03836048344718</v>
      </c>
      <c r="G22" s="21">
        <f t="shared" si="3"/>
        <v>106.08504407116972</v>
      </c>
      <c r="H22" s="21">
        <f t="shared" si="3"/>
        <v>104.15655323173073</v>
      </c>
      <c r="I22" s="21">
        <f t="shared" si="3"/>
        <v>108.39275742751026</v>
      </c>
      <c r="J22" s="21">
        <f t="shared" si="3"/>
        <v>106.65766478350609</v>
      </c>
      <c r="K22" s="21">
        <f t="shared" si="3"/>
        <v>107.70860564211084</v>
      </c>
      <c r="L22" s="21">
        <f t="shared" si="3"/>
        <v>106.08167882345508</v>
      </c>
      <c r="M22" s="21">
        <f t="shared" si="3"/>
        <v>106.97387336245654</v>
      </c>
      <c r="N22" s="22">
        <f t="shared" si="3"/>
        <v>107.87763094177012</v>
      </c>
    </row>
    <row r="23" spans="1:14" ht="12.75">
      <c r="A23" s="44" t="s">
        <v>41</v>
      </c>
      <c r="B23" s="28" t="s">
        <v>45</v>
      </c>
      <c r="C23" s="3">
        <v>82.3</v>
      </c>
      <c r="D23" s="3">
        <v>90.69</v>
      </c>
      <c r="E23" s="3">
        <v>100</v>
      </c>
      <c r="F23" s="3">
        <v>101.86</v>
      </c>
      <c r="G23" s="3">
        <v>102.98</v>
      </c>
      <c r="H23" s="3">
        <v>106.05</v>
      </c>
      <c r="I23" s="3">
        <v>111.99</v>
      </c>
      <c r="J23" s="3">
        <v>125.65</v>
      </c>
      <c r="K23" s="3">
        <v>132.16</v>
      </c>
      <c r="L23" s="3">
        <v>137.92</v>
      </c>
      <c r="M23" s="3">
        <v>143.87</v>
      </c>
      <c r="N23" s="15">
        <v>150.1</v>
      </c>
    </row>
    <row r="24" spans="1:14" ht="12.75">
      <c r="A24" s="43"/>
      <c r="B24" s="28" t="s">
        <v>116</v>
      </c>
      <c r="C24" s="46" t="s">
        <v>15</v>
      </c>
      <c r="D24" s="46">
        <f>D23/C23*100</f>
        <v>110.19441069258808</v>
      </c>
      <c r="E24" s="46">
        <f aca="true" t="shared" si="4" ref="E24:N24">E23/D23*100</f>
        <v>110.26574043444701</v>
      </c>
      <c r="F24" s="46">
        <f t="shared" si="4"/>
        <v>101.86</v>
      </c>
      <c r="G24" s="46">
        <f t="shared" si="4"/>
        <v>101.09954839976439</v>
      </c>
      <c r="H24" s="46">
        <f t="shared" si="4"/>
        <v>102.98116139056125</v>
      </c>
      <c r="I24" s="46">
        <f t="shared" si="4"/>
        <v>105.6011315417256</v>
      </c>
      <c r="J24" s="46">
        <f t="shared" si="4"/>
        <v>112.19751763550319</v>
      </c>
      <c r="K24" s="46">
        <f t="shared" si="4"/>
        <v>105.18105849582172</v>
      </c>
      <c r="L24" s="46">
        <f t="shared" si="4"/>
        <v>104.35835351089588</v>
      </c>
      <c r="M24" s="46">
        <f t="shared" si="4"/>
        <v>104.31409512761023</v>
      </c>
      <c r="N24" s="11">
        <f t="shared" si="4"/>
        <v>104.33029818586223</v>
      </c>
    </row>
    <row r="25" spans="1:14" ht="12.75">
      <c r="A25" s="44" t="s">
        <v>42</v>
      </c>
      <c r="B25" s="28" t="s">
        <v>45</v>
      </c>
      <c r="C25" s="3">
        <v>82.87</v>
      </c>
      <c r="D25" s="3">
        <v>91.34</v>
      </c>
      <c r="E25" s="3">
        <v>100</v>
      </c>
      <c r="F25" s="3">
        <v>109.08</v>
      </c>
      <c r="G25" s="3">
        <v>110.84</v>
      </c>
      <c r="H25" s="3">
        <v>107.71</v>
      </c>
      <c r="I25" s="3">
        <v>115.33</v>
      </c>
      <c r="J25" s="3">
        <v>129.51</v>
      </c>
      <c r="K25" s="3">
        <v>138.4</v>
      </c>
      <c r="L25" s="3">
        <v>144.9</v>
      </c>
      <c r="M25" s="3">
        <v>152.6</v>
      </c>
      <c r="N25" s="15">
        <v>160.2</v>
      </c>
    </row>
    <row r="26" spans="1:14" ht="12.75">
      <c r="A26" s="43"/>
      <c r="B26" s="28" t="s">
        <v>116</v>
      </c>
      <c r="C26" s="46" t="s">
        <v>15</v>
      </c>
      <c r="D26" s="46">
        <f>D25/C25*100</f>
        <v>110.22082780258235</v>
      </c>
      <c r="E26" s="46">
        <f aca="true" t="shared" si="5" ref="E26:N26">E25/D25*100</f>
        <v>109.48105977665863</v>
      </c>
      <c r="F26" s="46">
        <f t="shared" si="5"/>
        <v>109.08</v>
      </c>
      <c r="G26" s="46">
        <f t="shared" si="5"/>
        <v>101.61349468280162</v>
      </c>
      <c r="H26" s="46">
        <f t="shared" si="5"/>
        <v>97.17610970768675</v>
      </c>
      <c r="I26" s="46">
        <f t="shared" si="5"/>
        <v>107.0745520378795</v>
      </c>
      <c r="J26" s="46">
        <f t="shared" si="5"/>
        <v>112.29515303910517</v>
      </c>
      <c r="K26" s="46">
        <f t="shared" si="5"/>
        <v>106.86433480040152</v>
      </c>
      <c r="L26" s="46">
        <f t="shared" si="5"/>
        <v>104.69653179190752</v>
      </c>
      <c r="M26" s="46">
        <f t="shared" si="5"/>
        <v>105.31400966183575</v>
      </c>
      <c r="N26" s="11">
        <f t="shared" si="5"/>
        <v>104.98034076015728</v>
      </c>
    </row>
    <row r="27" spans="1:14" ht="12.75">
      <c r="A27" s="44" t="s">
        <v>43</v>
      </c>
      <c r="B27" s="28" t="s">
        <v>45</v>
      </c>
      <c r="C27" s="3">
        <f>C23/C25*100</f>
        <v>99.31217569687462</v>
      </c>
      <c r="D27" s="3">
        <f aca="true" t="shared" si="6" ref="D27:N27">D23/D25*100</f>
        <v>99.2883731114517</v>
      </c>
      <c r="E27" s="3">
        <f t="shared" si="6"/>
        <v>100</v>
      </c>
      <c r="F27" s="3">
        <f t="shared" si="6"/>
        <v>93.38100476714338</v>
      </c>
      <c r="G27" s="3">
        <f t="shared" si="6"/>
        <v>92.90869722121977</v>
      </c>
      <c r="H27" s="3">
        <f t="shared" si="6"/>
        <v>98.45882462166931</v>
      </c>
      <c r="I27" s="3">
        <f t="shared" si="6"/>
        <v>97.10396254227001</v>
      </c>
      <c r="J27" s="3">
        <f t="shared" si="6"/>
        <v>97.01953517102928</v>
      </c>
      <c r="K27" s="3">
        <f t="shared" si="6"/>
        <v>95.49132947976878</v>
      </c>
      <c r="L27" s="3">
        <f t="shared" si="6"/>
        <v>95.18288474810213</v>
      </c>
      <c r="M27" s="3">
        <f t="shared" si="6"/>
        <v>94.27916120576671</v>
      </c>
      <c r="N27" s="15">
        <f t="shared" si="6"/>
        <v>93.69538077403247</v>
      </c>
    </row>
    <row r="28" spans="1:14" ht="12.75">
      <c r="A28" s="41"/>
      <c r="B28" s="27" t="s">
        <v>116</v>
      </c>
      <c r="C28" s="49" t="s">
        <v>15</v>
      </c>
      <c r="D28" s="21">
        <f>D27/C27*100</f>
        <v>99.97603256070478</v>
      </c>
      <c r="E28" s="21">
        <f aca="true" t="shared" si="7" ref="E28:N28">E27/D27*100</f>
        <v>100.71672731282393</v>
      </c>
      <c r="F28" s="21">
        <f t="shared" si="7"/>
        <v>93.38100476714338</v>
      </c>
      <c r="G28" s="21">
        <f t="shared" si="7"/>
        <v>99.4942145384906</v>
      </c>
      <c r="H28" s="21">
        <f t="shared" si="7"/>
        <v>105.97374364989149</v>
      </c>
      <c r="I28" s="21">
        <f t="shared" si="7"/>
        <v>98.62393027277606</v>
      </c>
      <c r="J28" s="21">
        <f t="shared" si="7"/>
        <v>99.91305465911961</v>
      </c>
      <c r="K28" s="21">
        <f t="shared" si="7"/>
        <v>98.42484744070715</v>
      </c>
      <c r="L28" s="21">
        <f t="shared" si="7"/>
        <v>99.67699189722559</v>
      </c>
      <c r="M28" s="21">
        <f t="shared" si="7"/>
        <v>99.05053986887759</v>
      </c>
      <c r="N28" s="22">
        <f t="shared" si="7"/>
        <v>99.38079589989125</v>
      </c>
    </row>
    <row r="29" spans="4:15" ht="12.75"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</row>
    <row r="30" spans="4:15" ht="12.75"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</row>
    <row r="31" spans="1:15" ht="15.75">
      <c r="A31" s="1" t="s">
        <v>202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</row>
    <row r="33" spans="1:14" ht="12.75">
      <c r="A33" s="40"/>
      <c r="B33" s="26" t="s">
        <v>8</v>
      </c>
      <c r="C33" s="6">
        <v>1998</v>
      </c>
      <c r="D33" s="6">
        <v>1999</v>
      </c>
      <c r="E33" s="7">
        <v>2000</v>
      </c>
      <c r="F33" s="34"/>
      <c r="G33" s="34"/>
      <c r="H33" s="8"/>
      <c r="I33" s="8"/>
      <c r="J33" s="8"/>
      <c r="K33" s="34"/>
      <c r="L33" s="34"/>
      <c r="M33" s="34"/>
      <c r="N33" s="34"/>
    </row>
    <row r="34" spans="1:14" ht="12.75">
      <c r="A34" s="41"/>
      <c r="B34" s="27"/>
      <c r="C34" s="24"/>
      <c r="D34" s="24"/>
      <c r="E34" s="100"/>
      <c r="F34" s="8"/>
      <c r="G34" s="8"/>
      <c r="H34" s="8"/>
      <c r="I34" s="8"/>
      <c r="J34" s="8"/>
      <c r="K34" s="51"/>
      <c r="L34" s="51"/>
      <c r="M34" s="51"/>
      <c r="N34" s="51"/>
    </row>
    <row r="35" spans="1:14" ht="12.75">
      <c r="A35" s="44" t="s">
        <v>32</v>
      </c>
      <c r="B35" s="28" t="s">
        <v>44</v>
      </c>
      <c r="C35" s="46">
        <v>6.7</v>
      </c>
      <c r="D35" s="46">
        <v>10.6</v>
      </c>
      <c r="E35" s="11">
        <v>12</v>
      </c>
      <c r="F35" s="10"/>
      <c r="G35" s="10"/>
      <c r="H35" s="8"/>
      <c r="I35" s="8"/>
      <c r="J35" s="8"/>
      <c r="K35" s="8"/>
      <c r="L35" s="8"/>
      <c r="M35" s="8"/>
      <c r="N35" s="8"/>
    </row>
    <row r="36" spans="1:14" ht="12.75">
      <c r="A36" s="43" t="s">
        <v>33</v>
      </c>
      <c r="B36" s="28" t="s">
        <v>25</v>
      </c>
      <c r="C36" s="3">
        <v>1.3</v>
      </c>
      <c r="D36" s="3">
        <v>4.88</v>
      </c>
      <c r="E36" s="15">
        <v>6.62</v>
      </c>
      <c r="F36" s="14"/>
      <c r="G36" s="14"/>
      <c r="H36" s="8"/>
      <c r="I36" s="8"/>
      <c r="J36" s="8"/>
      <c r="K36" s="8"/>
      <c r="L36" s="8"/>
      <c r="M36" s="8"/>
      <c r="N36" s="8"/>
    </row>
    <row r="37" spans="1:14" ht="12.75">
      <c r="A37" s="43" t="s">
        <v>34</v>
      </c>
      <c r="B37" s="28" t="s">
        <v>25</v>
      </c>
      <c r="C37" s="3">
        <v>0.36</v>
      </c>
      <c r="D37" s="3">
        <v>0.7</v>
      </c>
      <c r="E37" s="15">
        <v>1.03</v>
      </c>
      <c r="F37" s="14"/>
      <c r="G37" s="14"/>
      <c r="H37" s="8"/>
      <c r="I37" s="8"/>
      <c r="J37" s="8"/>
      <c r="K37" s="8"/>
      <c r="L37" s="8"/>
      <c r="M37" s="8"/>
      <c r="N37" s="8"/>
    </row>
    <row r="38" spans="1:14" ht="12.75">
      <c r="A38" s="41" t="s">
        <v>35</v>
      </c>
      <c r="B38" s="27" t="s">
        <v>25</v>
      </c>
      <c r="C38" s="31">
        <v>4.99</v>
      </c>
      <c r="D38" s="31">
        <v>4.91</v>
      </c>
      <c r="E38" s="32">
        <v>4.51</v>
      </c>
      <c r="F38" s="14"/>
      <c r="G38" s="14"/>
      <c r="H38" s="8"/>
      <c r="I38" s="8"/>
      <c r="J38" s="8"/>
      <c r="K38" s="8"/>
      <c r="L38" s="8"/>
      <c r="M38" s="8"/>
      <c r="N38" s="8"/>
    </row>
  </sheetData>
  <printOptions horizontalCentered="1"/>
  <pageMargins left="0.5905511811023623" right="0.5905511811023623" top="0.5905511811023623" bottom="0.5905511811023623" header="0.5118110236220472" footer="0.5118110236220472"/>
  <pageSetup horizontalDpi="180" verticalDpi="18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Z1:AN5"/>
  <sheetViews>
    <sheetView workbookViewId="0" topLeftCell="A1">
      <selection activeCell="A1" sqref="A1"/>
    </sheetView>
  </sheetViews>
  <sheetFormatPr defaultColWidth="9.00390625" defaultRowHeight="12.75"/>
  <cols>
    <col min="1" max="26" width="9.125" style="2" customWidth="1"/>
    <col min="27" max="27" width="15.875" style="2" bestFit="1" customWidth="1"/>
    <col min="28" max="28" width="19.75390625" style="2" bestFit="1" customWidth="1"/>
    <col min="29" max="16384" width="9.125" style="2" customWidth="1"/>
  </cols>
  <sheetData>
    <row r="1" spans="26:40" ht="12.75">
      <c r="Z1" s="8"/>
      <c r="AA1" s="8"/>
      <c r="AB1" s="8"/>
      <c r="AC1" s="34">
        <v>1993</v>
      </c>
      <c r="AD1" s="34">
        <v>1994</v>
      </c>
      <c r="AE1" s="34">
        <v>1995</v>
      </c>
      <c r="AF1" s="34">
        <v>1996</v>
      </c>
      <c r="AG1" s="34">
        <v>1997</v>
      </c>
      <c r="AH1" s="34">
        <v>1998</v>
      </c>
      <c r="AI1" s="34">
        <v>1999</v>
      </c>
      <c r="AJ1" s="34">
        <v>2000</v>
      </c>
      <c r="AK1" s="34">
        <v>2001</v>
      </c>
      <c r="AL1" s="34">
        <v>2002</v>
      </c>
      <c r="AM1" s="34">
        <v>2003</v>
      </c>
      <c r="AN1" s="34">
        <v>2004</v>
      </c>
    </row>
    <row r="2" spans="26:40" ht="12.75">
      <c r="Z2" s="8" t="s">
        <v>53</v>
      </c>
      <c r="AA2" s="8" t="s">
        <v>31</v>
      </c>
      <c r="AB2" s="51" t="s">
        <v>46</v>
      </c>
      <c r="AC2" s="10">
        <f>'Ceny-tab'!C13</f>
        <v>117.2</v>
      </c>
      <c r="AD2" s="10">
        <f>'Ceny-tab'!D13</f>
        <v>110</v>
      </c>
      <c r="AE2" s="10">
        <f>'Ceny-tab'!E13</f>
        <v>109</v>
      </c>
      <c r="AF2" s="10">
        <f>'Ceny-tab'!F13</f>
        <v>104.1</v>
      </c>
      <c r="AG2" s="10">
        <f>'Ceny-tab'!G13</f>
        <v>104.5</v>
      </c>
      <c r="AH2" s="10">
        <f>'Ceny-tab'!H13</f>
        <v>103.3</v>
      </c>
      <c r="AI2" s="10">
        <f>'Ceny-tab'!I13</f>
        <v>103.8</v>
      </c>
      <c r="AJ2" s="10">
        <f>'Ceny-tab'!J13</f>
        <v>109.8</v>
      </c>
      <c r="AK2" s="10">
        <f>'Ceny-tab'!K13</f>
        <v>109</v>
      </c>
      <c r="AL2" s="10">
        <f>'Ceny-tab'!L13</f>
        <v>107.2</v>
      </c>
      <c r="AM2" s="10">
        <f>'Ceny-tab'!M13</f>
        <v>106.5</v>
      </c>
      <c r="AN2" s="10">
        <f>'Ceny-tab'!N13</f>
        <v>105.9</v>
      </c>
    </row>
    <row r="3" spans="26:40" ht="12.75">
      <c r="Z3" s="8"/>
      <c r="AA3" s="8"/>
      <c r="AB3" s="8" t="s">
        <v>44</v>
      </c>
      <c r="AC3" s="14">
        <f>AC2-100</f>
        <v>17.200000000000003</v>
      </c>
      <c r="AD3" s="14">
        <f aca="true" t="shared" si="0" ref="AD3:AN3">AD2-100</f>
        <v>10</v>
      </c>
      <c r="AE3" s="14">
        <f t="shared" si="0"/>
        <v>9</v>
      </c>
      <c r="AF3" s="14">
        <f t="shared" si="0"/>
        <v>4.099999999999994</v>
      </c>
      <c r="AG3" s="14">
        <f t="shared" si="0"/>
        <v>4.5</v>
      </c>
      <c r="AH3" s="14">
        <f t="shared" si="0"/>
        <v>3.299999999999997</v>
      </c>
      <c r="AI3" s="14">
        <f t="shared" si="0"/>
        <v>3.799999999999997</v>
      </c>
      <c r="AJ3" s="14">
        <f t="shared" si="0"/>
        <v>9.799999999999997</v>
      </c>
      <c r="AK3" s="14">
        <f t="shared" si="0"/>
        <v>9</v>
      </c>
      <c r="AL3" s="14">
        <f t="shared" si="0"/>
        <v>7.200000000000003</v>
      </c>
      <c r="AM3" s="14">
        <f t="shared" si="0"/>
        <v>6.5</v>
      </c>
      <c r="AN3" s="14">
        <f t="shared" si="0"/>
        <v>5.900000000000006</v>
      </c>
    </row>
    <row r="4" spans="26:40" ht="12.75">
      <c r="Z4" s="8" t="s">
        <v>54</v>
      </c>
      <c r="AA4" s="8"/>
      <c r="AB4" s="8" t="str">
        <f>'Ceny-tab'!B16</f>
        <v>predch. rok = 100</v>
      </c>
      <c r="AC4" s="14" t="str">
        <f>'Ceny-tab'!C16</f>
        <v>-</v>
      </c>
      <c r="AD4" s="14">
        <f>'Ceny-tab'!D16</f>
        <v>113.75608538259891</v>
      </c>
      <c r="AE4" s="14">
        <f>'Ceny-tab'!E16</f>
        <v>109.73334796444641</v>
      </c>
      <c r="AF4" s="14">
        <f>'Ceny-tab'!F16</f>
        <v>104.52</v>
      </c>
      <c r="AG4" s="14">
        <f>'Ceny-tab'!G16</f>
        <v>106.58247225411405</v>
      </c>
      <c r="AH4" s="14">
        <f>'Ceny-tab'!H16</f>
        <v>105.12567324955116</v>
      </c>
      <c r="AI4" s="14">
        <f>'Ceny-tab'!I16</f>
        <v>106.56647596277004</v>
      </c>
      <c r="AJ4" s="14">
        <f>'Ceny-tab'!J16</f>
        <v>106.46634615384616</v>
      </c>
      <c r="AK4" s="14">
        <f>'Ceny-tab'!K16</f>
        <v>106.41980883570407</v>
      </c>
      <c r="AL4" s="14">
        <f>'Ceny-tab'!L16</f>
        <v>105.44554455445542</v>
      </c>
      <c r="AM4" s="14">
        <f>'Ceny-tab'!M16</f>
        <v>105.2313883299799</v>
      </c>
      <c r="AN4" s="14">
        <f>'Ceny-tab'!N16</f>
        <v>104.78011472275335</v>
      </c>
    </row>
    <row r="5" spans="26:40" ht="12.75">
      <c r="Z5" s="8"/>
      <c r="AA5" s="8"/>
      <c r="AB5" s="8" t="s">
        <v>44</v>
      </c>
      <c r="AC5" s="14"/>
      <c r="AD5" s="14">
        <f>AD4-100</f>
        <v>13.756085382598911</v>
      </c>
      <c r="AE5" s="14">
        <f aca="true" t="shared" si="1" ref="AE5:AN5">AE4-100</f>
        <v>9.73334796444641</v>
      </c>
      <c r="AF5" s="14">
        <f t="shared" si="1"/>
        <v>4.519999999999996</v>
      </c>
      <c r="AG5" s="14">
        <f t="shared" si="1"/>
        <v>6.582472254114052</v>
      </c>
      <c r="AH5" s="14">
        <f t="shared" si="1"/>
        <v>5.125673249551156</v>
      </c>
      <c r="AI5" s="14">
        <f t="shared" si="1"/>
        <v>6.566475962770042</v>
      </c>
      <c r="AJ5" s="14">
        <f t="shared" si="1"/>
        <v>6.46634615384616</v>
      </c>
      <c r="AK5" s="14">
        <f t="shared" si="1"/>
        <v>6.419808835704075</v>
      </c>
      <c r="AL5" s="14">
        <f t="shared" si="1"/>
        <v>5.445544554455424</v>
      </c>
      <c r="AM5" s="14">
        <f t="shared" si="1"/>
        <v>5.231388329979893</v>
      </c>
      <c r="AN5" s="14">
        <f t="shared" si="1"/>
        <v>4.780114722753353</v>
      </c>
    </row>
  </sheetData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0" r:id="rId2"/>
  <rowBreaks count="1" manualBreakCount="1">
    <brk id="66" max="255" man="1"/>
  </rowBreaks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MF_SR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 Krajčírová</dc:creator>
  <cp:keywords/>
  <dc:description/>
  <cp:lastModifiedBy>Zuzana Krajčírová</cp:lastModifiedBy>
  <cp:lastPrinted>2001-08-23T06:55:01Z</cp:lastPrinted>
  <dcterms:created xsi:type="dcterms:W3CDTF">2001-07-16T12:56:38Z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