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tabRatio="777" firstSheet="1" activeTab="2"/>
  </bookViews>
  <sheets>
    <sheet name="General" sheetId="1" state="hidden" r:id="rId1"/>
    <sheet name="ZI" sheetId="2" r:id="rId2"/>
    <sheet name="CI_Dialnice" sheetId="3" r:id="rId3"/>
    <sheet name="CI_Rychlostne a cesty I.triedy" sheetId="4" r:id="rId4"/>
    <sheet name="CI_Cesty" sheetId="5" state="hidden" r:id="rId5"/>
  </sheets>
  <externalReferences>
    <externalReference r:id="rId8"/>
  </externalReferences>
  <definedNames>
    <definedName name="_xlnm.Print_Area" localSheetId="4">'CI_Cesty'!$A$1:$L$37</definedName>
    <definedName name="_xlnm.Print_Area" localSheetId="2">'CI_Dialnice'!$A$1:$H$27</definedName>
    <definedName name="_xlnm.Print_Area" localSheetId="3">'CI_Rychlostne a cesty I.triedy'!$A$1:$H$19</definedName>
    <definedName name="_xlnm.Print_Area" localSheetId="1">'ZI'!$A$1:$H$27</definedName>
    <definedName name="OLE_LINK5" localSheetId="1">'ZI'!$A$3</definedName>
  </definedNames>
  <calcPr fullCalcOnLoad="1"/>
</workbook>
</file>

<file path=xl/sharedStrings.xml><?xml version="1.0" encoding="utf-8"?>
<sst xmlns="http://schemas.openxmlformats.org/spreadsheetml/2006/main" count="248" uniqueCount="150">
  <si>
    <t>P.č.</t>
  </si>
  <si>
    <t>Názov projektu</t>
  </si>
  <si>
    <t>Náklady na projekt</t>
  </si>
  <si>
    <t>predpokladaný začiatok realizácie</t>
  </si>
  <si>
    <t>Verejné zdroje</t>
  </si>
  <si>
    <t>Súkromné zdroje</t>
  </si>
  <si>
    <t>%</t>
  </si>
  <si>
    <t xml:space="preserve">1. </t>
  </si>
  <si>
    <t xml:space="preserve">2. </t>
  </si>
  <si>
    <t xml:space="preserve">3. </t>
  </si>
  <si>
    <t xml:space="preserve">4. </t>
  </si>
  <si>
    <t>6.</t>
  </si>
  <si>
    <t>7.</t>
  </si>
  <si>
    <t>D1 Sverepec – Vrtižer
dĺžka 9,595 km</t>
  </si>
  <si>
    <t>D3 Žilina Strážov – Žilina Brodno
dĺžka 4,65 km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</si>
  <si>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</si>
  <si>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</si>
  <si>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</si>
  <si>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</si>
  <si>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</si>
  <si>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R1 Beladice - Tekovské Nemce
dĺžka 15,80 km</t>
  </si>
  <si>
    <t>R1 Žarnovica - Šášovské Podhradie, I. etapa
dĺžka 9,68 km</t>
  </si>
  <si>
    <t>R1 Žarnovica - Šášovské Podhradie, II. etapa
dĺžka 8,37</t>
  </si>
  <si>
    <t>R1 Nitra Západ - Selenec
dĺžka 13,00 km</t>
  </si>
  <si>
    <t>R1 Selenec - Beladice
dĺžka 13,50 km</t>
  </si>
  <si>
    <t>D3 Svrčinovec - Skalité
dĺžka 11,40 km</t>
  </si>
  <si>
    <t>D1 Prešov západ - Prešov juh
dĺžka 7,14 km</t>
  </si>
  <si>
    <t>D3 Čadca Bukov - Svrčinovec
dĺžka 5,30 km</t>
  </si>
  <si>
    <t>8.</t>
  </si>
  <si>
    <t>Kurz</t>
  </si>
  <si>
    <t>1 Eur =</t>
  </si>
  <si>
    <t>Spolu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</si>
  <si>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</si>
  <si>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</si>
  <si>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</si>
  <si>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</si>
  <si>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</si>
  <si>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</si>
  <si>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</si>
  <si>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</si>
  <si>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</si>
  <si>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NUTS 3</t>
  </si>
  <si>
    <t>D1 Hubová - Ivachnová
dĺžka 15,25 km</t>
  </si>
  <si>
    <t>D1 Turany - Hubová
dĺžka 16,50 km</t>
  </si>
  <si>
    <t>D3 Žilina Brodno - Kysucké N.Mesto
dĺžka 9,72 km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</si>
  <si>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</si>
  <si>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</si>
  <si>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</si>
  <si>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</si>
  <si>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</si>
  <si>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</si>
  <si>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</si>
  <si>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</si>
  <si>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>R2 Ožďany - Zacharovce
dĺžka 10,50 km</t>
  </si>
  <si>
    <t>R2 Pstruša - Krivaň
dĺžka 10,10 km</t>
  </si>
  <si>
    <t>R4 Košice - Milhosť
dĺžka 15,80 km</t>
  </si>
  <si>
    <t>predpokladaná dĺžka realizácie
(v mesiacoch)</t>
  </si>
  <si>
    <t xml:space="preserve">I/51 Vráble, obchvat </t>
  </si>
  <si>
    <t>I/75 Šaľa, obchvat</t>
  </si>
  <si>
    <t>I/51 Senica, obchvat</t>
  </si>
  <si>
    <t>I/75 Galanta, obchvat</t>
  </si>
  <si>
    <t>I/63 Komárno, obchvat</t>
  </si>
  <si>
    <t>I/66 Banská Bystrica - sev.obchvat</t>
  </si>
  <si>
    <t>I/75 Lučenec - preložka</t>
  </si>
  <si>
    <t>I/59 Donovaly- núdzový záliv</t>
  </si>
  <si>
    <t>I/65 Kremnica - Kremnické Bane</t>
  </si>
  <si>
    <t>I/67 Kráľ - štátna hranica</t>
  </si>
  <si>
    <t>I/59 Motyčky - núdzový záliv</t>
  </si>
  <si>
    <t>I/71 Lučenec - hranica SR/MR</t>
  </si>
  <si>
    <t>I/50 Zvolen,Pustý Hrad - Neres. III.et.</t>
  </si>
  <si>
    <t>I/66 Brezno - Polomka, STO rek.</t>
  </si>
  <si>
    <t>I/65 Kremnické Bane - hr. kraja</t>
  </si>
  <si>
    <t>I/61 JV obchvat Trenčína</t>
  </si>
  <si>
    <t>I/59 D.Kubín, pruh pre pomalé voz.</t>
  </si>
  <si>
    <t>I/78 Námestovo, prieťah</t>
  </si>
  <si>
    <t>I/64 Nitr. Pravno, obchvat</t>
  </si>
  <si>
    <t>I/11 Čadca - obchvat</t>
  </si>
  <si>
    <t>I/64 Prievidza, obchvat I. etapa</t>
  </si>
  <si>
    <t>I/78 Or. Podzámok - Príslop</t>
  </si>
  <si>
    <t>I/64 Hr. krajov - Žab. nad Nitrou</t>
  </si>
  <si>
    <t>I/18 Žilina - Strečno (D.Skala)</t>
  </si>
  <si>
    <t>I/18 Niž.Hrab.- Petrovce n/L prel.</t>
  </si>
  <si>
    <t>I/68 Plavnica preložka cesty</t>
  </si>
  <si>
    <t>I/77 Bardejov-Bard.kúp.-rekonš.</t>
  </si>
  <si>
    <t>I/59 Trstená, obchvat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</si>
  <si>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</si>
  <si>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</si>
  <si>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</si>
  <si>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</si>
  <si>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</si>
  <si>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</si>
  <si>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</si>
  <si>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</si>
  <si>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</si>
  <si>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</si>
  <si>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</si>
  <si>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</si>
  <si>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>4.</t>
  </si>
  <si>
    <t>TT</t>
  </si>
  <si>
    <t>BA</t>
  </si>
  <si>
    <t>TN</t>
  </si>
  <si>
    <t>Z</t>
  </si>
  <si>
    <t>K</t>
  </si>
  <si>
    <t>BB</t>
  </si>
  <si>
    <t>N</t>
  </si>
  <si>
    <t>P</t>
  </si>
  <si>
    <t>ERDF - Moderizácia a rozvoj cestnej infraštruktúry (cesty I.triedy)</t>
  </si>
  <si>
    <t>EUR</t>
  </si>
  <si>
    <t>Sk</t>
  </si>
  <si>
    <t>D3 Kysucké N.Mesto - Osčadnica
dĺžka 11,50 km</t>
  </si>
  <si>
    <t>I/51 Holíč, obchvat II. etapa</t>
  </si>
  <si>
    <t>Spolu
(tis. EUR)</t>
  </si>
  <si>
    <t>EÚ
(tis. EUR)</t>
  </si>
  <si>
    <t>SR
(tis. EUR)</t>
  </si>
  <si>
    <t>(tis. EUR)</t>
  </si>
  <si>
    <t>R2 Lipovník - Jablonov nad Turňou
dĺžka 6,50 km</t>
  </si>
  <si>
    <t>EÚ</t>
  </si>
  <si>
    <t>D3 Hričovské Podhradie - Žilina, Strážov
dĺžka 8,48 km</t>
  </si>
  <si>
    <t>R2 Ruskovce - Pravotice
dĺžka 11,00 km</t>
  </si>
  <si>
    <t>D1 Bratislava - Trnava (rozšírenie na 6 pruh)
dĺžka 36,00 km</t>
  </si>
  <si>
    <t>Bratislava,železničné prepojenie koridorov EÚ s priamym napojením letiska na žel.sieť
SPOLU 1 až 3</t>
  </si>
  <si>
    <t>5.</t>
  </si>
  <si>
    <t>Prioritná os 1 - Železničná infraštruktúra</t>
  </si>
  <si>
    <t>Prioritná os 2 - Cestná infraštruktúra (TEN-T)</t>
  </si>
  <si>
    <t>Implementácia ERMTS na koridore  (E)=IV, 2010-2015
SPOLU 11 až 14</t>
  </si>
  <si>
    <t>Prioritná os 5 - Cestná infraštruktúra (rýchlostné cesty a cesty I. triedy)</t>
  </si>
  <si>
    <t>Bratislava,železničné prepojenie koridorov EÚ s priamym napojením letiska na žel.sieť. Bratislava filiálka - prepojenie koridorov
dĺžka 10,00 km</t>
  </si>
  <si>
    <t>Bratislava,železničné prepojenie koridorov EÚ s priamym napojením letiska na žel.sieť. Železničné napojenie letiska M.R.Štefánika vratane: Bratislava Petržalka - Kittsee-zdvojkoľajnenie trate, Bratislava hl.st. - Bratislava Nové mesto-zdvojkoľajnenie
dĺžka 7,55 km</t>
  </si>
  <si>
    <t>Bratislava, železničné prepojenie koridorov EÚ s priamym napojením letiska na žel.sieť. Elektrifikácia trate D.N.Ves - Marchegg
dĺžka 2,4 km</t>
  </si>
  <si>
    <t>ŽSR,Modernizácia trate Púchov-Žilina
dĺžka 33,73 km</t>
  </si>
  <si>
    <t>ŽSR,Žilina Teplička, zriaďovacia stanica
dĺžka 36,00 km</t>
  </si>
  <si>
    <t>ŽSR,Modernizácia trate Žilina-Krásno n.Kysucou
dĺžka 18,82 km</t>
  </si>
  <si>
    <t>ŽSR,Modernizácia trate Krásno n.Kysucou-Čadca
dĺžka 11,21 km</t>
  </si>
  <si>
    <t xml:space="preserve">Modernizácia trate IV. koridoru, úsek št.hr SR/ČR - Kúty
dĺžka 7,00 km </t>
  </si>
  <si>
    <t>Modernizácia trate Žilina Košice, úsek Kysak-Košice
dĺžka 15,21 km</t>
  </si>
  <si>
    <t>Implementácia ERMTS na koridore (E)=IV, 2010-2015 Koridor E: GSM-R DNV-Kúty št.hr. 58km, GSM-R N.Zámky-Kom 33km, GSM-R Nové Zámky-Štúrovo št.hr. 62km</t>
  </si>
  <si>
    <t>Implementácia ERMTS na koridore (E)=IV, 2010-2015 Koridor E:  ETCS DNV-Kúty št.hr. 58km, ETCS uzol BA, DNV,Rača,Vaj.,Petrž-Rus št.hr 63km, ETCS BA Vaj.-N.Zámky 81km, ETCS N. Zámky-Štúrovo št.hr.62km, ETCS N.Zámky-Komárno 33km 1koľ</t>
  </si>
  <si>
    <t>Implementácia ERMTS na koridore (E)=IV, 2010-2015 koridor E: ES DNV-Kúty št.hr. 58km,(5ES) ES uzol BA,DNV,Rača,Vaj., Petrž-Rus št.hr 63km(7ES), ES BA Vaj.-N.Zámky 81km(8ES), ES N. Zámky-Štúrovo št.hr.62km (7ES), ES N.Zámky-Komárno 33km1koľ (5ES) Interop BA Petrž-Východné</t>
  </si>
  <si>
    <t>Implementácia ERMTS na koridore (E)=IV, 2010-2015 Opt. kab. DNV - Kúty št. hr. (58km),  N.Zámky-Komárno 33km, N.Zámky-Štúrovo-št.hr (62)</t>
  </si>
  <si>
    <t>Bratislavská integrovaná doprava
dĺžka 11,00 km</t>
  </si>
  <si>
    <t>Elektrifikácia trate Haniska pri Košiciach-Plešivec-Fiľakovo
dĺžka 152,00 km</t>
  </si>
  <si>
    <t>ŽSR, Zvolen-Fiľakovo, elektrifikácia trate
dĺžka 64,81 km</t>
  </si>
  <si>
    <t>ŽSR,Modernizácia žel.trate Nové Mesto nad Váhom-Púchov
dĺžka 58,60 km</t>
  </si>
  <si>
    <t>Národné zdroje</t>
  </si>
  <si>
    <t>*D1 Lietavská Lúčka - Višňové
dĺžka 5,400 km</t>
  </si>
  <si>
    <t>*D1 Dubná Skala - Turany
dĺžka 16,450 km</t>
  </si>
  <si>
    <t>Poznámka:</t>
  </si>
  <si>
    <t>* - zaradenie projektu bude závisieť od rozsahu prípravy systému PPP</t>
  </si>
  <si>
    <t>*D1 Hričovské Podhradie - Lietavská Lúčka
dĺžka 11,317 km</t>
  </si>
  <si>
    <t>*D1 Višňové - Dubná Skala
dĺžka 8,11 km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</si>
</sst>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&quot;"/>
    <numFmt numFmtId="165" formatCode="0.0"/>
    <numFmt numFmtId="166" formatCode="#,##0.0"/>
  </numFmts>
  <fonts count="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0" fillId="0" borderId="0" xfId="0" applyNumberFormat="1" applyAlignment="1">
      <alignment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9" fontId="5" fillId="0" borderId="5" xfId="0" applyNumberFormat="1" applyFont="1" applyBorder="1" applyAlignment="1">
      <alignment horizontal="center" vertical="justify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3" fontId="3" fillId="0" borderId="6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textRotation="90" wrapText="1"/>
    </xf>
    <xf numFmtId="3" fontId="5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49" fontId="5" fillId="0" borderId="5" xfId="0" applyNumberFormat="1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wrapText="1"/>
    </xf>
    <xf numFmtId="3" fontId="6" fillId="4" borderId="5" xfId="0" applyNumberFormat="1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/>
    </xf>
    <xf numFmtId="49" fontId="5" fillId="4" borderId="5" xfId="0" applyNumberFormat="1" applyFont="1" applyFill="1" applyBorder="1" applyAlignment="1">
      <alignment horizontal="left" vertical="center" wrapText="1"/>
    </xf>
    <xf numFmtId="0" fontId="5" fillId="4" borderId="5" xfId="0" applyNumberFormat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 textRotation="90" wrapText="1"/>
    </xf>
    <xf numFmtId="0" fontId="0" fillId="0" borderId="13" xfId="0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6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llak\Local%20Settings\Temporary%20Internet%20Files\OLK7C\priloha_1_f%2029%2011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ZI"/>
      <sheetName val="CI_Dialnice"/>
      <sheetName val="CI_Rychlostne a cesty I.triedy"/>
      <sheetName val="CI_Cesty"/>
    </sheetNames>
    <sheetDataSet>
      <sheetData sheetId="0">
        <row r="3">
          <cell r="C3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E30"/>
  <sheetViews>
    <sheetView workbookViewId="0" topLeftCell="A1">
      <selection activeCell="E31" sqref="E31"/>
    </sheetView>
  </sheetViews>
  <sheetFormatPr defaultColWidth="9.140625" defaultRowHeight="12.75"/>
  <cols>
    <col min="5" max="5" width="11.00390625" style="0" bestFit="1" customWidth="1"/>
  </cols>
  <sheetData>
    <row r="1" ht="13.5" thickBot="1"/>
    <row r="2" spans="2:5" ht="12.75">
      <c r="B2" s="74" t="s">
        <v>29</v>
      </c>
      <c r="C2" s="75"/>
      <c r="E2">
        <v>770360</v>
      </c>
    </row>
    <row r="3" spans="2:5" ht="13.5" thickBot="1">
      <c r="B3" s="1" t="s">
        <v>30</v>
      </c>
      <c r="C3" s="2">
        <v>38</v>
      </c>
      <c r="E3">
        <v>706110</v>
      </c>
    </row>
    <row r="4" ht="12.75">
      <c r="E4">
        <v>1734149</v>
      </c>
    </row>
    <row r="5" ht="12.75">
      <c r="E5">
        <v>494100</v>
      </c>
    </row>
    <row r="6" ht="12.75">
      <c r="E6">
        <v>2422699</v>
      </c>
    </row>
    <row r="7" ht="12.75">
      <c r="E7">
        <v>2500000</v>
      </c>
    </row>
    <row r="8" ht="12.75">
      <c r="E8">
        <v>3438000</v>
      </c>
    </row>
    <row r="9" ht="12.75">
      <c r="E9">
        <v>1259000</v>
      </c>
    </row>
    <row r="10" ht="12.75">
      <c r="E10">
        <v>204000</v>
      </c>
    </row>
    <row r="11" ht="12.75">
      <c r="E11">
        <v>285000</v>
      </c>
    </row>
    <row r="12" ht="12.75">
      <c r="E12">
        <v>103000</v>
      </c>
    </row>
    <row r="13" ht="12.75">
      <c r="E13">
        <v>81000</v>
      </c>
    </row>
    <row r="14" ht="12.75">
      <c r="E14">
        <v>897846</v>
      </c>
    </row>
    <row r="15" ht="12.75">
      <c r="E15">
        <v>490000</v>
      </c>
    </row>
    <row r="16" ht="12.75">
      <c r="E16">
        <v>1000000</v>
      </c>
    </row>
    <row r="17" ht="12.75">
      <c r="E17">
        <v>600000</v>
      </c>
    </row>
    <row r="18" ht="12.75">
      <c r="E18">
        <v>2381000</v>
      </c>
    </row>
    <row r="19" ht="12.75">
      <c r="E19">
        <v>402000</v>
      </c>
    </row>
    <row r="20" ht="12.75">
      <c r="E20">
        <v>250000</v>
      </c>
    </row>
    <row r="21" ht="12.75">
      <c r="E21">
        <v>830000</v>
      </c>
    </row>
    <row r="22" ht="12.75">
      <c r="E22">
        <v>260000</v>
      </c>
    </row>
    <row r="23" ht="12.75">
      <c r="E23">
        <v>560000</v>
      </c>
    </row>
    <row r="24" ht="12.75">
      <c r="E24">
        <v>1400000</v>
      </c>
    </row>
    <row r="25" ht="12.75">
      <c r="E25">
        <v>375000</v>
      </c>
    </row>
    <row r="26" ht="12.75">
      <c r="E26">
        <v>860000</v>
      </c>
    </row>
    <row r="27" ht="12.75">
      <c r="E27">
        <v>2200000</v>
      </c>
    </row>
    <row r="28" ht="12.75">
      <c r="E28">
        <v>1000000</v>
      </c>
    </row>
    <row r="29" ht="12.75">
      <c r="E29">
        <v>845000</v>
      </c>
    </row>
    <row r="30" ht="12.75">
      <c r="E30">
        <v>1258759</v>
      </c>
    </row>
  </sheetData>
  <mergeCells count="1">
    <mergeCell ref="B2:C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W27"/>
  <sheetViews>
    <sheetView workbookViewId="0" topLeftCell="A19">
      <selection activeCell="B29" sqref="B29"/>
    </sheetView>
  </sheetViews>
  <sheetFormatPr defaultColWidth="9.140625" defaultRowHeight="12.75"/>
  <cols>
    <col min="1" max="1" width="3.7109375" style="0" bestFit="1" customWidth="1"/>
    <col min="2" max="2" width="48.7109375" style="0" customWidth="1"/>
    <col min="3" max="4" width="7.8515625" style="0" bestFit="1" customWidth="1"/>
    <col min="5" max="5" width="3.7109375" style="0" customWidth="1"/>
    <col min="6" max="6" width="7.7109375" style="0" bestFit="1" customWidth="1"/>
    <col min="7" max="7" width="3.7109375" style="0" customWidth="1"/>
    <col min="8" max="8" width="6.7109375" style="0" customWidth="1"/>
    <col min="9" max="9" width="10.7109375" style="0" customWidth="1"/>
  </cols>
  <sheetData>
    <row r="1" spans="1:23" s="3" customFormat="1" ht="15.75">
      <c r="A1" s="76" t="s">
        <v>122</v>
      </c>
      <c r="B1" s="76"/>
      <c r="C1" s="76"/>
      <c r="D1" s="76"/>
      <c r="E1" s="76"/>
      <c r="F1" s="76"/>
      <c r="G1" s="76"/>
      <c r="H1" s="7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8" ht="13.5" thickBot="1">
      <c r="A2" s="80"/>
      <c r="B2" s="80"/>
      <c r="C2" s="80"/>
      <c r="D2" s="80"/>
      <c r="E2" s="80"/>
      <c r="F2" s="80"/>
      <c r="G2" s="80"/>
      <c r="H2" s="80"/>
    </row>
    <row r="3" spans="1:8" ht="12.75" customHeight="1">
      <c r="A3" s="81" t="s">
        <v>0</v>
      </c>
      <c r="B3" s="84" t="s">
        <v>1</v>
      </c>
      <c r="C3" s="77" t="s">
        <v>2</v>
      </c>
      <c r="D3" s="77"/>
      <c r="E3" s="77"/>
      <c r="F3" s="77"/>
      <c r="G3" s="77"/>
      <c r="H3" s="78" t="s">
        <v>3</v>
      </c>
    </row>
    <row r="4" spans="1:8" ht="12.75" customHeight="1">
      <c r="A4" s="82"/>
      <c r="B4" s="85"/>
      <c r="C4" s="93" t="s">
        <v>31</v>
      </c>
      <c r="D4" s="87" t="s">
        <v>116</v>
      </c>
      <c r="E4" s="88"/>
      <c r="F4" s="87" t="s">
        <v>143</v>
      </c>
      <c r="G4" s="88"/>
      <c r="H4" s="79"/>
    </row>
    <row r="5" spans="1:8" ht="12.75" customHeight="1">
      <c r="A5" s="82"/>
      <c r="B5" s="85"/>
      <c r="C5" s="94"/>
      <c r="D5" s="89"/>
      <c r="E5" s="90"/>
      <c r="F5" s="89"/>
      <c r="G5" s="90"/>
      <c r="H5" s="79"/>
    </row>
    <row r="6" spans="1:8" ht="30.75" customHeight="1">
      <c r="A6" s="82"/>
      <c r="B6" s="85"/>
      <c r="C6" s="95"/>
      <c r="D6" s="91"/>
      <c r="E6" s="92"/>
      <c r="F6" s="91"/>
      <c r="G6" s="92"/>
      <c r="H6" s="79"/>
    </row>
    <row r="7" spans="1:8" ht="12.75">
      <c r="A7" s="83"/>
      <c r="B7" s="86"/>
      <c r="C7" s="45" t="s">
        <v>114</v>
      </c>
      <c r="D7" s="45" t="s">
        <v>114</v>
      </c>
      <c r="E7" s="45" t="s">
        <v>6</v>
      </c>
      <c r="F7" s="45" t="s">
        <v>114</v>
      </c>
      <c r="G7" s="45" t="s">
        <v>6</v>
      </c>
      <c r="H7" s="46"/>
    </row>
    <row r="8" spans="1:8" ht="33.75">
      <c r="A8" s="60" t="s">
        <v>7</v>
      </c>
      <c r="B8" s="61" t="s">
        <v>128</v>
      </c>
      <c r="C8" s="62">
        <f>90000/General!C3</f>
        <v>2368.4210526315787</v>
      </c>
      <c r="D8" s="63">
        <f>C8*E8/100</f>
        <v>2013.1578947368419</v>
      </c>
      <c r="E8" s="64">
        <v>85</v>
      </c>
      <c r="F8" s="63">
        <f>C8*G8/100</f>
        <v>355.2631578947368</v>
      </c>
      <c r="G8" s="64">
        <v>15</v>
      </c>
      <c r="H8" s="65">
        <v>2008</v>
      </c>
    </row>
    <row r="9" spans="1:8" ht="56.25">
      <c r="A9" s="60" t="s">
        <v>8</v>
      </c>
      <c r="B9" s="61" t="s">
        <v>127</v>
      </c>
      <c r="C9" s="62">
        <f>1961800/General!C3</f>
        <v>51626.31578947369</v>
      </c>
      <c r="D9" s="63">
        <f aca="true" t="shared" si="0" ref="D9:D25">C9*E9/100</f>
        <v>43882.36842105264</v>
      </c>
      <c r="E9" s="64">
        <v>85</v>
      </c>
      <c r="F9" s="63">
        <f aca="true" t="shared" si="1" ref="F9:F23">C9*G9/100</f>
        <v>7743.9473684210525</v>
      </c>
      <c r="G9" s="64">
        <v>15</v>
      </c>
      <c r="H9" s="65">
        <v>2009</v>
      </c>
    </row>
    <row r="10" spans="1:8" ht="33.75">
      <c r="A10" s="60" t="s">
        <v>9</v>
      </c>
      <c r="B10" s="66" t="s">
        <v>126</v>
      </c>
      <c r="C10" s="62">
        <f>13500000/General!C3</f>
        <v>355263.15789473685</v>
      </c>
      <c r="D10" s="63">
        <f t="shared" si="0"/>
        <v>301973.6842105263</v>
      </c>
      <c r="E10" s="64">
        <v>85</v>
      </c>
      <c r="F10" s="63">
        <f t="shared" si="1"/>
        <v>53289.47368421053</v>
      </c>
      <c r="G10" s="64">
        <v>15</v>
      </c>
      <c r="H10" s="65">
        <v>2010</v>
      </c>
    </row>
    <row r="11" spans="1:8" ht="33.75">
      <c r="A11" s="60"/>
      <c r="B11" s="66" t="s">
        <v>120</v>
      </c>
      <c r="C11" s="62">
        <f>SUM(C8:C10)</f>
        <v>409257.89473684214</v>
      </c>
      <c r="D11" s="63">
        <f>SUM(D8:D10)</f>
        <v>347869.2105263158</v>
      </c>
      <c r="E11" s="64">
        <v>85</v>
      </c>
      <c r="F11" s="63">
        <f>SUM(F8:F10)</f>
        <v>61388.68421052631</v>
      </c>
      <c r="G11" s="64">
        <v>15</v>
      </c>
      <c r="H11" s="65">
        <v>2008</v>
      </c>
    </row>
    <row r="12" spans="1:8" ht="22.5">
      <c r="A12" s="7" t="s">
        <v>97</v>
      </c>
      <c r="B12" s="59" t="s">
        <v>142</v>
      </c>
      <c r="C12" s="53">
        <f>24160854/General!C3</f>
        <v>635811.947368421</v>
      </c>
      <c r="D12" s="9">
        <f t="shared" si="0"/>
        <v>540440.1552631579</v>
      </c>
      <c r="E12" s="52">
        <v>85</v>
      </c>
      <c r="F12" s="9">
        <f t="shared" si="1"/>
        <v>95371.79210526316</v>
      </c>
      <c r="G12" s="52">
        <v>15</v>
      </c>
      <c r="H12" s="11">
        <v>2008</v>
      </c>
    </row>
    <row r="13" spans="1:8" ht="22.5">
      <c r="A13" s="7" t="s">
        <v>121</v>
      </c>
      <c r="B13" s="59" t="s">
        <v>129</v>
      </c>
      <c r="C13" s="53">
        <f>11000000/General!C3</f>
        <v>289473.6842105263</v>
      </c>
      <c r="D13" s="9">
        <f t="shared" si="0"/>
        <v>246052.63157894733</v>
      </c>
      <c r="E13" s="52">
        <v>85</v>
      </c>
      <c r="F13" s="9">
        <f t="shared" si="1"/>
        <v>43421.05263157895</v>
      </c>
      <c r="G13" s="52">
        <v>15</v>
      </c>
      <c r="H13" s="11">
        <v>2008</v>
      </c>
    </row>
    <row r="14" spans="1:8" ht="22.5">
      <c r="A14" s="7" t="s">
        <v>11</v>
      </c>
      <c r="B14" s="59" t="s">
        <v>130</v>
      </c>
      <c r="C14" s="53">
        <f>4135000/General!C3</f>
        <v>108815.78947368421</v>
      </c>
      <c r="D14" s="9">
        <f t="shared" si="0"/>
        <v>92493.42105263159</v>
      </c>
      <c r="E14" s="52">
        <v>85</v>
      </c>
      <c r="F14" s="9">
        <f t="shared" si="1"/>
        <v>16322.368421052632</v>
      </c>
      <c r="G14" s="52">
        <v>15</v>
      </c>
      <c r="H14" s="11">
        <v>2007</v>
      </c>
    </row>
    <row r="15" spans="1:8" ht="22.5">
      <c r="A15" s="7" t="s">
        <v>12</v>
      </c>
      <c r="B15" s="59" t="s">
        <v>131</v>
      </c>
      <c r="C15" s="53">
        <f>4575000/General!C3</f>
        <v>120394.73684210527</v>
      </c>
      <c r="D15" s="9">
        <f t="shared" si="0"/>
        <v>102335.52631578948</v>
      </c>
      <c r="E15" s="52">
        <v>85</v>
      </c>
      <c r="F15" s="9">
        <f t="shared" si="1"/>
        <v>18059.21052631579</v>
      </c>
      <c r="G15" s="52">
        <v>15</v>
      </c>
      <c r="H15" s="11">
        <v>2007</v>
      </c>
    </row>
    <row r="16" spans="1:8" ht="22.5">
      <c r="A16" s="7" t="s">
        <v>28</v>
      </c>
      <c r="B16" s="59" t="s">
        <v>132</v>
      </c>
      <c r="C16" s="53">
        <f>6500000/General!C3</f>
        <v>171052.63157894736</v>
      </c>
      <c r="D16" s="9">
        <f t="shared" si="0"/>
        <v>145394.73684210525</v>
      </c>
      <c r="E16" s="52">
        <v>85</v>
      </c>
      <c r="F16" s="9">
        <f t="shared" si="1"/>
        <v>25657.894736842103</v>
      </c>
      <c r="G16" s="52">
        <v>15</v>
      </c>
      <c r="H16" s="11">
        <v>2008</v>
      </c>
    </row>
    <row r="17" spans="1:8" ht="22.5">
      <c r="A17" s="7" t="s">
        <v>32</v>
      </c>
      <c r="B17" s="59" t="s">
        <v>133</v>
      </c>
      <c r="C17" s="53">
        <f>2531000/General!C3</f>
        <v>66605.26315789473</v>
      </c>
      <c r="D17" s="9">
        <f t="shared" si="0"/>
        <v>56614.47368421053</v>
      </c>
      <c r="E17" s="52">
        <v>85</v>
      </c>
      <c r="F17" s="9">
        <f t="shared" si="1"/>
        <v>9990.78947368421</v>
      </c>
      <c r="G17" s="52">
        <v>15</v>
      </c>
      <c r="H17" s="11">
        <v>2009</v>
      </c>
    </row>
    <row r="18" spans="1:8" ht="22.5">
      <c r="A18" s="7" t="s">
        <v>33</v>
      </c>
      <c r="B18" s="59" t="s">
        <v>134</v>
      </c>
      <c r="C18" s="53">
        <f>3790000/General!C3</f>
        <v>99736.84210526316</v>
      </c>
      <c r="D18" s="9">
        <f t="shared" si="0"/>
        <v>84776.3157894737</v>
      </c>
      <c r="E18" s="52">
        <v>85</v>
      </c>
      <c r="F18" s="9">
        <f t="shared" si="1"/>
        <v>14960.526315789473</v>
      </c>
      <c r="G18" s="52">
        <v>15</v>
      </c>
      <c r="H18" s="11">
        <v>2009</v>
      </c>
    </row>
    <row r="19" spans="1:8" ht="33.75">
      <c r="A19" s="60" t="s">
        <v>34</v>
      </c>
      <c r="B19" s="67" t="s">
        <v>135</v>
      </c>
      <c r="C19" s="62">
        <f>290000/General!C3</f>
        <v>7631.578947368421</v>
      </c>
      <c r="D19" s="63">
        <f t="shared" si="0"/>
        <v>6486.8421052631575</v>
      </c>
      <c r="E19" s="64">
        <v>85</v>
      </c>
      <c r="F19" s="63">
        <f t="shared" si="1"/>
        <v>1144.7368421052631</v>
      </c>
      <c r="G19" s="64">
        <v>15</v>
      </c>
      <c r="H19" s="65">
        <v>2008</v>
      </c>
    </row>
    <row r="20" spans="1:8" ht="45">
      <c r="A20" s="60" t="s">
        <v>35</v>
      </c>
      <c r="B20" s="67" t="s">
        <v>136</v>
      </c>
      <c r="C20" s="62">
        <f>1890000/General!C3</f>
        <v>49736.84210526316</v>
      </c>
      <c r="D20" s="63">
        <f t="shared" si="0"/>
        <v>42276.31578947369</v>
      </c>
      <c r="E20" s="64">
        <v>85</v>
      </c>
      <c r="F20" s="63">
        <f t="shared" si="1"/>
        <v>7460.526315789474</v>
      </c>
      <c r="G20" s="64">
        <v>15</v>
      </c>
      <c r="H20" s="65">
        <v>2010</v>
      </c>
    </row>
    <row r="21" spans="1:8" ht="56.25">
      <c r="A21" s="60" t="s">
        <v>36</v>
      </c>
      <c r="B21" s="68" t="s">
        <v>137</v>
      </c>
      <c r="C21" s="62">
        <f>2900000/General!C3</f>
        <v>76315.78947368421</v>
      </c>
      <c r="D21" s="63">
        <f t="shared" si="0"/>
        <v>64868.42105263158</v>
      </c>
      <c r="E21" s="64">
        <v>85</v>
      </c>
      <c r="F21" s="63">
        <f t="shared" si="1"/>
        <v>11447.368421052632</v>
      </c>
      <c r="G21" s="64">
        <v>15</v>
      </c>
      <c r="H21" s="65">
        <v>2010</v>
      </c>
    </row>
    <row r="22" spans="1:8" ht="33.75">
      <c r="A22" s="60" t="s">
        <v>37</v>
      </c>
      <c r="B22" s="68" t="s">
        <v>138</v>
      </c>
      <c r="C22" s="62">
        <f>170000/General!C3</f>
        <v>4473.684210526316</v>
      </c>
      <c r="D22" s="63">
        <f t="shared" si="0"/>
        <v>3802.6315789473683</v>
      </c>
      <c r="E22" s="64">
        <v>85</v>
      </c>
      <c r="F22" s="63">
        <f t="shared" si="1"/>
        <v>671.0526315789473</v>
      </c>
      <c r="G22" s="64">
        <v>15</v>
      </c>
      <c r="H22" s="65">
        <v>2008</v>
      </c>
    </row>
    <row r="23" spans="1:8" ht="22.5">
      <c r="A23" s="60"/>
      <c r="B23" s="67" t="s">
        <v>124</v>
      </c>
      <c r="C23" s="62">
        <f>SUM(C19:C22)</f>
        <v>138157.8947368421</v>
      </c>
      <c r="D23" s="63">
        <f t="shared" si="0"/>
        <v>117434.21052631579</v>
      </c>
      <c r="E23" s="64">
        <v>85</v>
      </c>
      <c r="F23" s="63">
        <f t="shared" si="1"/>
        <v>20723.684210526317</v>
      </c>
      <c r="G23" s="64">
        <v>15</v>
      </c>
      <c r="H23" s="65">
        <v>2008</v>
      </c>
    </row>
    <row r="24" spans="1:8" ht="22.5">
      <c r="A24" s="7" t="s">
        <v>38</v>
      </c>
      <c r="B24" s="59" t="s">
        <v>139</v>
      </c>
      <c r="C24" s="53">
        <f>4000000/General!C3</f>
        <v>105263.15789473684</v>
      </c>
      <c r="D24" s="9">
        <f t="shared" si="0"/>
        <v>89473.6842105263</v>
      </c>
      <c r="E24" s="52">
        <v>85</v>
      </c>
      <c r="F24" s="9">
        <f>C24*G24/100</f>
        <v>15789.473684210527</v>
      </c>
      <c r="G24" s="52">
        <v>15</v>
      </c>
      <c r="H24" s="11">
        <v>2010</v>
      </c>
    </row>
    <row r="25" spans="1:8" ht="22.5">
      <c r="A25" s="7" t="s">
        <v>39</v>
      </c>
      <c r="B25" s="59" t="s">
        <v>140</v>
      </c>
      <c r="C25" s="53">
        <f>3040000/General!C3</f>
        <v>80000</v>
      </c>
      <c r="D25" s="9">
        <f t="shared" si="0"/>
        <v>68000</v>
      </c>
      <c r="E25" s="52">
        <v>85</v>
      </c>
      <c r="F25" s="9">
        <f>C25*G25/100</f>
        <v>12000</v>
      </c>
      <c r="G25" s="52">
        <v>15</v>
      </c>
      <c r="H25" s="11">
        <v>2009</v>
      </c>
    </row>
    <row r="26" spans="1:8" ht="22.5">
      <c r="A26" s="7" t="s">
        <v>40</v>
      </c>
      <c r="B26" s="18" t="s">
        <v>141</v>
      </c>
      <c r="C26" s="53">
        <f>2600000/General!C3</f>
        <v>68421.05263157895</v>
      </c>
      <c r="D26" s="9">
        <f>C26*E26/100</f>
        <v>58157.89473684211</v>
      </c>
      <c r="E26" s="52">
        <v>85</v>
      </c>
      <c r="F26" s="9">
        <f>C26*G26/100</f>
        <v>10263.157894736842</v>
      </c>
      <c r="G26" s="52">
        <v>15</v>
      </c>
      <c r="H26" s="11">
        <v>2008</v>
      </c>
    </row>
    <row r="27" spans="1:8" ht="13.5" thickBot="1">
      <c r="A27" s="56"/>
      <c r="B27" s="69" t="s">
        <v>31</v>
      </c>
      <c r="C27" s="14">
        <f>C26+C25+C24+C23+C18+C17+C16+C15+C14+C13+C12+C11</f>
        <v>2292990.8947368423</v>
      </c>
      <c r="D27" s="14">
        <f>C27*0.85</f>
        <v>1949042.2605263158</v>
      </c>
      <c r="E27" s="57"/>
      <c r="F27" s="14">
        <f>C27*0.15</f>
        <v>343948.6342105263</v>
      </c>
      <c r="G27" s="57"/>
      <c r="H27" s="58"/>
    </row>
  </sheetData>
  <mergeCells count="9">
    <mergeCell ref="A1:H1"/>
    <mergeCell ref="C3:G3"/>
    <mergeCell ref="H3:H6"/>
    <mergeCell ref="A2:H2"/>
    <mergeCell ref="A3:A7"/>
    <mergeCell ref="B3:B7"/>
    <mergeCell ref="D4:E6"/>
    <mergeCell ref="F4:G6"/>
    <mergeCell ref="C4:C6"/>
  </mergeCells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portrait" paperSize="9" r:id="rId1"/>
  <headerFooter alignWithMargins="0">
    <oddHeader>&amp;L&amp;"Tahoma,Normálne"&amp;8Operačný program Doprava 2007 - 2013&amp;C&amp;"Tahoma,Normálne"&amp;8Zásobník projektov - orientačný&amp;R&amp;"Tahoma,Normálne"&amp;8Príloha 1</oddHeader>
  </headerFooter>
  <ignoredErrors>
    <ignoredError sqref="D11 F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B26"/>
  <sheetViews>
    <sheetView tabSelected="1" workbookViewId="0" topLeftCell="A11">
      <selection activeCell="B27" sqref="B27"/>
    </sheetView>
  </sheetViews>
  <sheetFormatPr defaultColWidth="9.140625" defaultRowHeight="12.75"/>
  <cols>
    <col min="1" max="1" width="3.7109375" style="0" bestFit="1" customWidth="1"/>
    <col min="2" max="2" width="48.7109375" style="0" customWidth="1"/>
    <col min="3" max="4" width="7.8515625" style="0" bestFit="1" customWidth="1"/>
    <col min="5" max="5" width="3.7109375" style="0" customWidth="1"/>
    <col min="6" max="6" width="7.7109375" style="0" bestFit="1" customWidth="1"/>
    <col min="7" max="7" width="3.7109375" style="0" customWidth="1"/>
    <col min="8" max="8" width="6.7109375" style="0" customWidth="1"/>
    <col min="9" max="9" width="10.7109375" style="0" customWidth="1"/>
  </cols>
  <sheetData>
    <row r="1" spans="1:28" s="3" customFormat="1" ht="15.75">
      <c r="A1" s="76" t="s">
        <v>123</v>
      </c>
      <c r="B1" s="76"/>
      <c r="C1" s="76"/>
      <c r="D1" s="76"/>
      <c r="E1" s="76"/>
      <c r="F1" s="76"/>
      <c r="G1" s="76"/>
      <c r="H1" s="7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8" ht="13.5" thickBot="1">
      <c r="A2" s="80"/>
      <c r="B2" s="80"/>
      <c r="C2" s="80"/>
      <c r="D2" s="80"/>
      <c r="E2" s="80"/>
      <c r="F2" s="80"/>
      <c r="G2" s="80"/>
      <c r="H2" s="80"/>
    </row>
    <row r="3" spans="1:8" ht="12.75" customHeight="1">
      <c r="A3" s="81" t="s">
        <v>0</v>
      </c>
      <c r="B3" s="84" t="s">
        <v>1</v>
      </c>
      <c r="C3" s="77" t="s">
        <v>2</v>
      </c>
      <c r="D3" s="77"/>
      <c r="E3" s="77"/>
      <c r="F3" s="77"/>
      <c r="G3" s="77"/>
      <c r="H3" s="78" t="s">
        <v>3</v>
      </c>
    </row>
    <row r="4" spans="1:8" ht="12.75" customHeight="1">
      <c r="A4" s="82"/>
      <c r="B4" s="85"/>
      <c r="C4" s="93" t="s">
        <v>31</v>
      </c>
      <c r="D4" s="87" t="s">
        <v>116</v>
      </c>
      <c r="E4" s="88"/>
      <c r="F4" s="87" t="s">
        <v>143</v>
      </c>
      <c r="G4" s="88"/>
      <c r="H4" s="79"/>
    </row>
    <row r="5" spans="1:8" ht="12.75" customHeight="1">
      <c r="A5" s="82"/>
      <c r="B5" s="85"/>
      <c r="C5" s="94"/>
      <c r="D5" s="89"/>
      <c r="E5" s="90"/>
      <c r="F5" s="89"/>
      <c r="G5" s="90"/>
      <c r="H5" s="79"/>
    </row>
    <row r="6" spans="1:8" ht="30.75" customHeight="1">
      <c r="A6" s="82"/>
      <c r="B6" s="85"/>
      <c r="C6" s="95"/>
      <c r="D6" s="91"/>
      <c r="E6" s="92"/>
      <c r="F6" s="91"/>
      <c r="G6" s="92"/>
      <c r="H6" s="79"/>
    </row>
    <row r="7" spans="1:8" ht="12.75">
      <c r="A7" s="83"/>
      <c r="B7" s="86"/>
      <c r="C7" s="45" t="s">
        <v>114</v>
      </c>
      <c r="D7" s="45" t="s">
        <v>114</v>
      </c>
      <c r="E7" s="45" t="s">
        <v>6</v>
      </c>
      <c r="F7" s="45" t="s">
        <v>114</v>
      </c>
      <c r="G7" s="45" t="s">
        <v>6</v>
      </c>
      <c r="H7" s="46"/>
    </row>
    <row r="8" spans="1:8" ht="22.5">
      <c r="A8" s="44" t="s">
        <v>7</v>
      </c>
      <c r="B8" s="18" t="s">
        <v>117</v>
      </c>
      <c r="C8" s="53">
        <v>68420</v>
      </c>
      <c r="D8" s="47">
        <f aca="true" t="shared" si="0" ref="D8:D18">C8*E8/100</f>
        <v>58157</v>
      </c>
      <c r="E8" s="51">
        <v>85</v>
      </c>
      <c r="F8" s="47">
        <f aca="true" t="shared" si="1" ref="F8:F18">C8*G8/100</f>
        <v>10263</v>
      </c>
      <c r="G8" s="51">
        <v>15</v>
      </c>
      <c r="H8" s="11">
        <v>2005</v>
      </c>
    </row>
    <row r="9" spans="1:8" ht="22.5">
      <c r="A9" s="44" t="s">
        <v>8</v>
      </c>
      <c r="B9" s="17" t="s">
        <v>13</v>
      </c>
      <c r="C9" s="53">
        <v>258000</v>
      </c>
      <c r="D9" s="47">
        <f t="shared" si="0"/>
        <v>219300</v>
      </c>
      <c r="E9" s="51">
        <v>85</v>
      </c>
      <c r="F9" s="47">
        <f t="shared" si="1"/>
        <v>38700</v>
      </c>
      <c r="G9" s="51">
        <v>15</v>
      </c>
      <c r="H9" s="11">
        <v>2007</v>
      </c>
    </row>
    <row r="10" spans="1:8" ht="22.5">
      <c r="A10" s="44" t="s">
        <v>9</v>
      </c>
      <c r="B10" s="50" t="s">
        <v>25</v>
      </c>
      <c r="C10" s="53">
        <v>200650</v>
      </c>
      <c r="D10" s="47">
        <f t="shared" si="0"/>
        <v>170552.5</v>
      </c>
      <c r="E10" s="51">
        <v>85</v>
      </c>
      <c r="F10" s="47">
        <f t="shared" si="1"/>
        <v>30097.5</v>
      </c>
      <c r="G10" s="51">
        <v>15</v>
      </c>
      <c r="H10" s="11">
        <v>2008</v>
      </c>
    </row>
    <row r="11" spans="1:8" ht="22.5">
      <c r="A11" s="44" t="s">
        <v>10</v>
      </c>
      <c r="B11" s="50" t="s">
        <v>27</v>
      </c>
      <c r="C11" s="53">
        <v>119700</v>
      </c>
      <c r="D11" s="47">
        <f t="shared" si="0"/>
        <v>101745</v>
      </c>
      <c r="E11" s="51">
        <v>85</v>
      </c>
      <c r="F11" s="47">
        <f t="shared" si="1"/>
        <v>17955</v>
      </c>
      <c r="G11" s="51">
        <v>15</v>
      </c>
      <c r="H11" s="11">
        <v>2009</v>
      </c>
    </row>
    <row r="12" spans="1:8" ht="22.5">
      <c r="A12" s="44" t="s">
        <v>15</v>
      </c>
      <c r="B12" s="50" t="s">
        <v>14</v>
      </c>
      <c r="C12" s="53">
        <v>175350</v>
      </c>
      <c r="D12" s="47">
        <f t="shared" si="0"/>
        <v>149047.5</v>
      </c>
      <c r="E12" s="51">
        <v>85</v>
      </c>
      <c r="F12" s="47">
        <f t="shared" si="1"/>
        <v>26302.5</v>
      </c>
      <c r="G12" s="51">
        <v>15</v>
      </c>
      <c r="H12" s="11">
        <v>2008</v>
      </c>
    </row>
    <row r="13" spans="1:8" ht="22.5">
      <c r="A13" s="44" t="s">
        <v>16</v>
      </c>
      <c r="B13" s="17" t="s">
        <v>26</v>
      </c>
      <c r="C13" s="53">
        <v>246780</v>
      </c>
      <c r="D13" s="47">
        <f t="shared" si="0"/>
        <v>209763</v>
      </c>
      <c r="E13" s="51">
        <v>85</v>
      </c>
      <c r="F13" s="47">
        <f t="shared" si="1"/>
        <v>37017</v>
      </c>
      <c r="G13" s="51">
        <v>15</v>
      </c>
      <c r="H13" s="11">
        <v>2010</v>
      </c>
    </row>
    <row r="14" spans="1:8" ht="22.5">
      <c r="A14" s="44" t="s">
        <v>17</v>
      </c>
      <c r="B14" s="19" t="s">
        <v>109</v>
      </c>
      <c r="C14" s="54">
        <v>153290</v>
      </c>
      <c r="D14" s="47">
        <f t="shared" si="0"/>
        <v>130296.5</v>
      </c>
      <c r="E14" s="51">
        <v>85</v>
      </c>
      <c r="F14" s="47">
        <f t="shared" si="1"/>
        <v>22993.5</v>
      </c>
      <c r="G14" s="51">
        <v>15</v>
      </c>
      <c r="H14" s="20">
        <v>2009</v>
      </c>
    </row>
    <row r="15" spans="1:8" ht="22.5">
      <c r="A15" s="44" t="s">
        <v>18</v>
      </c>
      <c r="B15" s="19" t="s">
        <v>44</v>
      </c>
      <c r="C15" s="54">
        <v>243920</v>
      </c>
      <c r="D15" s="47">
        <f t="shared" si="0"/>
        <v>207332</v>
      </c>
      <c r="E15" s="51">
        <v>85</v>
      </c>
      <c r="F15" s="47">
        <f t="shared" si="1"/>
        <v>36588</v>
      </c>
      <c r="G15" s="51">
        <v>15</v>
      </c>
      <c r="H15" s="20">
        <v>2009</v>
      </c>
    </row>
    <row r="16" spans="1:8" ht="22.5">
      <c r="A16" s="44" t="s">
        <v>19</v>
      </c>
      <c r="B16" s="19" t="s">
        <v>42</v>
      </c>
      <c r="C16" s="54">
        <v>381710</v>
      </c>
      <c r="D16" s="47">
        <f t="shared" si="0"/>
        <v>324453.5</v>
      </c>
      <c r="E16" s="51">
        <v>85</v>
      </c>
      <c r="F16" s="47">
        <f t="shared" si="1"/>
        <v>57256.5</v>
      </c>
      <c r="G16" s="51">
        <v>15</v>
      </c>
      <c r="H16" s="20">
        <v>2008</v>
      </c>
    </row>
    <row r="17" spans="1:8" ht="22.5">
      <c r="A17" s="44" t="s">
        <v>45</v>
      </c>
      <c r="B17" s="19" t="s">
        <v>43</v>
      </c>
      <c r="C17" s="54">
        <v>467180</v>
      </c>
      <c r="D17" s="47">
        <f t="shared" si="0"/>
        <v>397103</v>
      </c>
      <c r="E17" s="51">
        <v>85</v>
      </c>
      <c r="F17" s="47">
        <f t="shared" si="1"/>
        <v>70077</v>
      </c>
      <c r="G17" s="51">
        <v>15</v>
      </c>
      <c r="H17" s="20">
        <v>2011</v>
      </c>
    </row>
    <row r="18" spans="1:8" ht="22.5">
      <c r="A18" s="44" t="s">
        <v>46</v>
      </c>
      <c r="B18" s="43" t="s">
        <v>119</v>
      </c>
      <c r="C18" s="54">
        <f>3600000/38</f>
        <v>94736.84210526316</v>
      </c>
      <c r="D18" s="47">
        <f t="shared" si="0"/>
        <v>80526.3157894737</v>
      </c>
      <c r="E18" s="51">
        <v>85</v>
      </c>
      <c r="F18" s="47">
        <f t="shared" si="1"/>
        <v>14210.526315789473</v>
      </c>
      <c r="G18" s="51">
        <v>15</v>
      </c>
      <c r="H18" s="20">
        <v>2009</v>
      </c>
    </row>
    <row r="19" spans="1:8" ht="22.5">
      <c r="A19" s="44" t="s">
        <v>47</v>
      </c>
      <c r="B19" s="43" t="s">
        <v>148</v>
      </c>
      <c r="C19" s="71">
        <v>320130</v>
      </c>
      <c r="D19" s="47">
        <f>C19*E19/100</f>
        <v>272110.5</v>
      </c>
      <c r="E19" s="51">
        <v>85</v>
      </c>
      <c r="F19" s="47">
        <f>C19*G19/100</f>
        <v>48019.5</v>
      </c>
      <c r="G19" s="51">
        <v>15</v>
      </c>
      <c r="H19" s="72">
        <v>2008</v>
      </c>
    </row>
    <row r="20" spans="1:8" ht="22.5">
      <c r="A20" s="44" t="s">
        <v>48</v>
      </c>
      <c r="B20" s="43" t="s">
        <v>144</v>
      </c>
      <c r="C20" s="71">
        <v>174240</v>
      </c>
      <c r="D20" s="47">
        <f>C20*E20/100</f>
        <v>148104</v>
      </c>
      <c r="E20" s="70">
        <v>85</v>
      </c>
      <c r="F20" s="47">
        <f>C20*G20/100</f>
        <v>26136</v>
      </c>
      <c r="G20" s="70">
        <v>15</v>
      </c>
      <c r="H20" s="72">
        <v>2011</v>
      </c>
    </row>
    <row r="21" spans="1:8" ht="22.5">
      <c r="A21" s="44" t="s">
        <v>49</v>
      </c>
      <c r="B21" s="43" t="s">
        <v>149</v>
      </c>
      <c r="C21" s="71">
        <v>421060</v>
      </c>
      <c r="D21" s="47">
        <f>C21*E21/100</f>
        <v>357901</v>
      </c>
      <c r="E21" s="70">
        <v>85</v>
      </c>
      <c r="F21" s="47">
        <f>C21*G21/100</f>
        <v>63159</v>
      </c>
      <c r="G21" s="70">
        <v>15</v>
      </c>
      <c r="H21" s="72">
        <v>2008</v>
      </c>
    </row>
    <row r="22" spans="1:8" ht="22.5">
      <c r="A22" s="44" t="s">
        <v>50</v>
      </c>
      <c r="B22" s="43" t="s">
        <v>145</v>
      </c>
      <c r="C22" s="71">
        <v>173230</v>
      </c>
      <c r="D22" s="47">
        <f>C22*E22/100</f>
        <v>147245.5</v>
      </c>
      <c r="E22" s="70">
        <v>85</v>
      </c>
      <c r="F22" s="47">
        <f>C22*G22/100</f>
        <v>25984.5</v>
      </c>
      <c r="G22" s="70">
        <v>15</v>
      </c>
      <c r="H22" s="72">
        <v>2009</v>
      </c>
    </row>
    <row r="23" spans="1:8" ht="13.5" thickBot="1">
      <c r="A23" s="12"/>
      <c r="B23" s="13" t="s">
        <v>31</v>
      </c>
      <c r="C23" s="14">
        <f>SUM(C8:C17)</f>
        <v>2315000</v>
      </c>
      <c r="D23" s="14">
        <f>SUM(D8:D17)</f>
        <v>1967750</v>
      </c>
      <c r="E23" s="15"/>
      <c r="F23" s="14">
        <f>SUM(F8:F17)</f>
        <v>347250</v>
      </c>
      <c r="G23" s="15"/>
      <c r="H23" s="16"/>
    </row>
    <row r="24" ht="12.75">
      <c r="F24" s="6"/>
    </row>
    <row r="25" ht="12.75">
      <c r="B25" s="73" t="s">
        <v>146</v>
      </c>
    </row>
    <row r="26" ht="12.75">
      <c r="B26" s="73" t="s">
        <v>147</v>
      </c>
    </row>
  </sheetData>
  <mergeCells count="9">
    <mergeCell ref="A2:H2"/>
    <mergeCell ref="D4:E6"/>
    <mergeCell ref="F4:G6"/>
    <mergeCell ref="A1:H1"/>
    <mergeCell ref="C3:G3"/>
    <mergeCell ref="H3:H6"/>
    <mergeCell ref="C4:C6"/>
    <mergeCell ref="A3:A7"/>
    <mergeCell ref="B3:B7"/>
  </mergeCells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portrait" paperSize="9" r:id="rId1"/>
  <headerFooter alignWithMargins="0">
    <oddHeader>&amp;L&amp;"Tahoma,Normálne"&amp;8Operačný program Doprava 2007 - 2013&amp;C&amp;"Tahoma,Normálne"&amp;8Zásobník projektov - orientačný&amp;R&amp;"Tahoma,Normálne"&amp;8Príloha 1</oddHeader>
  </headerFooter>
  <ignoredErrors>
    <ignoredError sqref="C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BH19"/>
  <sheetViews>
    <sheetView workbookViewId="0" topLeftCell="A1">
      <selection activeCell="B22" sqref="B22"/>
    </sheetView>
  </sheetViews>
  <sheetFormatPr defaultColWidth="9.140625" defaultRowHeight="12.75"/>
  <cols>
    <col min="1" max="1" width="3.7109375" style="0" bestFit="1" customWidth="1"/>
    <col min="2" max="2" width="48.7109375" style="0" customWidth="1"/>
    <col min="3" max="4" width="7.8515625" style="0" bestFit="1" customWidth="1"/>
    <col min="5" max="5" width="3.7109375" style="0" customWidth="1"/>
    <col min="6" max="6" width="7.7109375" style="0" bestFit="1" customWidth="1"/>
    <col min="7" max="7" width="3.7109375" style="0" customWidth="1"/>
    <col min="8" max="8" width="6.7109375" style="0" customWidth="1"/>
    <col min="9" max="9" width="10.7109375" style="0" customWidth="1"/>
  </cols>
  <sheetData>
    <row r="1" spans="1:60" s="3" customFormat="1" ht="15.75">
      <c r="A1" s="76" t="s">
        <v>125</v>
      </c>
      <c r="B1" s="76"/>
      <c r="C1" s="76"/>
      <c r="D1" s="76"/>
      <c r="E1" s="76"/>
      <c r="F1" s="76"/>
      <c r="G1" s="76"/>
      <c r="H1" s="76"/>
      <c r="I1" s="5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8" ht="13.5" thickBot="1">
      <c r="A2" s="80"/>
      <c r="B2" s="80"/>
      <c r="C2" s="80"/>
      <c r="D2" s="80"/>
      <c r="E2" s="80"/>
      <c r="F2" s="80"/>
      <c r="G2" s="80"/>
      <c r="H2" s="80"/>
    </row>
    <row r="3" spans="1:8" ht="12.75" customHeight="1">
      <c r="A3" s="81" t="s">
        <v>0</v>
      </c>
      <c r="B3" s="84" t="s">
        <v>1</v>
      </c>
      <c r="C3" s="77" t="s">
        <v>2</v>
      </c>
      <c r="D3" s="77"/>
      <c r="E3" s="77"/>
      <c r="F3" s="77"/>
      <c r="G3" s="77"/>
      <c r="H3" s="78" t="s">
        <v>3</v>
      </c>
    </row>
    <row r="4" spans="1:8" ht="12.75" customHeight="1">
      <c r="A4" s="82"/>
      <c r="B4" s="85"/>
      <c r="C4" s="93" t="s">
        <v>31</v>
      </c>
      <c r="D4" s="87" t="s">
        <v>116</v>
      </c>
      <c r="E4" s="88"/>
      <c r="F4" s="87" t="s">
        <v>143</v>
      </c>
      <c r="G4" s="88"/>
      <c r="H4" s="79"/>
    </row>
    <row r="5" spans="1:8" ht="12.75" customHeight="1">
      <c r="A5" s="82"/>
      <c r="B5" s="85"/>
      <c r="C5" s="94"/>
      <c r="D5" s="89"/>
      <c r="E5" s="90"/>
      <c r="F5" s="89"/>
      <c r="G5" s="90"/>
      <c r="H5" s="79"/>
    </row>
    <row r="6" spans="1:8" ht="30.75" customHeight="1">
      <c r="A6" s="82"/>
      <c r="B6" s="85"/>
      <c r="C6" s="95"/>
      <c r="D6" s="91"/>
      <c r="E6" s="92"/>
      <c r="F6" s="91"/>
      <c r="G6" s="92"/>
      <c r="H6" s="79"/>
    </row>
    <row r="7" spans="1:8" ht="12.75">
      <c r="A7" s="83"/>
      <c r="B7" s="86"/>
      <c r="C7" s="45" t="s">
        <v>114</v>
      </c>
      <c r="D7" s="45" t="s">
        <v>114</v>
      </c>
      <c r="E7" s="45" t="s">
        <v>6</v>
      </c>
      <c r="F7" s="45" t="s">
        <v>114</v>
      </c>
      <c r="G7" s="45" t="s">
        <v>6</v>
      </c>
      <c r="H7" s="46"/>
    </row>
    <row r="8" spans="1:8" ht="22.5">
      <c r="A8" s="44" t="s">
        <v>7</v>
      </c>
      <c r="B8" s="8" t="s">
        <v>21</v>
      </c>
      <c r="C8" s="55">
        <v>70760</v>
      </c>
      <c r="D8" s="47">
        <f>C8*E8/100</f>
        <v>60146</v>
      </c>
      <c r="E8" s="51">
        <v>85</v>
      </c>
      <c r="F8" s="47">
        <f>C8*G8/100</f>
        <v>10614</v>
      </c>
      <c r="G8" s="51">
        <v>15</v>
      </c>
      <c r="H8" s="48">
        <v>2007</v>
      </c>
    </row>
    <row r="9" spans="1:8" ht="22.5">
      <c r="A9" s="44" t="s">
        <v>8</v>
      </c>
      <c r="B9" s="8" t="s">
        <v>22</v>
      </c>
      <c r="C9" s="55">
        <v>79530</v>
      </c>
      <c r="D9" s="47">
        <f aca="true" t="shared" si="0" ref="D9:D18">C9*E9/100</f>
        <v>67600.5</v>
      </c>
      <c r="E9" s="51">
        <v>85</v>
      </c>
      <c r="F9" s="47">
        <f aca="true" t="shared" si="1" ref="F9:F18">C9*G9/100</f>
        <v>11929.5</v>
      </c>
      <c r="G9" s="51">
        <v>15</v>
      </c>
      <c r="H9" s="48">
        <v>2007</v>
      </c>
    </row>
    <row r="10" spans="1:8" ht="22.5">
      <c r="A10" s="44" t="s">
        <v>9</v>
      </c>
      <c r="B10" s="8" t="s">
        <v>20</v>
      </c>
      <c r="C10" s="55">
        <v>128000</v>
      </c>
      <c r="D10" s="47">
        <f t="shared" si="0"/>
        <v>108800</v>
      </c>
      <c r="E10" s="51">
        <v>85</v>
      </c>
      <c r="F10" s="47">
        <f t="shared" si="1"/>
        <v>19200</v>
      </c>
      <c r="G10" s="51">
        <v>15</v>
      </c>
      <c r="H10" s="48">
        <v>2009</v>
      </c>
    </row>
    <row r="11" spans="1:8" ht="22.5">
      <c r="A11" s="44" t="s">
        <v>10</v>
      </c>
      <c r="B11" s="8" t="s">
        <v>24</v>
      </c>
      <c r="C11" s="55">
        <v>148760</v>
      </c>
      <c r="D11" s="47">
        <f t="shared" si="0"/>
        <v>126446</v>
      </c>
      <c r="E11" s="51">
        <v>85</v>
      </c>
      <c r="F11" s="47">
        <f t="shared" si="1"/>
        <v>22314</v>
      </c>
      <c r="G11" s="51">
        <v>15</v>
      </c>
      <c r="H11" s="48">
        <v>2009</v>
      </c>
    </row>
    <row r="12" spans="1:8" ht="22.5">
      <c r="A12" s="44" t="s">
        <v>15</v>
      </c>
      <c r="B12" s="8" t="s">
        <v>23</v>
      </c>
      <c r="C12" s="55">
        <v>149900</v>
      </c>
      <c r="D12" s="47">
        <f t="shared" si="0"/>
        <v>127415</v>
      </c>
      <c r="E12" s="51">
        <v>85</v>
      </c>
      <c r="F12" s="47">
        <f t="shared" si="1"/>
        <v>22485</v>
      </c>
      <c r="G12" s="51">
        <v>15</v>
      </c>
      <c r="H12" s="48">
        <v>2009</v>
      </c>
    </row>
    <row r="13" spans="1:8" ht="22.5">
      <c r="A13" s="44" t="s">
        <v>16</v>
      </c>
      <c r="B13" s="43" t="s">
        <v>115</v>
      </c>
      <c r="C13" s="54">
        <f>8200000/'[1]General'!C3</f>
        <v>215789.47368421053</v>
      </c>
      <c r="D13" s="47">
        <f t="shared" si="0"/>
        <v>183421.05263157896</v>
      </c>
      <c r="E13" s="51">
        <v>85</v>
      </c>
      <c r="F13" s="47">
        <f t="shared" si="1"/>
        <v>32368.421052631584</v>
      </c>
      <c r="G13" s="51">
        <v>15</v>
      </c>
      <c r="H13" s="20">
        <v>2011</v>
      </c>
    </row>
    <row r="14" spans="1:8" ht="22.5">
      <c r="A14" s="44" t="s">
        <v>17</v>
      </c>
      <c r="B14" s="8" t="s">
        <v>53</v>
      </c>
      <c r="C14" s="53">
        <f>(4111672/'[1]General'!C3)*0.92</f>
        <v>99545.74315789474</v>
      </c>
      <c r="D14" s="47">
        <f t="shared" si="0"/>
        <v>84613.88168421053</v>
      </c>
      <c r="E14" s="51">
        <v>85</v>
      </c>
      <c r="F14" s="47">
        <f t="shared" si="1"/>
        <v>14931.86147368421</v>
      </c>
      <c r="G14" s="51">
        <v>15</v>
      </c>
      <c r="H14" s="11">
        <v>2011</v>
      </c>
    </row>
    <row r="15" spans="1:8" ht="22.5">
      <c r="A15" s="44" t="s">
        <v>18</v>
      </c>
      <c r="B15" s="8" t="s">
        <v>54</v>
      </c>
      <c r="C15" s="53">
        <f>(4111672/'[1]General'!C3)*0.92</f>
        <v>99545.74315789474</v>
      </c>
      <c r="D15" s="47">
        <f t="shared" si="0"/>
        <v>84613.88168421053</v>
      </c>
      <c r="E15" s="51">
        <v>85</v>
      </c>
      <c r="F15" s="47">
        <f t="shared" si="1"/>
        <v>14931.86147368421</v>
      </c>
      <c r="G15" s="51">
        <v>15</v>
      </c>
      <c r="H15" s="11">
        <v>2010</v>
      </c>
    </row>
    <row r="16" spans="1:8" ht="22.5">
      <c r="A16" s="44" t="s">
        <v>19</v>
      </c>
      <c r="B16" s="8" t="s">
        <v>55</v>
      </c>
      <c r="C16" s="53">
        <f>(3480779/'[1]General'!C3)*0.92</f>
        <v>84271.49157894737</v>
      </c>
      <c r="D16" s="47">
        <f t="shared" si="0"/>
        <v>71630.76784210527</v>
      </c>
      <c r="E16" s="51">
        <v>85</v>
      </c>
      <c r="F16" s="47">
        <f t="shared" si="1"/>
        <v>12640.723736842107</v>
      </c>
      <c r="G16" s="51">
        <v>15</v>
      </c>
      <c r="H16" s="11">
        <v>2010</v>
      </c>
    </row>
    <row r="17" spans="1:8" ht="22.5">
      <c r="A17" s="44" t="s">
        <v>45</v>
      </c>
      <c r="B17" s="8" t="s">
        <v>118</v>
      </c>
      <c r="C17" s="53">
        <f>2138000/'[1]General'!C3</f>
        <v>56263.15789473684</v>
      </c>
      <c r="D17" s="47">
        <f t="shared" si="0"/>
        <v>47823.68421052631</v>
      </c>
      <c r="E17" s="51">
        <v>85</v>
      </c>
      <c r="F17" s="47">
        <f t="shared" si="1"/>
        <v>8439.473684210527</v>
      </c>
      <c r="G17" s="51">
        <v>15</v>
      </c>
      <c r="H17" s="11">
        <v>2012</v>
      </c>
    </row>
    <row r="18" spans="1:8" ht="12.75">
      <c r="A18" s="44" t="s">
        <v>46</v>
      </c>
      <c r="B18" s="31" t="s">
        <v>62</v>
      </c>
      <c r="C18" s="53">
        <v>68447</v>
      </c>
      <c r="D18" s="9">
        <f t="shared" si="0"/>
        <v>58179.95</v>
      </c>
      <c r="E18" s="52">
        <v>85</v>
      </c>
      <c r="F18" s="9">
        <f t="shared" si="1"/>
        <v>10267.05</v>
      </c>
      <c r="G18" s="51">
        <v>15</v>
      </c>
      <c r="H18" s="49"/>
    </row>
    <row r="19" spans="1:8" ht="13.5" thickBot="1">
      <c r="A19" s="12"/>
      <c r="B19" s="13" t="s">
        <v>31</v>
      </c>
      <c r="C19" s="14">
        <f>SUM(C8:C18)</f>
        <v>1200812.609473684</v>
      </c>
      <c r="D19" s="14">
        <f>SUM(D8:D18)</f>
        <v>1020690.7180526315</v>
      </c>
      <c r="E19" s="15"/>
      <c r="F19" s="14">
        <f>SUM(F8:F18)</f>
        <v>180121.89142105263</v>
      </c>
      <c r="G19" s="15"/>
      <c r="H19" s="16"/>
    </row>
    <row r="20" ht="7.5" customHeight="1"/>
  </sheetData>
  <mergeCells count="9">
    <mergeCell ref="A2:H2"/>
    <mergeCell ref="D4:E6"/>
    <mergeCell ref="F4:G6"/>
    <mergeCell ref="A1:H1"/>
    <mergeCell ref="C3:G3"/>
    <mergeCell ref="H3:H6"/>
    <mergeCell ref="C4:C6"/>
    <mergeCell ref="A3:A7"/>
    <mergeCell ref="B3:B7"/>
  </mergeCells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portrait" paperSize="9" r:id="rId1"/>
  <headerFooter alignWithMargins="0">
    <oddHeader>&amp;L&amp;"Tahoma,Normálne"&amp;8Operačný program Doprava 2007 - 2013&amp;C&amp;"Tahoma,Normálne"&amp;8Zásobník projektov - orientačný&amp;R&amp;"Tahoma,Normálne"&amp;8Príloha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L48"/>
  <sheetViews>
    <sheetView workbookViewId="0" topLeftCell="A10">
      <selection activeCell="B45" sqref="B45"/>
    </sheetView>
  </sheetViews>
  <sheetFormatPr defaultColWidth="9.140625" defaultRowHeight="12.75"/>
  <cols>
    <col min="1" max="1" width="3.7109375" style="0" bestFit="1" customWidth="1"/>
    <col min="2" max="2" width="49.28125" style="0" bestFit="1" customWidth="1"/>
    <col min="3" max="3" width="7.00390625" style="0" bestFit="1" customWidth="1"/>
    <col min="4" max="5" width="12.7109375" style="0" bestFit="1" customWidth="1"/>
    <col min="6" max="6" width="2.7109375" style="0" bestFit="1" customWidth="1"/>
    <col min="7" max="7" width="11.140625" style="0" bestFit="1" customWidth="1"/>
    <col min="8" max="8" width="2.7109375" style="0" bestFit="1" customWidth="1"/>
    <col min="9" max="9" width="11.140625" style="0" customWidth="1"/>
    <col min="10" max="10" width="2.57421875" style="0" bestFit="1" customWidth="1"/>
    <col min="14" max="14" width="11.00390625" style="0" bestFit="1" customWidth="1"/>
  </cols>
  <sheetData>
    <row r="2" spans="1:64" s="3" customFormat="1" ht="15.75">
      <c r="A2" s="96" t="s">
        <v>106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5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ht="13.5" thickBot="1"/>
    <row r="4" spans="1:12" ht="12.75">
      <c r="A4" s="97" t="s">
        <v>0</v>
      </c>
      <c r="B4" s="99" t="s">
        <v>1</v>
      </c>
      <c r="C4" s="99" t="s">
        <v>41</v>
      </c>
      <c r="D4" s="77" t="s">
        <v>2</v>
      </c>
      <c r="E4" s="77"/>
      <c r="F4" s="77"/>
      <c r="G4" s="77"/>
      <c r="H4" s="77"/>
      <c r="I4" s="77"/>
      <c r="J4" s="77"/>
      <c r="K4" s="101" t="s">
        <v>3</v>
      </c>
      <c r="L4" s="78" t="s">
        <v>56</v>
      </c>
    </row>
    <row r="5" spans="1:12" ht="12.75">
      <c r="A5" s="98"/>
      <c r="B5" s="100"/>
      <c r="C5" s="100"/>
      <c r="D5" s="103" t="s">
        <v>111</v>
      </c>
      <c r="E5" s="104" t="s">
        <v>4</v>
      </c>
      <c r="F5" s="104"/>
      <c r="G5" s="104"/>
      <c r="H5" s="104"/>
      <c r="I5" s="104" t="s">
        <v>5</v>
      </c>
      <c r="J5" s="104"/>
      <c r="K5" s="102"/>
      <c r="L5" s="79"/>
    </row>
    <row r="6" spans="1:12" ht="12.75">
      <c r="A6" s="98"/>
      <c r="B6" s="100"/>
      <c r="C6" s="100"/>
      <c r="D6" s="100"/>
      <c r="E6" s="103" t="s">
        <v>112</v>
      </c>
      <c r="F6" s="100" t="s">
        <v>6</v>
      </c>
      <c r="G6" s="103" t="s">
        <v>113</v>
      </c>
      <c r="H6" s="100" t="s">
        <v>6</v>
      </c>
      <c r="I6" s="100" t="s">
        <v>114</v>
      </c>
      <c r="J6" s="100" t="s">
        <v>6</v>
      </c>
      <c r="K6" s="102"/>
      <c r="L6" s="79"/>
    </row>
    <row r="7" spans="1:12" ht="30.75" customHeight="1">
      <c r="A7" s="98"/>
      <c r="B7" s="100"/>
      <c r="C7" s="100"/>
      <c r="D7" s="100"/>
      <c r="E7" s="100"/>
      <c r="F7" s="100"/>
      <c r="G7" s="100"/>
      <c r="H7" s="100"/>
      <c r="I7" s="100"/>
      <c r="J7" s="100"/>
      <c r="K7" s="102"/>
      <c r="L7" s="79"/>
    </row>
    <row r="8" spans="1:12" ht="12.75">
      <c r="A8" s="7" t="s">
        <v>7</v>
      </c>
      <c r="B8" s="31" t="s">
        <v>110</v>
      </c>
      <c r="C8" s="25" t="s">
        <v>98</v>
      </c>
      <c r="D8" s="9">
        <f>General!E2/General!$C$3</f>
        <v>20272.63157894737</v>
      </c>
      <c r="E8" s="9">
        <f>D8*F8/100</f>
        <v>15204.473684210529</v>
      </c>
      <c r="F8" s="9">
        <v>75</v>
      </c>
      <c r="G8" s="9">
        <f>D8*H8/100</f>
        <v>5068.1578947368425</v>
      </c>
      <c r="H8" s="9">
        <v>25</v>
      </c>
      <c r="I8" s="9"/>
      <c r="J8" s="10"/>
      <c r="K8" s="10"/>
      <c r="L8" s="11"/>
    </row>
    <row r="9" spans="1:12" ht="12.75">
      <c r="A9" s="7" t="s">
        <v>8</v>
      </c>
      <c r="B9" s="31" t="s">
        <v>57</v>
      </c>
      <c r="C9" s="25" t="s">
        <v>104</v>
      </c>
      <c r="D9" s="9">
        <f>General!E3/General!$C$3</f>
        <v>18581.842105263157</v>
      </c>
      <c r="E9" s="9">
        <f aca="true" t="shared" si="0" ref="E9:E36">D9*F9/100</f>
        <v>13936.381578947368</v>
      </c>
      <c r="F9" s="9">
        <v>75</v>
      </c>
      <c r="G9" s="9">
        <f aca="true" t="shared" si="1" ref="G9:G36">D9*H9/100</f>
        <v>4645.460526315789</v>
      </c>
      <c r="H9" s="9">
        <v>25</v>
      </c>
      <c r="I9" s="9"/>
      <c r="J9" s="10"/>
      <c r="K9" s="10"/>
      <c r="L9" s="11"/>
    </row>
    <row r="10" spans="1:12" ht="12.75">
      <c r="A10" s="7" t="s">
        <v>9</v>
      </c>
      <c r="B10" s="31" t="s">
        <v>58</v>
      </c>
      <c r="C10" s="25" t="s">
        <v>104</v>
      </c>
      <c r="D10" s="9">
        <f>General!E4/General!$C$3</f>
        <v>45635.5</v>
      </c>
      <c r="E10" s="9">
        <f t="shared" si="0"/>
        <v>34226.625</v>
      </c>
      <c r="F10" s="9">
        <v>75</v>
      </c>
      <c r="G10" s="9">
        <f t="shared" si="1"/>
        <v>11408.875</v>
      </c>
      <c r="H10" s="9">
        <v>25</v>
      </c>
      <c r="I10" s="9"/>
      <c r="J10" s="10"/>
      <c r="K10" s="10"/>
      <c r="L10" s="11"/>
    </row>
    <row r="11" spans="1:12" ht="12.75">
      <c r="A11" s="7" t="s">
        <v>10</v>
      </c>
      <c r="B11" s="31" t="s">
        <v>59</v>
      </c>
      <c r="C11" s="25" t="s">
        <v>98</v>
      </c>
      <c r="D11" s="9">
        <f>General!E5/General!$C$3</f>
        <v>13002.631578947368</v>
      </c>
      <c r="E11" s="9">
        <f t="shared" si="0"/>
        <v>9751.973684210527</v>
      </c>
      <c r="F11" s="9">
        <v>75</v>
      </c>
      <c r="G11" s="9">
        <f t="shared" si="1"/>
        <v>3250.657894736842</v>
      </c>
      <c r="H11" s="9">
        <v>25</v>
      </c>
      <c r="I11" s="9"/>
      <c r="J11" s="10"/>
      <c r="K11" s="10"/>
      <c r="L11" s="11"/>
    </row>
    <row r="12" spans="1:12" ht="12.75">
      <c r="A12" s="7" t="s">
        <v>15</v>
      </c>
      <c r="B12" s="31" t="s">
        <v>60</v>
      </c>
      <c r="C12" s="25" t="s">
        <v>98</v>
      </c>
      <c r="D12" s="9">
        <f>General!E6/General!$C$3</f>
        <v>63755.23684210526</v>
      </c>
      <c r="E12" s="9">
        <f t="shared" si="0"/>
        <v>47816.42763157895</v>
      </c>
      <c r="F12" s="9">
        <v>75</v>
      </c>
      <c r="G12" s="9">
        <f t="shared" si="1"/>
        <v>15938.809210526315</v>
      </c>
      <c r="H12" s="9">
        <v>25</v>
      </c>
      <c r="I12" s="9"/>
      <c r="J12" s="10"/>
      <c r="K12" s="10"/>
      <c r="L12" s="11"/>
    </row>
    <row r="13" spans="1:12" ht="12.75">
      <c r="A13" s="7" t="s">
        <v>16</v>
      </c>
      <c r="B13" s="31" t="s">
        <v>61</v>
      </c>
      <c r="C13" s="25" t="s">
        <v>104</v>
      </c>
      <c r="D13" s="9">
        <f>General!E7/General!$C$3</f>
        <v>65789.47368421052</v>
      </c>
      <c r="E13" s="9">
        <f t="shared" si="0"/>
        <v>49342.105263157886</v>
      </c>
      <c r="F13" s="9">
        <v>75</v>
      </c>
      <c r="G13" s="9">
        <f t="shared" si="1"/>
        <v>16447.36842105263</v>
      </c>
      <c r="H13" s="9">
        <v>25</v>
      </c>
      <c r="I13" s="9"/>
      <c r="J13" s="10"/>
      <c r="K13" s="10"/>
      <c r="L13" s="11"/>
    </row>
    <row r="14" spans="1:12" ht="12.75">
      <c r="A14" s="7" t="s">
        <v>17</v>
      </c>
      <c r="B14" s="31" t="s">
        <v>62</v>
      </c>
      <c r="C14" s="25" t="s">
        <v>103</v>
      </c>
      <c r="D14" s="9">
        <f>General!E8/General!$C$3</f>
        <v>90473.68421052632</v>
      </c>
      <c r="E14" s="9">
        <f t="shared" si="0"/>
        <v>67855.26315789475</v>
      </c>
      <c r="F14" s="9">
        <v>75</v>
      </c>
      <c r="G14" s="9">
        <f t="shared" si="1"/>
        <v>22618.421052631584</v>
      </c>
      <c r="H14" s="9">
        <v>25</v>
      </c>
      <c r="I14" s="9"/>
      <c r="J14" s="10"/>
      <c r="K14" s="10"/>
      <c r="L14" s="11"/>
    </row>
    <row r="15" spans="1:12" ht="12.75">
      <c r="A15" s="7" t="s">
        <v>18</v>
      </c>
      <c r="B15" s="31" t="s">
        <v>63</v>
      </c>
      <c r="C15" s="25" t="s">
        <v>103</v>
      </c>
      <c r="D15" s="9">
        <f>General!E9/General!$C$3</f>
        <v>33131.57894736842</v>
      </c>
      <c r="E15" s="9">
        <f t="shared" si="0"/>
        <v>24848.684210526313</v>
      </c>
      <c r="F15" s="9">
        <v>75</v>
      </c>
      <c r="G15" s="9">
        <f t="shared" si="1"/>
        <v>8282.894736842105</v>
      </c>
      <c r="H15" s="9">
        <v>25</v>
      </c>
      <c r="I15" s="9"/>
      <c r="J15" s="10"/>
      <c r="K15" s="10"/>
      <c r="L15" s="11"/>
    </row>
    <row r="16" spans="1:12" ht="12.75">
      <c r="A16" s="7" t="s">
        <v>19</v>
      </c>
      <c r="B16" s="31" t="s">
        <v>64</v>
      </c>
      <c r="C16" s="25" t="s">
        <v>103</v>
      </c>
      <c r="D16" s="9">
        <f>General!E10/General!$C$3</f>
        <v>5368.421052631579</v>
      </c>
      <c r="E16" s="9">
        <f t="shared" si="0"/>
        <v>4026.315789473684</v>
      </c>
      <c r="F16" s="9">
        <v>75</v>
      </c>
      <c r="G16" s="9">
        <f t="shared" si="1"/>
        <v>1342.1052631578946</v>
      </c>
      <c r="H16" s="9">
        <v>25</v>
      </c>
      <c r="I16" s="9"/>
      <c r="J16" s="10"/>
      <c r="K16" s="10"/>
      <c r="L16" s="11"/>
    </row>
    <row r="17" spans="1:12" ht="12.75">
      <c r="A17" s="7" t="s">
        <v>45</v>
      </c>
      <c r="B17" s="31" t="s">
        <v>65</v>
      </c>
      <c r="C17" s="25" t="s">
        <v>103</v>
      </c>
      <c r="D17" s="9">
        <f>General!E11/General!$C$3</f>
        <v>7500</v>
      </c>
      <c r="E17" s="9">
        <f t="shared" si="0"/>
        <v>5625</v>
      </c>
      <c r="F17" s="9">
        <v>75</v>
      </c>
      <c r="G17" s="9">
        <f t="shared" si="1"/>
        <v>1875</v>
      </c>
      <c r="H17" s="9">
        <v>25</v>
      </c>
      <c r="I17" s="9"/>
      <c r="J17" s="10"/>
      <c r="K17" s="10"/>
      <c r="L17" s="11"/>
    </row>
    <row r="18" spans="1:12" ht="12.75">
      <c r="A18" s="7" t="s">
        <v>46</v>
      </c>
      <c r="B18" s="31" t="s">
        <v>66</v>
      </c>
      <c r="C18" s="25" t="s">
        <v>103</v>
      </c>
      <c r="D18" s="9">
        <f>General!E12/General!$C$3</f>
        <v>2710.5263157894738</v>
      </c>
      <c r="E18" s="9">
        <f t="shared" si="0"/>
        <v>2032.8947368421054</v>
      </c>
      <c r="F18" s="9">
        <v>75</v>
      </c>
      <c r="G18" s="9">
        <f t="shared" si="1"/>
        <v>677.6315789473684</v>
      </c>
      <c r="H18" s="9">
        <v>25</v>
      </c>
      <c r="I18" s="9"/>
      <c r="J18" s="10"/>
      <c r="K18" s="10"/>
      <c r="L18" s="11"/>
    </row>
    <row r="19" spans="1:12" ht="12.75">
      <c r="A19" s="7" t="s">
        <v>47</v>
      </c>
      <c r="B19" s="31" t="s">
        <v>67</v>
      </c>
      <c r="C19" s="25" t="s">
        <v>103</v>
      </c>
      <c r="D19" s="9">
        <f>General!E13/General!$C$3</f>
        <v>2131.5789473684213</v>
      </c>
      <c r="E19" s="9">
        <f t="shared" si="0"/>
        <v>1598.684210526316</v>
      </c>
      <c r="F19" s="9">
        <v>75</v>
      </c>
      <c r="G19" s="9">
        <f t="shared" si="1"/>
        <v>532.8947368421053</v>
      </c>
      <c r="H19" s="9">
        <v>25</v>
      </c>
      <c r="I19" s="9"/>
      <c r="J19" s="10"/>
      <c r="K19" s="10"/>
      <c r="L19" s="11"/>
    </row>
    <row r="20" spans="1:12" ht="12.75">
      <c r="A20" s="7" t="s">
        <v>48</v>
      </c>
      <c r="B20" s="31" t="s">
        <v>68</v>
      </c>
      <c r="C20" s="25" t="s">
        <v>103</v>
      </c>
      <c r="D20" s="9">
        <f>General!E14/General!$C$3</f>
        <v>23627.526315789473</v>
      </c>
      <c r="E20" s="9">
        <f t="shared" si="0"/>
        <v>17720.644736842107</v>
      </c>
      <c r="F20" s="9">
        <v>75</v>
      </c>
      <c r="G20" s="9">
        <f t="shared" si="1"/>
        <v>5906.881578947368</v>
      </c>
      <c r="H20" s="9">
        <v>25</v>
      </c>
      <c r="I20" s="9"/>
      <c r="J20" s="10"/>
      <c r="K20" s="10"/>
      <c r="L20" s="11"/>
    </row>
    <row r="21" spans="1:12" ht="12.75">
      <c r="A21" s="7" t="s">
        <v>49</v>
      </c>
      <c r="B21" s="31" t="s">
        <v>69</v>
      </c>
      <c r="C21" s="25" t="s">
        <v>103</v>
      </c>
      <c r="D21" s="9">
        <f>General!E15/General!$C$3</f>
        <v>12894.736842105263</v>
      </c>
      <c r="E21" s="9">
        <f t="shared" si="0"/>
        <v>9671.052631578947</v>
      </c>
      <c r="F21" s="9">
        <v>75</v>
      </c>
      <c r="G21" s="9">
        <f t="shared" si="1"/>
        <v>3223.684210526316</v>
      </c>
      <c r="H21" s="9">
        <v>25</v>
      </c>
      <c r="I21" s="9"/>
      <c r="J21" s="10"/>
      <c r="K21" s="10"/>
      <c r="L21" s="11"/>
    </row>
    <row r="22" spans="1:12" ht="12.75">
      <c r="A22" s="7" t="s">
        <v>50</v>
      </c>
      <c r="B22" s="31" t="s">
        <v>70</v>
      </c>
      <c r="C22" s="25" t="s">
        <v>103</v>
      </c>
      <c r="D22" s="9">
        <f>General!E16/General!$C$3</f>
        <v>26315.78947368421</v>
      </c>
      <c r="E22" s="9">
        <f t="shared" si="0"/>
        <v>19736.842105263157</v>
      </c>
      <c r="F22" s="9">
        <v>75</v>
      </c>
      <c r="G22" s="9">
        <f t="shared" si="1"/>
        <v>6578.9473684210525</v>
      </c>
      <c r="H22" s="9">
        <v>25</v>
      </c>
      <c r="I22" s="9"/>
      <c r="J22" s="10"/>
      <c r="K22" s="10"/>
      <c r="L22" s="11"/>
    </row>
    <row r="23" spans="1:12" ht="12.75">
      <c r="A23" s="7" t="s">
        <v>51</v>
      </c>
      <c r="B23" s="31" t="s">
        <v>71</v>
      </c>
      <c r="C23" s="25" t="s">
        <v>103</v>
      </c>
      <c r="D23" s="9">
        <f>General!E17/General!$C$3</f>
        <v>15789.473684210527</v>
      </c>
      <c r="E23" s="9">
        <f t="shared" si="0"/>
        <v>11842.105263157895</v>
      </c>
      <c r="F23" s="9">
        <v>75</v>
      </c>
      <c r="G23" s="9">
        <f t="shared" si="1"/>
        <v>3947.3684210526317</v>
      </c>
      <c r="H23" s="9">
        <v>25</v>
      </c>
      <c r="I23" s="21"/>
      <c r="J23" s="26"/>
      <c r="K23" s="26"/>
      <c r="L23" s="27"/>
    </row>
    <row r="24" spans="1:12" ht="12.75">
      <c r="A24" s="7" t="s">
        <v>52</v>
      </c>
      <c r="B24" s="31" t="s">
        <v>72</v>
      </c>
      <c r="C24" s="25" t="s">
        <v>100</v>
      </c>
      <c r="D24" s="9">
        <f>General!E18/General!$C$3</f>
        <v>62657.89473684211</v>
      </c>
      <c r="E24" s="9">
        <f t="shared" si="0"/>
        <v>46993.42105263158</v>
      </c>
      <c r="F24" s="9">
        <v>75</v>
      </c>
      <c r="G24" s="9">
        <f t="shared" si="1"/>
        <v>15664.473684210527</v>
      </c>
      <c r="H24" s="9">
        <v>25</v>
      </c>
      <c r="I24" s="28"/>
      <c r="J24" s="28"/>
      <c r="K24" s="28"/>
      <c r="L24" s="29"/>
    </row>
    <row r="25" spans="1:12" ht="12.75">
      <c r="A25" s="7" t="s">
        <v>85</v>
      </c>
      <c r="B25" s="31" t="s">
        <v>73</v>
      </c>
      <c r="C25" s="25" t="s">
        <v>101</v>
      </c>
      <c r="D25" s="9">
        <f>General!E19/General!$C$3</f>
        <v>10578.947368421053</v>
      </c>
      <c r="E25" s="9">
        <f t="shared" si="0"/>
        <v>7934.21052631579</v>
      </c>
      <c r="F25" s="9">
        <v>75</v>
      </c>
      <c r="G25" s="9">
        <f t="shared" si="1"/>
        <v>2644.7368421052633</v>
      </c>
      <c r="H25" s="9">
        <v>25</v>
      </c>
      <c r="I25" s="28"/>
      <c r="J25" s="28"/>
      <c r="K25" s="28"/>
      <c r="L25" s="29"/>
    </row>
    <row r="26" spans="1:12" ht="12.75">
      <c r="A26" s="7" t="s">
        <v>86</v>
      </c>
      <c r="B26" s="31" t="s">
        <v>74</v>
      </c>
      <c r="C26" s="25" t="s">
        <v>101</v>
      </c>
      <c r="D26" s="9">
        <f>General!E20/General!$C$3</f>
        <v>6578.9473684210525</v>
      </c>
      <c r="E26" s="9">
        <f t="shared" si="0"/>
        <v>4934.210526315789</v>
      </c>
      <c r="F26" s="9">
        <v>75</v>
      </c>
      <c r="G26" s="9">
        <f t="shared" si="1"/>
        <v>1644.7368421052631</v>
      </c>
      <c r="H26" s="9">
        <v>25</v>
      </c>
      <c r="I26" s="28"/>
      <c r="J26" s="28"/>
      <c r="K26" s="28"/>
      <c r="L26" s="29"/>
    </row>
    <row r="27" spans="1:12" ht="12.75">
      <c r="A27" s="7" t="s">
        <v>87</v>
      </c>
      <c r="B27" s="31" t="s">
        <v>75</v>
      </c>
      <c r="C27" s="25" t="s">
        <v>100</v>
      </c>
      <c r="D27" s="9">
        <f>General!E21/General!$C$3</f>
        <v>21842.105263157893</v>
      </c>
      <c r="E27" s="9">
        <f t="shared" si="0"/>
        <v>16381.57894736842</v>
      </c>
      <c r="F27" s="9">
        <v>75</v>
      </c>
      <c r="G27" s="9">
        <f t="shared" si="1"/>
        <v>5460.526315789473</v>
      </c>
      <c r="H27" s="9">
        <v>25</v>
      </c>
      <c r="I27" s="28"/>
      <c r="J27" s="28"/>
      <c r="K27" s="28"/>
      <c r="L27" s="29"/>
    </row>
    <row r="28" spans="1:12" ht="12.75">
      <c r="A28" s="7" t="s">
        <v>88</v>
      </c>
      <c r="B28" s="32" t="s">
        <v>76</v>
      </c>
      <c r="C28" s="25" t="s">
        <v>101</v>
      </c>
      <c r="D28" s="9">
        <f>General!E22/General!$C$3</f>
        <v>6842.105263157895</v>
      </c>
      <c r="E28" s="9">
        <f t="shared" si="0"/>
        <v>5131.578947368422</v>
      </c>
      <c r="F28" s="9">
        <v>75</v>
      </c>
      <c r="G28" s="9">
        <f t="shared" si="1"/>
        <v>1710.526315789474</v>
      </c>
      <c r="H28" s="9">
        <v>25</v>
      </c>
      <c r="I28" s="28"/>
      <c r="J28" s="28"/>
      <c r="K28" s="28"/>
      <c r="L28" s="29"/>
    </row>
    <row r="29" spans="1:12" ht="12.75">
      <c r="A29" s="7" t="s">
        <v>89</v>
      </c>
      <c r="B29" s="32" t="s">
        <v>77</v>
      </c>
      <c r="C29" s="25" t="s">
        <v>100</v>
      </c>
      <c r="D29" s="9">
        <f>General!E23/General!$C$3</f>
        <v>14736.842105263158</v>
      </c>
      <c r="E29" s="9">
        <f t="shared" si="0"/>
        <v>11052.631578947368</v>
      </c>
      <c r="F29" s="9">
        <v>75</v>
      </c>
      <c r="G29" s="9">
        <f t="shared" si="1"/>
        <v>3684.210526315789</v>
      </c>
      <c r="H29" s="9">
        <v>25</v>
      </c>
      <c r="I29" s="28"/>
      <c r="J29" s="28"/>
      <c r="K29" s="28"/>
      <c r="L29" s="29"/>
    </row>
    <row r="30" spans="1:12" ht="12.75">
      <c r="A30" s="7" t="s">
        <v>90</v>
      </c>
      <c r="B30" s="32" t="s">
        <v>78</v>
      </c>
      <c r="C30" s="25" t="s">
        <v>101</v>
      </c>
      <c r="D30" s="9">
        <f>General!E24/General!$C$3</f>
        <v>36842.10526315789</v>
      </c>
      <c r="E30" s="9">
        <f t="shared" si="0"/>
        <v>27631.578947368416</v>
      </c>
      <c r="F30" s="9">
        <v>75</v>
      </c>
      <c r="G30" s="9">
        <f t="shared" si="1"/>
        <v>9210.526315789473</v>
      </c>
      <c r="H30" s="9">
        <v>25</v>
      </c>
      <c r="I30" s="28"/>
      <c r="J30" s="28"/>
      <c r="K30" s="28"/>
      <c r="L30" s="29"/>
    </row>
    <row r="31" spans="1:12" ht="12.75">
      <c r="A31" s="7" t="s">
        <v>91</v>
      </c>
      <c r="B31" s="32" t="s">
        <v>79</v>
      </c>
      <c r="C31" s="25" t="s">
        <v>100</v>
      </c>
      <c r="D31" s="9">
        <f>General!E25/General!$C$3</f>
        <v>9868.421052631578</v>
      </c>
      <c r="E31" s="9">
        <f t="shared" si="0"/>
        <v>7401.315789473684</v>
      </c>
      <c r="F31" s="9">
        <v>75</v>
      </c>
      <c r="G31" s="9">
        <f t="shared" si="1"/>
        <v>2467.1052631578946</v>
      </c>
      <c r="H31" s="9">
        <v>25</v>
      </c>
      <c r="I31" s="28"/>
      <c r="J31" s="28"/>
      <c r="K31" s="28"/>
      <c r="L31" s="29"/>
    </row>
    <row r="32" spans="1:12" ht="12.75">
      <c r="A32" s="7" t="s">
        <v>92</v>
      </c>
      <c r="B32" s="32" t="s">
        <v>80</v>
      </c>
      <c r="C32" s="25" t="s">
        <v>101</v>
      </c>
      <c r="D32" s="9">
        <f>General!E26/General!$C$3</f>
        <v>22631.57894736842</v>
      </c>
      <c r="E32" s="9">
        <f t="shared" si="0"/>
        <v>16973.684210526313</v>
      </c>
      <c r="F32" s="9">
        <v>75</v>
      </c>
      <c r="G32" s="9">
        <f t="shared" si="1"/>
        <v>5657.894736842104</v>
      </c>
      <c r="H32" s="9">
        <v>25</v>
      </c>
      <c r="I32" s="28"/>
      <c r="J32" s="28"/>
      <c r="K32" s="28"/>
      <c r="L32" s="29"/>
    </row>
    <row r="33" spans="1:12" ht="12.75">
      <c r="A33" s="7" t="s">
        <v>93</v>
      </c>
      <c r="B33" s="18" t="s">
        <v>81</v>
      </c>
      <c r="C33" s="30" t="s">
        <v>105</v>
      </c>
      <c r="D33" s="9">
        <f>General!E27/General!$C$3</f>
        <v>57894.73684210526</v>
      </c>
      <c r="E33" s="9">
        <f t="shared" si="0"/>
        <v>43421.05263157895</v>
      </c>
      <c r="F33" s="9">
        <v>75</v>
      </c>
      <c r="G33" s="9">
        <f t="shared" si="1"/>
        <v>14473.684210526315</v>
      </c>
      <c r="H33" s="9">
        <v>25</v>
      </c>
      <c r="I33" s="28"/>
      <c r="J33" s="28"/>
      <c r="K33" s="28"/>
      <c r="L33" s="29"/>
    </row>
    <row r="34" spans="1:12" ht="12.75">
      <c r="A34" s="7" t="s">
        <v>94</v>
      </c>
      <c r="B34" s="32" t="s">
        <v>82</v>
      </c>
      <c r="C34" s="30" t="s">
        <v>105</v>
      </c>
      <c r="D34" s="9">
        <f>General!E28/General!$C$3</f>
        <v>26315.78947368421</v>
      </c>
      <c r="E34" s="9">
        <f t="shared" si="0"/>
        <v>19736.842105263157</v>
      </c>
      <c r="F34" s="9">
        <v>75</v>
      </c>
      <c r="G34" s="9">
        <f t="shared" si="1"/>
        <v>6578.9473684210525</v>
      </c>
      <c r="H34" s="9">
        <v>25</v>
      </c>
      <c r="I34" s="28"/>
      <c r="J34" s="28"/>
      <c r="K34" s="28"/>
      <c r="L34" s="29"/>
    </row>
    <row r="35" spans="1:12" ht="12.75">
      <c r="A35" s="7" t="s">
        <v>95</v>
      </c>
      <c r="B35" s="32" t="s">
        <v>83</v>
      </c>
      <c r="C35" s="30" t="s">
        <v>105</v>
      </c>
      <c r="D35" s="9">
        <f>General!E29/General!$C$3</f>
        <v>22236.842105263157</v>
      </c>
      <c r="E35" s="9">
        <f t="shared" si="0"/>
        <v>16677.63157894737</v>
      </c>
      <c r="F35" s="9">
        <v>75</v>
      </c>
      <c r="G35" s="9">
        <f t="shared" si="1"/>
        <v>5559.210526315789</v>
      </c>
      <c r="H35" s="9">
        <v>25</v>
      </c>
      <c r="I35" s="28"/>
      <c r="J35" s="28"/>
      <c r="K35" s="28"/>
      <c r="L35" s="29"/>
    </row>
    <row r="36" spans="1:12" ht="12.75">
      <c r="A36" s="7" t="s">
        <v>96</v>
      </c>
      <c r="B36" s="32" t="s">
        <v>84</v>
      </c>
      <c r="C36" s="30" t="s">
        <v>101</v>
      </c>
      <c r="D36" s="9">
        <f>General!E30/General!$C$3</f>
        <v>33125.23684210526</v>
      </c>
      <c r="E36" s="9">
        <f t="shared" si="0"/>
        <v>24843.927631578943</v>
      </c>
      <c r="F36" s="9">
        <v>75</v>
      </c>
      <c r="G36" s="9">
        <f t="shared" si="1"/>
        <v>8281.309210526315</v>
      </c>
      <c r="H36" s="9">
        <v>25</v>
      </c>
      <c r="I36" s="28"/>
      <c r="J36" s="28"/>
      <c r="K36" s="28"/>
      <c r="L36" s="29"/>
    </row>
    <row r="37" spans="1:12" ht="13.5" thickBot="1">
      <c r="A37" s="22"/>
      <c r="B37" s="13" t="s">
        <v>31</v>
      </c>
      <c r="C37" s="13"/>
      <c r="D37" s="14">
        <f>SUM(D8:D36)</f>
        <v>779132.1842105263</v>
      </c>
      <c r="E37" s="14">
        <f>SUM(E8:E36)</f>
        <v>584349.1381578947</v>
      </c>
      <c r="F37" s="13"/>
      <c r="G37" s="14">
        <f>SUM(G8:G36)</f>
        <v>194783.04605263157</v>
      </c>
      <c r="H37" s="13"/>
      <c r="I37" s="13"/>
      <c r="J37" s="13"/>
      <c r="K37" s="13"/>
      <c r="L37" s="23"/>
    </row>
    <row r="38" ht="13.5" thickBot="1"/>
    <row r="39" spans="3:5" ht="12.75">
      <c r="C39" s="40"/>
      <c r="D39" s="41" t="s">
        <v>107</v>
      </c>
      <c r="E39" s="42" t="s">
        <v>108</v>
      </c>
    </row>
    <row r="40" spans="3:5" ht="12.75">
      <c r="C40" s="35" t="s">
        <v>99</v>
      </c>
      <c r="D40" s="33">
        <v>0</v>
      </c>
      <c r="E40" s="36">
        <f>D40*General!$C$3</f>
        <v>0</v>
      </c>
    </row>
    <row r="41" spans="3:5" ht="12.75">
      <c r="C41" s="35" t="s">
        <v>98</v>
      </c>
      <c r="D41" s="34">
        <f>D8+D11+D12</f>
        <v>97030.5</v>
      </c>
      <c r="E41" s="36">
        <f>D41*General!$C$3</f>
        <v>3687159</v>
      </c>
    </row>
    <row r="42" spans="3:5" ht="12.75">
      <c r="C42" s="35" t="s">
        <v>104</v>
      </c>
      <c r="D42" s="34">
        <f>D9+D10+D13</f>
        <v>130006.81578947368</v>
      </c>
      <c r="E42" s="36">
        <f>D42*General!$C$3</f>
        <v>4940259</v>
      </c>
    </row>
    <row r="43" spans="3:5" ht="12.75">
      <c r="C43" s="35" t="s">
        <v>100</v>
      </c>
      <c r="D43" s="34">
        <f>D24+D27+D29+D31</f>
        <v>109105.26315789473</v>
      </c>
      <c r="E43" s="36">
        <f>D43*General!$C$3</f>
        <v>4146000</v>
      </c>
    </row>
    <row r="44" spans="3:5" ht="12.75">
      <c r="C44" s="35" t="s">
        <v>101</v>
      </c>
      <c r="D44" s="34">
        <f>D25+D26+D28+D30+D32+D36</f>
        <v>116598.92105263157</v>
      </c>
      <c r="E44" s="36">
        <f>D44*General!$C$3</f>
        <v>4430759</v>
      </c>
    </row>
    <row r="45" spans="3:5" ht="12.75">
      <c r="C45" s="35" t="s">
        <v>103</v>
      </c>
      <c r="D45" s="34">
        <f>SUM(D14:D23)</f>
        <v>219943.31578947368</v>
      </c>
      <c r="E45" s="36">
        <f>D45*General!$C$3</f>
        <v>8357846</v>
      </c>
    </row>
    <row r="46" spans="3:5" ht="12.75">
      <c r="C46" s="35" t="s">
        <v>105</v>
      </c>
      <c r="D46" s="34">
        <f>D33+D34+D35</f>
        <v>106447.36842105263</v>
      </c>
      <c r="E46" s="36">
        <f>D46*General!$C$3</f>
        <v>4045000</v>
      </c>
    </row>
    <row r="47" spans="3:5" ht="13.5" thickBot="1">
      <c r="C47" s="37" t="s">
        <v>102</v>
      </c>
      <c r="D47" s="38">
        <v>0</v>
      </c>
      <c r="E47" s="39">
        <f>D47*General!$C$3</f>
        <v>0</v>
      </c>
    </row>
    <row r="48" ht="12.75">
      <c r="D48" s="24"/>
    </row>
  </sheetData>
  <mergeCells count="16">
    <mergeCell ref="I6:I7"/>
    <mergeCell ref="J6:J7"/>
    <mergeCell ref="E6:E7"/>
    <mergeCell ref="F6:F7"/>
    <mergeCell ref="G6:G7"/>
    <mergeCell ref="H6:H7"/>
    <mergeCell ref="A2:L2"/>
    <mergeCell ref="A4:A7"/>
    <mergeCell ref="B4:B7"/>
    <mergeCell ref="C4:C7"/>
    <mergeCell ref="D4:J4"/>
    <mergeCell ref="K4:K7"/>
    <mergeCell ref="L4:L7"/>
    <mergeCell ref="D5:D7"/>
    <mergeCell ref="E5:H5"/>
    <mergeCell ref="I5:J5"/>
  </mergeCells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landscape" paperSize="9" r:id="rId1"/>
  <headerFooter alignWithMargins="0">
    <oddHeader>&amp;L&amp;"Tahoma,Obyčejné"&amp;8Operačný program Doprava 2007 - 2013&amp;R&amp;"Tahoma,Obyčejné"&amp;8Zásobník projektov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Hajnik</dc:creator>
  <cp:keywords/>
  <dc:description/>
  <cp:lastModifiedBy>Felcan</cp:lastModifiedBy>
  <cp:lastPrinted>2006-11-30T11:36:43Z</cp:lastPrinted>
  <dcterms:created xsi:type="dcterms:W3CDTF">2006-05-17T13:32:39Z</dcterms:created>
  <dcterms:modified xsi:type="dcterms:W3CDTF">2006-11-30T13:05:59Z</dcterms:modified>
  <cp:category/>
  <cp:version/>
  <cp:contentType/>
  <cp:contentStatus/>
</cp:coreProperties>
</file>