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65521" yWindow="65521" windowWidth="15330" windowHeight="4275" activeTab="0"/>
  </bookViews>
  <sheets>
    <sheet name="Vývoj OU MO SR 1998-2020 grafy" sheetId="1" r:id="rId1"/>
    <sheet name="Vývoj sl.platov 2005-2020" sheetId="2" r:id="rId2"/>
    <sheet name="Vývoj počtov PV 2005-2020" sheetId="3" r:id="rId3"/>
  </sheets>
  <externalReferences>
    <externalReference r:id="rId6"/>
    <externalReference r:id="rId7"/>
  </externalReferences>
  <definedNames>
    <definedName name="__123Graph_A" hidden="1">#REF!</definedName>
    <definedName name="__123Graph_B" hidden="1">#REF!</definedName>
    <definedName name="Emerging_HTML_AREA">#REF!</definedName>
  </definedNames>
  <calcPr fullCalcOnLoad="1"/>
</workbook>
</file>

<file path=xl/sharedStrings.xml><?xml version="1.0" encoding="utf-8"?>
<sst xmlns="http://schemas.openxmlformats.org/spreadsheetml/2006/main" count="373" uniqueCount="147">
  <si>
    <t>Ročné</t>
  </si>
  <si>
    <t>Rok</t>
  </si>
  <si>
    <t>Sk</t>
  </si>
  <si>
    <t>Nákl. na 1 VD</t>
  </si>
  <si>
    <t>Index</t>
  </si>
  <si>
    <t>kalkulované na 12 mesiacov</t>
  </si>
  <si>
    <t>Poznámka</t>
  </si>
  <si>
    <t>k 31.12.</t>
  </si>
  <si>
    <t>Výdaje</t>
  </si>
  <si>
    <t>medziročný</t>
  </si>
  <si>
    <t>bázický</t>
  </si>
  <si>
    <t>index</t>
  </si>
  <si>
    <t>zákon č. 328/2002 Z. z.</t>
  </si>
  <si>
    <t xml:space="preserve">zákon 114/1998 Z. z. </t>
  </si>
  <si>
    <t>Legenda:</t>
  </si>
  <si>
    <t>rozdiel</t>
  </si>
  <si>
    <t xml:space="preserve"> rozdiel Sk</t>
  </si>
  <si>
    <t>zákon o št. službe PV</t>
  </si>
  <si>
    <t>Komentár:</t>
  </si>
  <si>
    <t>Skutočné čerpanie</t>
  </si>
  <si>
    <t>Priebežný rok</t>
  </si>
  <si>
    <t>Predpokladané čerpanie</t>
  </si>
  <si>
    <t>Počet dávok</t>
  </si>
  <si>
    <t>Príjmy</t>
  </si>
  <si>
    <t>Mimo zab.</t>
  </si>
  <si>
    <t>Novela 732/2004 Z. z.</t>
  </si>
  <si>
    <t>Koniec VP, úmrtia</t>
  </si>
  <si>
    <t>Vývoj priemerných služobných platov profesionálnych vojakov OS SR</t>
  </si>
  <si>
    <t>s výhľadom do r. 2020</t>
  </si>
  <si>
    <t>Priemerné počty</t>
  </si>
  <si>
    <t>Priemerný SP (Sk)</t>
  </si>
  <si>
    <t>Vojak 1</t>
  </si>
  <si>
    <t>Vojak 2</t>
  </si>
  <si>
    <t>Slobodník</t>
  </si>
  <si>
    <t>Desiatnik</t>
  </si>
  <si>
    <t>Čatár</t>
  </si>
  <si>
    <t>Rotný</t>
  </si>
  <si>
    <t>Rotmajster</t>
  </si>
  <si>
    <t>Nadrotmajster</t>
  </si>
  <si>
    <t>Štábny nadrotmajster</t>
  </si>
  <si>
    <t>Podpráporčík</t>
  </si>
  <si>
    <t>Práporčík</t>
  </si>
  <si>
    <t>Nadpráporčík</t>
  </si>
  <si>
    <t>Poručík</t>
  </si>
  <si>
    <t>Nadporučík</t>
  </si>
  <si>
    <t>Kapitán</t>
  </si>
  <si>
    <t>Major</t>
  </si>
  <si>
    <t>Podplukovník</t>
  </si>
  <si>
    <t>Plukovník</t>
  </si>
  <si>
    <t>Brigádny generál</t>
  </si>
  <si>
    <t>Generálmajor</t>
  </si>
  <si>
    <t>Generálporučík</t>
  </si>
  <si>
    <t>Generál</t>
  </si>
  <si>
    <t>25_2_05</t>
  </si>
  <si>
    <t>Pov</t>
  </si>
  <si>
    <t xml:space="preserve">Udr </t>
  </si>
  <si>
    <t>Prep</t>
  </si>
  <si>
    <t>plk.</t>
  </si>
  <si>
    <t>pplk.</t>
  </si>
  <si>
    <t>mjr.</t>
  </si>
  <si>
    <t>kpt.</t>
  </si>
  <si>
    <t>npor.</t>
  </si>
  <si>
    <t>por.</t>
  </si>
  <si>
    <t>Spolu</t>
  </si>
  <si>
    <t>npráp.</t>
  </si>
  <si>
    <t>práp.</t>
  </si>
  <si>
    <t>ppráp.</t>
  </si>
  <si>
    <t>št.nrtm.</t>
  </si>
  <si>
    <t>nrtm.</t>
  </si>
  <si>
    <t>rtm.</t>
  </si>
  <si>
    <t>rtn.</t>
  </si>
  <si>
    <t>čat.</t>
  </si>
  <si>
    <t>des.</t>
  </si>
  <si>
    <t>slob.</t>
  </si>
  <si>
    <t>voj2</t>
  </si>
  <si>
    <t>voj1</t>
  </si>
  <si>
    <t>Regrutácia</t>
  </si>
  <si>
    <t>Pozor vzorce</t>
  </si>
  <si>
    <t>cat/pprap</t>
  </si>
  <si>
    <t>rtn/pprap</t>
  </si>
  <si>
    <t>R_Dôstojníci</t>
  </si>
  <si>
    <t>R_Mužstvo</t>
  </si>
  <si>
    <t>Poč</t>
  </si>
  <si>
    <t>Poč.</t>
  </si>
  <si>
    <t>Rok/Hodnosť</t>
  </si>
  <si>
    <t>Prepust.</t>
  </si>
  <si>
    <t>Nárok</t>
  </si>
  <si>
    <t>Odvody do OU MO SR</t>
  </si>
  <si>
    <t>Poistné</t>
  </si>
  <si>
    <t>Celkom</t>
  </si>
  <si>
    <t>Dôch. Zab.</t>
  </si>
  <si>
    <t>Nem. zab.</t>
  </si>
  <si>
    <t>Úr.zab.</t>
  </si>
  <si>
    <t>Služby</t>
  </si>
  <si>
    <t>Ostatné</t>
  </si>
  <si>
    <t>medziroč.</t>
  </si>
  <si>
    <t>4. Valorizácie dôchodkov z III. kat. k 1.7. konštatné zvýšenie o 6%</t>
  </si>
  <si>
    <t>10. Stabilizácia vývoja výdajov od roku 2010 plynie zo splnenia úloh transformácie OS SR - model 2010</t>
  </si>
  <si>
    <t>Nemoc. Zabezpečenie</t>
  </si>
  <si>
    <t>Úrazové zabezpečenie</t>
  </si>
  <si>
    <t>do 1.5.1998 za 4 mesiace zák. 100/1988 Zb.</t>
  </si>
  <si>
    <t>od 1.5.1998 za 8 mesiacov zák. 114/1998 Z. z.</t>
  </si>
  <si>
    <t>RP+Prísp. OÚ</t>
  </si>
  <si>
    <t>VD</t>
  </si>
  <si>
    <t>výsluhový dôchodok (dôchodca)</t>
  </si>
  <si>
    <t>Ostatné výdaje</t>
  </si>
  <si>
    <t>6. Počty úmrtí rastie indexom 1.01 do roku 2015 a s indexom 1,1 do roku 2020</t>
  </si>
  <si>
    <t>Vývoj osobitného účtu MO SR do roku 2020 - v grafickom vyjadrení</t>
  </si>
  <si>
    <t>6. Počty úmrtí rastú indexom 1.01 do roku 2015 a s indexom 1,1 do roku 2020</t>
  </si>
  <si>
    <t>Kadet</t>
  </si>
  <si>
    <t>Priemerné počty OS SR</t>
  </si>
  <si>
    <t>Náklady na SP celkom (Sk) * bez VS a VOS</t>
  </si>
  <si>
    <t>VS a VOS</t>
  </si>
  <si>
    <t>Priem SP VOS VSS (Sk)</t>
  </si>
  <si>
    <t xml:space="preserve">Náklady na SP celkom (Sk) </t>
  </si>
  <si>
    <t>Priemer</t>
  </si>
  <si>
    <t>gen</t>
  </si>
  <si>
    <t>genpor</t>
  </si>
  <si>
    <t>genmaj</t>
  </si>
  <si>
    <t>brgen</t>
  </si>
  <si>
    <t>Spolu G</t>
  </si>
  <si>
    <t>Spolu D</t>
  </si>
  <si>
    <t>Spolu práp</t>
  </si>
  <si>
    <t>Spolu Pdd</t>
  </si>
  <si>
    <t>Spolu M</t>
  </si>
  <si>
    <t>Pozor možná chyba + 1 / - 1 (zaokrúhľovamie)</t>
  </si>
  <si>
    <t>Bez nároku</t>
  </si>
  <si>
    <t>Úmrtia</t>
  </si>
  <si>
    <t>Počet</t>
  </si>
  <si>
    <t>Analýza vývoja osobitného účtu MO SR do roku 2020</t>
  </si>
  <si>
    <t>Skutočné čerpanie (príl. 5)</t>
  </si>
  <si>
    <t xml:space="preserve">1. Príjmy poistného rastú v závislosti od vývoja služobných príjmov </t>
  </si>
  <si>
    <t xml:space="preserve">2. Príjmy príspevku osobitného účtu MO SR klesajú v závislosti od vývoja poistného a výdajov OÚ MO SR </t>
  </si>
  <si>
    <t>3. Valorizácie výsluhových dôchodkov k 1.7. konštantné zvýšenie o 7%, v decembri konštantne o 3%</t>
  </si>
  <si>
    <t xml:space="preserve">5. Počty prepustených do roku 2020 </t>
  </si>
  <si>
    <t>7. Počty s nárokom na dávky vychádzajú z hodnostnej štruktúry prepustených</t>
  </si>
  <si>
    <t xml:space="preserve">8. Výdaje za služby soc. zabezpečenia rastú infláciou cien </t>
  </si>
  <si>
    <t xml:space="preserve">9. Výdaje úrazového zabezpečenia rastú indexom normy NATO </t>
  </si>
  <si>
    <t>11. Ostatné výdaje - poistné za 12. mesiac + odvody poistného do SP+zdravotné výkony</t>
  </si>
  <si>
    <t>r. 2004</t>
  </si>
  <si>
    <t>8. Výdaje za služby soc. zabezpečenia rastú infláciou cien</t>
  </si>
  <si>
    <t>11. Ostatné výdaje - poistné za 12. mesiac+ odvody poistného do SP+zdravotné výkony</t>
  </si>
  <si>
    <t>Príloha č. 2</t>
  </si>
  <si>
    <t>strana 1</t>
  </si>
  <si>
    <t>strana 2</t>
  </si>
  <si>
    <t>Príloha č. 1</t>
  </si>
  <si>
    <t xml:space="preserve">Tabuľka vývoja počtov profesionálnych vojakov v rezorte MO SR do roku 2020 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</si>
</sst>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000\ 00"/>
    <numFmt numFmtId="166" formatCode="#,##0.0"/>
    <numFmt numFmtId="167" formatCode="&quot;Áno&quot;;&quot;Áno&quot;;&quot;Nie&quot;"/>
    <numFmt numFmtId="168" formatCode="&quot;Pravda&quot;;&quot;Pravda&quot;;&quot;Nepravda&quot;"/>
    <numFmt numFmtId="169" formatCode="&quot;Zapnuté&quot;;&quot;Zapnuté&quot;;&quot;Vypnuté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"/>
    <numFmt numFmtId="179" formatCode="0.0"/>
    <numFmt numFmtId="180" formatCode="0.0000"/>
    <numFmt numFmtId="181" formatCode="#,##0.000"/>
    <numFmt numFmtId="182" formatCode="0.0%"/>
    <numFmt numFmtId="183" formatCode="0.000000"/>
    <numFmt numFmtId="184" formatCode="0.00000"/>
    <numFmt numFmtId="185" formatCode="0.0000000"/>
    <numFmt numFmtId="186" formatCode="[$-409]d\-mmm\-yyyy;@"/>
    <numFmt numFmtId="187" formatCode="[h]"/>
    <numFmt numFmtId="188" formatCode="0.00000000"/>
    <numFmt numFmtId="189" formatCode="[$-409]dddd\,\ mmmm\ dd\,\ yyyy"/>
    <numFmt numFmtId="190" formatCode="#\ ###\ ##0.0"/>
    <numFmt numFmtId="191" formatCode="0.000%"/>
    <numFmt numFmtId="192" formatCode="#,##0_ ;\-#,##0\ "/>
  </numFmts>
  <fonts count="19">
    <font>
      <sz val="10"/>
      <name val="Arial"/>
      <family val="0"/>
    </font>
    <font>
      <b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12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sz val="8"/>
      <color indexed="10"/>
      <name val="Arial"/>
      <family val="2"/>
    </font>
    <font>
      <b/>
      <sz val="15"/>
      <name val="Arial"/>
      <family val="0"/>
    </font>
    <font>
      <sz val="12"/>
      <name val="Arial"/>
      <family val="0"/>
    </font>
    <font>
      <b/>
      <sz val="15.25"/>
      <name val="Arial"/>
      <family val="0"/>
    </font>
    <font>
      <b/>
      <sz val="8.7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0" xfId="0" applyFont="1" applyAlignment="1">
      <alignment/>
    </xf>
    <xf numFmtId="0" fontId="0" fillId="2" borderId="8" xfId="0" applyFill="1" applyBorder="1" applyAlignment="1">
      <alignment/>
    </xf>
    <xf numFmtId="10" fontId="3" fillId="2" borderId="9" xfId="0" applyNumberFormat="1" applyFont="1" applyFill="1" applyBorder="1" applyAlignment="1">
      <alignment/>
    </xf>
    <xf numFmtId="10" fontId="3" fillId="2" borderId="8" xfId="0" applyNumberFormat="1" applyFont="1" applyFill="1" applyBorder="1" applyAlignment="1">
      <alignment/>
    </xf>
    <xf numFmtId="0" fontId="0" fillId="3" borderId="8" xfId="0" applyFill="1" applyBorder="1" applyAlignment="1">
      <alignment/>
    </xf>
    <xf numFmtId="10" fontId="3" fillId="4" borderId="8" xfId="0" applyNumberFormat="1" applyFont="1" applyFill="1" applyBorder="1" applyAlignment="1">
      <alignment/>
    </xf>
    <xf numFmtId="10" fontId="3" fillId="4" borderId="9" xfId="0" applyNumberFormat="1" applyFont="1" applyFill="1" applyBorder="1" applyAlignment="1">
      <alignment/>
    </xf>
    <xf numFmtId="0" fontId="0" fillId="4" borderId="8" xfId="0" applyFill="1" applyBorder="1" applyAlignment="1">
      <alignment/>
    </xf>
    <xf numFmtId="10" fontId="3" fillId="4" borderId="5" xfId="0" applyNumberFormat="1" applyFont="1" applyFill="1" applyBorder="1" applyAlignment="1">
      <alignment/>
    </xf>
    <xf numFmtId="10" fontId="3" fillId="4" borderId="4" xfId="0" applyNumberFormat="1" applyFont="1" applyFill="1" applyBorder="1" applyAlignment="1">
      <alignment/>
    </xf>
    <xf numFmtId="10" fontId="3" fillId="4" borderId="10" xfId="0" applyNumberFormat="1" applyFont="1" applyFill="1" applyBorder="1" applyAlignment="1">
      <alignment/>
    </xf>
    <xf numFmtId="14" fontId="0" fillId="0" borderId="0" xfId="0" applyNumberFormat="1" applyAlignment="1">
      <alignment horizontal="lef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8" xfId="0" applyNumberFormat="1" applyFont="1" applyFill="1" applyBorder="1" applyAlignment="1">
      <alignment/>
    </xf>
    <xf numFmtId="3" fontId="2" fillId="0" borderId="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8" fillId="0" borderId="0" xfId="0" applyFont="1" applyAlignment="1">
      <alignment/>
    </xf>
    <xf numFmtId="3" fontId="0" fillId="2" borderId="6" xfId="0" applyNumberFormat="1" applyFill="1" applyBorder="1" applyAlignment="1">
      <alignment/>
    </xf>
    <xf numFmtId="3" fontId="0" fillId="2" borderId="11" xfId="0" applyNumberFormat="1" applyFont="1" applyFill="1" applyBorder="1" applyAlignment="1">
      <alignment/>
    </xf>
    <xf numFmtId="3" fontId="0" fillId="2" borderId="8" xfId="0" applyNumberFormat="1" applyFill="1" applyBorder="1" applyAlignment="1">
      <alignment/>
    </xf>
    <xf numFmtId="3" fontId="0" fillId="4" borderId="8" xfId="0" applyNumberFormat="1" applyFill="1" applyBorder="1" applyAlignment="1">
      <alignment/>
    </xf>
    <xf numFmtId="3" fontId="0" fillId="4" borderId="4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3" fontId="0" fillId="2" borderId="15" xfId="0" applyNumberFormat="1" applyFill="1" applyBorder="1" applyAlignment="1">
      <alignment/>
    </xf>
    <xf numFmtId="3" fontId="0" fillId="2" borderId="16" xfId="0" applyNumberFormat="1" applyFill="1" applyBorder="1" applyAlignment="1">
      <alignment/>
    </xf>
    <xf numFmtId="3" fontId="0" fillId="2" borderId="16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4" fontId="1" fillId="2" borderId="17" xfId="0" applyNumberFormat="1" applyFont="1" applyFill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4" borderId="22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1" fillId="4" borderId="24" xfId="0" applyFont="1" applyFill="1" applyBorder="1" applyAlignment="1">
      <alignment horizontal="center"/>
    </xf>
    <xf numFmtId="0" fontId="1" fillId="4" borderId="21" xfId="0" applyFont="1" applyFill="1" applyBorder="1" applyAlignment="1">
      <alignment horizontal="center"/>
    </xf>
    <xf numFmtId="3" fontId="1" fillId="2" borderId="25" xfId="0" applyNumberFormat="1" applyFont="1" applyFill="1" applyBorder="1" applyAlignment="1">
      <alignment/>
    </xf>
    <xf numFmtId="3" fontId="1" fillId="2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4" borderId="3" xfId="0" applyNumberFormat="1" applyFont="1" applyFill="1" applyBorder="1" applyAlignment="1">
      <alignment/>
    </xf>
    <xf numFmtId="3" fontId="2" fillId="0" borderId="7" xfId="0" applyNumberFormat="1" applyFont="1" applyBorder="1" applyAlignment="1">
      <alignment/>
    </xf>
    <xf numFmtId="4" fontId="1" fillId="2" borderId="26" xfId="0" applyNumberFormat="1" applyFont="1" applyFill="1" applyBorder="1" applyAlignment="1">
      <alignment/>
    </xf>
    <xf numFmtId="3" fontId="4" fillId="2" borderId="27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4" borderId="11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/>
    </xf>
    <xf numFmtId="3" fontId="4" fillId="4" borderId="7" xfId="0" applyNumberFormat="1" applyFont="1" applyFill="1" applyBorder="1" applyAlignment="1">
      <alignment/>
    </xf>
    <xf numFmtId="0" fontId="1" fillId="0" borderId="0" xfId="0" applyFont="1" applyBorder="1" applyAlignment="1">
      <alignment vertical="center"/>
    </xf>
    <xf numFmtId="3" fontId="0" fillId="2" borderId="13" xfId="0" applyNumberFormat="1" applyFill="1" applyBorder="1" applyAlignment="1">
      <alignment/>
    </xf>
    <xf numFmtId="3" fontId="0" fillId="2" borderId="29" xfId="0" applyNumberFormat="1" applyFill="1" applyBorder="1" applyAlignment="1">
      <alignment/>
    </xf>
    <xf numFmtId="3" fontId="0" fillId="4" borderId="16" xfId="0" applyNumberFormat="1" applyFill="1" applyBorder="1" applyAlignment="1">
      <alignment/>
    </xf>
    <xf numFmtId="3" fontId="0" fillId="4" borderId="29" xfId="0" applyNumberFormat="1" applyFill="1" applyBorder="1" applyAlignment="1">
      <alignment/>
    </xf>
    <xf numFmtId="3" fontId="0" fillId="4" borderId="30" xfId="0" applyNumberFormat="1" applyFill="1" applyBorder="1" applyAlignment="1">
      <alignment/>
    </xf>
    <xf numFmtId="3" fontId="0" fillId="4" borderId="31" xfId="0" applyNumberFormat="1" applyFill="1" applyBorder="1" applyAlignment="1">
      <alignment/>
    </xf>
    <xf numFmtId="3" fontId="0" fillId="4" borderId="3" xfId="0" applyNumberFormat="1" applyFill="1" applyBorder="1" applyAlignment="1">
      <alignment/>
    </xf>
    <xf numFmtId="3" fontId="0" fillId="4" borderId="14" xfId="0" applyNumberFormat="1" applyFill="1" applyBorder="1" applyAlignment="1">
      <alignment/>
    </xf>
    <xf numFmtId="3" fontId="4" fillId="2" borderId="25" xfId="0" applyNumberFormat="1" applyFont="1" applyFill="1" applyBorder="1" applyAlignment="1">
      <alignment/>
    </xf>
    <xf numFmtId="3" fontId="4" fillId="2" borderId="17" xfId="0" applyNumberFormat="1" applyFont="1" applyFill="1" applyBorder="1" applyAlignment="1">
      <alignment/>
    </xf>
    <xf numFmtId="4" fontId="4" fillId="2" borderId="32" xfId="0" applyNumberFormat="1" applyFont="1" applyFill="1" applyBorder="1" applyAlignment="1">
      <alignment/>
    </xf>
    <xf numFmtId="10" fontId="0" fillId="2" borderId="9" xfId="0" applyNumberFormat="1" applyFont="1" applyFill="1" applyBorder="1" applyAlignment="1">
      <alignment/>
    </xf>
    <xf numFmtId="3" fontId="0" fillId="2" borderId="8" xfId="0" applyNumberFormat="1" applyFont="1" applyFill="1" applyBorder="1" applyAlignment="1">
      <alignment/>
    </xf>
    <xf numFmtId="10" fontId="0" fillId="2" borderId="29" xfId="0" applyNumberFormat="1" applyFont="1" applyFill="1" applyBorder="1" applyAlignment="1">
      <alignment/>
    </xf>
    <xf numFmtId="10" fontId="0" fillId="4" borderId="9" xfId="0" applyNumberFormat="1" applyFont="1" applyFill="1" applyBorder="1" applyAlignment="1">
      <alignment/>
    </xf>
    <xf numFmtId="3" fontId="0" fillId="4" borderId="8" xfId="0" applyNumberFormat="1" applyFont="1" applyFill="1" applyBorder="1" applyAlignment="1">
      <alignment/>
    </xf>
    <xf numFmtId="10" fontId="0" fillId="4" borderId="29" xfId="0" applyNumberFormat="1" applyFont="1" applyFill="1" applyBorder="1" applyAlignment="1">
      <alignment/>
    </xf>
    <xf numFmtId="10" fontId="0" fillId="4" borderId="33" xfId="0" applyNumberFormat="1" applyFont="1" applyFill="1" applyBorder="1" applyAlignment="1">
      <alignment/>
    </xf>
    <xf numFmtId="10" fontId="0" fillId="4" borderId="5" xfId="0" applyNumberFormat="1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0" fontId="0" fillId="4" borderId="14" xfId="0" applyNumberFormat="1" applyFont="1" applyFill="1" applyBorder="1" applyAlignment="1">
      <alignment/>
    </xf>
    <xf numFmtId="192" fontId="1" fillId="2" borderId="17" xfId="0" applyNumberFormat="1" applyFont="1" applyFill="1" applyBorder="1" applyAlignment="1">
      <alignment/>
    </xf>
    <xf numFmtId="192" fontId="3" fillId="2" borderId="8" xfId="0" applyNumberFormat="1" applyFont="1" applyFill="1" applyBorder="1" applyAlignment="1">
      <alignment/>
    </xf>
    <xf numFmtId="192" fontId="3" fillId="4" borderId="8" xfId="0" applyNumberFormat="1" applyFont="1" applyFill="1" applyBorder="1" applyAlignment="1">
      <alignment/>
    </xf>
    <xf numFmtId="192" fontId="3" fillId="4" borderId="4" xfId="0" applyNumberFormat="1" applyFont="1" applyFill="1" applyBorder="1" applyAlignment="1">
      <alignment/>
    </xf>
    <xf numFmtId="3" fontId="3" fillId="2" borderId="20" xfId="0" applyNumberFormat="1" applyFont="1" applyFill="1" applyBorder="1" applyAlignment="1">
      <alignment/>
    </xf>
    <xf numFmtId="3" fontId="3" fillId="2" borderId="22" xfId="0" applyNumberFormat="1" applyFont="1" applyFill="1" applyBorder="1" applyAlignment="1">
      <alignment/>
    </xf>
    <xf numFmtId="3" fontId="3" fillId="4" borderId="22" xfId="0" applyNumberFormat="1" applyFont="1" applyFill="1" applyBorder="1" applyAlignment="1">
      <alignment/>
    </xf>
    <xf numFmtId="3" fontId="3" fillId="4" borderId="21" xfId="0" applyNumberFormat="1" applyFont="1" applyFill="1" applyBorder="1" applyAlignment="1">
      <alignment/>
    </xf>
    <xf numFmtId="3" fontId="3" fillId="4" borderId="23" xfId="0" applyNumberFormat="1" applyFont="1" applyFill="1" applyBorder="1" applyAlignment="1">
      <alignment/>
    </xf>
    <xf numFmtId="10" fontId="0" fillId="2" borderId="2" xfId="0" applyNumberFormat="1" applyFont="1" applyFill="1" applyBorder="1" applyAlignment="1">
      <alignment/>
    </xf>
    <xf numFmtId="10" fontId="0" fillId="2" borderId="13" xfId="0" applyNumberFormat="1" applyFont="1" applyFill="1" applyBorder="1" applyAlignment="1">
      <alignment/>
    </xf>
    <xf numFmtId="10" fontId="0" fillId="4" borderId="34" xfId="0" applyNumberFormat="1" applyFont="1" applyFill="1" applyBorder="1" applyAlignment="1">
      <alignment/>
    </xf>
    <xf numFmtId="0" fontId="1" fillId="2" borderId="23" xfId="0" applyFont="1" applyFill="1" applyBorder="1" applyAlignment="1">
      <alignment horizontal="center"/>
    </xf>
    <xf numFmtId="3" fontId="1" fillId="2" borderId="30" xfId="0" applyNumberFormat="1" applyFont="1" applyFill="1" applyBorder="1" applyAlignment="1">
      <alignment/>
    </xf>
    <xf numFmtId="192" fontId="3" fillId="2" borderId="10" xfId="0" applyNumberFormat="1" applyFont="1" applyFill="1" applyBorder="1" applyAlignment="1">
      <alignment/>
    </xf>
    <xf numFmtId="10" fontId="3" fillId="2" borderId="34" xfId="0" applyNumberFormat="1" applyFont="1" applyFill="1" applyBorder="1" applyAlignment="1">
      <alignment/>
    </xf>
    <xf numFmtId="3" fontId="0" fillId="2" borderId="3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3" fontId="0" fillId="2" borderId="28" xfId="0" applyNumberFormat="1" applyFont="1" applyFill="1" applyBorder="1" applyAlignment="1">
      <alignment/>
    </xf>
    <xf numFmtId="10" fontId="3" fillId="2" borderId="10" xfId="0" applyNumberFormat="1" applyFont="1" applyFill="1" applyBorder="1" applyAlignment="1">
      <alignment/>
    </xf>
    <xf numFmtId="10" fontId="0" fillId="2" borderId="33" xfId="0" applyNumberFormat="1" applyFont="1" applyFill="1" applyBorder="1" applyAlignment="1">
      <alignment/>
    </xf>
    <xf numFmtId="0" fontId="1" fillId="4" borderId="35" xfId="0" applyFont="1" applyFill="1" applyBorder="1" applyAlignment="1">
      <alignment horizontal="center"/>
    </xf>
    <xf numFmtId="3" fontId="1" fillId="4" borderId="25" xfId="0" applyNumberFormat="1" applyFont="1" applyFill="1" applyBorder="1" applyAlignment="1">
      <alignment/>
    </xf>
    <xf numFmtId="192" fontId="3" fillId="4" borderId="17" xfId="0" applyNumberFormat="1" applyFont="1" applyFill="1" applyBorder="1" applyAlignment="1">
      <alignment/>
    </xf>
    <xf numFmtId="10" fontId="3" fillId="4" borderId="26" xfId="0" applyNumberFormat="1" applyFont="1" applyFill="1" applyBorder="1" applyAlignment="1">
      <alignment/>
    </xf>
    <xf numFmtId="3" fontId="0" fillId="4" borderId="25" xfId="0" applyNumberFormat="1" applyFont="1" applyFill="1" applyBorder="1" applyAlignment="1">
      <alignment/>
    </xf>
    <xf numFmtId="3" fontId="0" fillId="4" borderId="17" xfId="0" applyNumberFormat="1" applyFont="1" applyFill="1" applyBorder="1" applyAlignment="1">
      <alignment/>
    </xf>
    <xf numFmtId="3" fontId="0" fillId="4" borderId="27" xfId="0" applyNumberFormat="1" applyFont="1" applyFill="1" applyBorder="1" applyAlignment="1">
      <alignment/>
    </xf>
    <xf numFmtId="10" fontId="3" fillId="4" borderId="17" xfId="0" applyNumberFormat="1" applyFont="1" applyFill="1" applyBorder="1" applyAlignment="1">
      <alignment/>
    </xf>
    <xf numFmtId="10" fontId="0" fillId="4" borderId="32" xfId="0" applyNumberFormat="1" applyFont="1" applyFill="1" applyBorder="1" applyAlignment="1">
      <alignment/>
    </xf>
    <xf numFmtId="0" fontId="1" fillId="3" borderId="36" xfId="0" applyFont="1" applyFill="1" applyBorder="1" applyAlignment="1">
      <alignment horizontal="center"/>
    </xf>
    <xf numFmtId="3" fontId="1" fillId="3" borderId="37" xfId="0" applyNumberFormat="1" applyFont="1" applyFill="1" applyBorder="1" applyAlignment="1">
      <alignment/>
    </xf>
    <xf numFmtId="192" fontId="3" fillId="3" borderId="38" xfId="0" applyNumberFormat="1" applyFont="1" applyFill="1" applyBorder="1" applyAlignment="1">
      <alignment/>
    </xf>
    <xf numFmtId="10" fontId="3" fillId="3" borderId="39" xfId="0" applyNumberFormat="1" applyFont="1" applyFill="1" applyBorder="1" applyAlignment="1">
      <alignment/>
    </xf>
    <xf numFmtId="3" fontId="0" fillId="3" borderId="37" xfId="0" applyNumberFormat="1" applyFont="1" applyFill="1" applyBorder="1" applyAlignment="1">
      <alignment/>
    </xf>
    <xf numFmtId="3" fontId="0" fillId="3" borderId="38" xfId="0" applyNumberFormat="1" applyFont="1" applyFill="1" applyBorder="1" applyAlignment="1">
      <alignment/>
    </xf>
    <xf numFmtId="3" fontId="0" fillId="3" borderId="40" xfId="0" applyNumberFormat="1" applyFont="1" applyFill="1" applyBorder="1" applyAlignment="1">
      <alignment/>
    </xf>
    <xf numFmtId="10" fontId="3" fillId="3" borderId="38" xfId="0" applyNumberFormat="1" applyFont="1" applyFill="1" applyBorder="1" applyAlignment="1">
      <alignment/>
    </xf>
    <xf numFmtId="10" fontId="0" fillId="3" borderId="41" xfId="0" applyNumberFormat="1" applyFont="1" applyFill="1" applyBorder="1" applyAlignment="1">
      <alignment/>
    </xf>
    <xf numFmtId="3" fontId="3" fillId="2" borderId="23" xfId="0" applyNumberFormat="1" applyFont="1" applyFill="1" applyBorder="1" applyAlignment="1">
      <alignment/>
    </xf>
    <xf numFmtId="3" fontId="0" fillId="2" borderId="30" xfId="0" applyNumberFormat="1" applyFill="1" applyBorder="1" applyAlignment="1">
      <alignment/>
    </xf>
    <xf numFmtId="3" fontId="0" fillId="2" borderId="10" xfId="0" applyNumberFormat="1" applyFill="1" applyBorder="1" applyAlignment="1">
      <alignment/>
    </xf>
    <xf numFmtId="3" fontId="0" fillId="2" borderId="33" xfId="0" applyNumberFormat="1" applyFill="1" applyBorder="1" applyAlignment="1">
      <alignment/>
    </xf>
    <xf numFmtId="3" fontId="4" fillId="2" borderId="28" xfId="0" applyNumberFormat="1" applyFont="1" applyFill="1" applyBorder="1" applyAlignment="1">
      <alignment/>
    </xf>
    <xf numFmtId="10" fontId="0" fillId="2" borderId="34" xfId="0" applyNumberFormat="1" applyFont="1" applyFill="1" applyBorder="1" applyAlignment="1">
      <alignment/>
    </xf>
    <xf numFmtId="3" fontId="3" fillId="4" borderId="35" xfId="0" applyNumberFormat="1" applyFont="1" applyFill="1" applyBorder="1" applyAlignment="1">
      <alignment/>
    </xf>
    <xf numFmtId="3" fontId="0" fillId="4" borderId="25" xfId="0" applyNumberFormat="1" applyFill="1" applyBorder="1" applyAlignment="1">
      <alignment/>
    </xf>
    <xf numFmtId="3" fontId="0" fillId="4" borderId="17" xfId="0" applyNumberFormat="1" applyFill="1" applyBorder="1" applyAlignment="1">
      <alignment/>
    </xf>
    <xf numFmtId="3" fontId="0" fillId="4" borderId="32" xfId="0" applyNumberForma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10" fontId="0" fillId="4" borderId="26" xfId="0" applyNumberFormat="1" applyFont="1" applyFill="1" applyBorder="1" applyAlignment="1">
      <alignment/>
    </xf>
    <xf numFmtId="3" fontId="3" fillId="3" borderId="36" xfId="0" applyNumberFormat="1" applyFont="1" applyFill="1" applyBorder="1" applyAlignment="1">
      <alignment/>
    </xf>
    <xf numFmtId="3" fontId="0" fillId="3" borderId="37" xfId="0" applyNumberFormat="1" applyFill="1" applyBorder="1" applyAlignment="1">
      <alignment/>
    </xf>
    <xf numFmtId="3" fontId="0" fillId="3" borderId="38" xfId="0" applyNumberFormat="1" applyFill="1" applyBorder="1" applyAlignment="1">
      <alignment/>
    </xf>
    <xf numFmtId="3" fontId="0" fillId="3" borderId="41" xfId="0" applyNumberFormat="1" applyFill="1" applyBorder="1" applyAlignment="1">
      <alignment/>
    </xf>
    <xf numFmtId="3" fontId="4" fillId="3" borderId="40" xfId="0" applyNumberFormat="1" applyFont="1" applyFill="1" applyBorder="1" applyAlignment="1">
      <alignment/>
    </xf>
    <xf numFmtId="10" fontId="0" fillId="3" borderId="39" xfId="0" applyNumberFormat="1" applyFont="1" applyFill="1" applyBorder="1" applyAlignment="1">
      <alignment/>
    </xf>
    <xf numFmtId="0" fontId="1" fillId="2" borderId="35" xfId="0" applyFont="1" applyFill="1" applyBorder="1" applyAlignment="1">
      <alignment horizontal="center"/>
    </xf>
    <xf numFmtId="192" fontId="3" fillId="2" borderId="17" xfId="0" applyNumberFormat="1" applyFont="1" applyFill="1" applyBorder="1" applyAlignment="1">
      <alignment/>
    </xf>
    <xf numFmtId="10" fontId="3" fillId="2" borderId="26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/>
    </xf>
    <xf numFmtId="3" fontId="0" fillId="2" borderId="17" xfId="0" applyNumberFormat="1" applyFont="1" applyFill="1" applyBorder="1" applyAlignment="1">
      <alignment/>
    </xf>
    <xf numFmtId="3" fontId="0" fillId="2" borderId="27" xfId="0" applyNumberFormat="1" applyFont="1" applyFill="1" applyBorder="1" applyAlignment="1">
      <alignment/>
    </xf>
    <xf numFmtId="10" fontId="3" fillId="2" borderId="17" xfId="0" applyNumberFormat="1" applyFont="1" applyFill="1" applyBorder="1" applyAlignment="1">
      <alignment/>
    </xf>
    <xf numFmtId="10" fontId="0" fillId="2" borderId="32" xfId="0" applyNumberFormat="1" applyFont="1" applyFill="1" applyBorder="1" applyAlignment="1">
      <alignment/>
    </xf>
    <xf numFmtId="0" fontId="1" fillId="2" borderId="21" xfId="0" applyFont="1" applyFill="1" applyBorder="1" applyAlignment="1">
      <alignment horizontal="center"/>
    </xf>
    <xf numFmtId="3" fontId="1" fillId="2" borderId="3" xfId="0" applyNumberFormat="1" applyFont="1" applyFill="1" applyBorder="1" applyAlignment="1">
      <alignment/>
    </xf>
    <xf numFmtId="192" fontId="3" fillId="2" borderId="4" xfId="0" applyNumberFormat="1" applyFont="1" applyFill="1" applyBorder="1" applyAlignment="1">
      <alignment/>
    </xf>
    <xf numFmtId="10" fontId="3" fillId="2" borderId="5" xfId="0" applyNumberFormat="1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2" borderId="4" xfId="0" applyNumberFormat="1" applyFont="1" applyFill="1" applyBorder="1" applyAlignment="1">
      <alignment/>
    </xf>
    <xf numFmtId="3" fontId="0" fillId="2" borderId="7" xfId="0" applyNumberFormat="1" applyFont="1" applyFill="1" applyBorder="1" applyAlignment="1">
      <alignment/>
    </xf>
    <xf numFmtId="10" fontId="3" fillId="2" borderId="4" xfId="0" applyNumberFormat="1" applyFont="1" applyFill="1" applyBorder="1" applyAlignment="1">
      <alignment/>
    </xf>
    <xf numFmtId="10" fontId="0" fillId="2" borderId="14" xfId="0" applyNumberFormat="1" applyFont="1" applyFill="1" applyBorder="1" applyAlignment="1">
      <alignment/>
    </xf>
    <xf numFmtId="3" fontId="3" fillId="2" borderId="35" xfId="0" applyNumberFormat="1" applyFont="1" applyFill="1" applyBorder="1" applyAlignment="1">
      <alignment/>
    </xf>
    <xf numFmtId="3" fontId="0" fillId="2" borderId="25" xfId="0" applyNumberFormat="1" applyFill="1" applyBorder="1" applyAlignment="1">
      <alignment/>
    </xf>
    <xf numFmtId="3" fontId="0" fillId="2" borderId="17" xfId="0" applyNumberFormat="1" applyFill="1" applyBorder="1" applyAlignment="1">
      <alignment/>
    </xf>
    <xf numFmtId="3" fontId="0" fillId="2" borderId="32" xfId="0" applyNumberFormat="1" applyFill="1" applyBorder="1" applyAlignment="1">
      <alignment/>
    </xf>
    <xf numFmtId="10" fontId="0" fillId="2" borderId="26" xfId="0" applyNumberFormat="1" applyFont="1" applyFill="1" applyBorder="1" applyAlignment="1">
      <alignment/>
    </xf>
    <xf numFmtId="3" fontId="3" fillId="2" borderId="21" xfId="0" applyNumberFormat="1" applyFon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3" fontId="4" fillId="2" borderId="7" xfId="0" applyNumberFormat="1" applyFont="1" applyFill="1" applyBorder="1" applyAlignment="1">
      <alignment/>
    </xf>
    <xf numFmtId="10" fontId="0" fillId="2" borderId="5" xfId="0" applyNumberFormat="1" applyFont="1" applyFill="1" applyBorder="1" applyAlignment="1">
      <alignment/>
    </xf>
    <xf numFmtId="4" fontId="4" fillId="2" borderId="27" xfId="0" applyNumberFormat="1" applyFont="1" applyFill="1" applyBorder="1" applyAlignment="1">
      <alignment/>
    </xf>
    <xf numFmtId="4" fontId="4" fillId="2" borderId="11" xfId="0" applyNumberFormat="1" applyFont="1" applyFill="1" applyBorder="1" applyAlignment="1">
      <alignment/>
    </xf>
    <xf numFmtId="4" fontId="4" fillId="2" borderId="7" xfId="0" applyNumberFormat="1" applyFont="1" applyFill="1" applyBorder="1" applyAlignment="1">
      <alignment/>
    </xf>
    <xf numFmtId="4" fontId="4" fillId="2" borderId="28" xfId="0" applyNumberFormat="1" applyFont="1" applyFill="1" applyBorder="1" applyAlignment="1">
      <alignment/>
    </xf>
    <xf numFmtId="4" fontId="4" fillId="3" borderId="40" xfId="0" applyNumberFormat="1" applyFont="1" applyFill="1" applyBorder="1" applyAlignment="1">
      <alignment/>
    </xf>
    <xf numFmtId="4" fontId="4" fillId="4" borderId="27" xfId="0" applyNumberFormat="1" applyFont="1" applyFill="1" applyBorder="1" applyAlignment="1">
      <alignment/>
    </xf>
    <xf numFmtId="4" fontId="4" fillId="4" borderId="11" xfId="0" applyNumberFormat="1" applyFont="1" applyFill="1" applyBorder="1" applyAlignment="1">
      <alignment/>
    </xf>
    <xf numFmtId="4" fontId="4" fillId="4" borderId="28" xfId="0" applyNumberFormat="1" applyFont="1" applyFill="1" applyBorder="1" applyAlignment="1">
      <alignment/>
    </xf>
    <xf numFmtId="4" fontId="4" fillId="4" borderId="7" xfId="0" applyNumberFormat="1" applyFont="1" applyFill="1" applyBorder="1" applyAlignment="1">
      <alignment/>
    </xf>
    <xf numFmtId="0" fontId="1" fillId="0" borderId="4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3" fontId="4" fillId="2" borderId="44" xfId="0" applyNumberFormat="1" applyFont="1" applyFill="1" applyBorder="1" applyAlignment="1">
      <alignment/>
    </xf>
    <xf numFmtId="3" fontId="0" fillId="2" borderId="45" xfId="0" applyNumberFormat="1" applyFont="1" applyFill="1" applyBorder="1" applyAlignment="1">
      <alignment/>
    </xf>
    <xf numFmtId="3" fontId="0" fillId="2" borderId="43" xfId="0" applyNumberFormat="1" applyFont="1" applyFill="1" applyBorder="1" applyAlignment="1">
      <alignment/>
    </xf>
    <xf numFmtId="3" fontId="0" fillId="2" borderId="44" xfId="0" applyNumberFormat="1" applyFont="1" applyFill="1" applyBorder="1" applyAlignment="1">
      <alignment/>
    </xf>
    <xf numFmtId="3" fontId="0" fillId="2" borderId="46" xfId="0" applyNumberFormat="1" applyFont="1" applyFill="1" applyBorder="1" applyAlignment="1">
      <alignment/>
    </xf>
    <xf numFmtId="3" fontId="0" fillId="3" borderId="47" xfId="0" applyNumberFormat="1" applyFont="1" applyFill="1" applyBorder="1" applyAlignment="1">
      <alignment/>
    </xf>
    <xf numFmtId="3" fontId="0" fillId="4" borderId="44" xfId="0" applyNumberFormat="1" applyFont="1" applyFill="1" applyBorder="1" applyAlignment="1">
      <alignment/>
    </xf>
    <xf numFmtId="3" fontId="1" fillId="2" borderId="35" xfId="0" applyNumberFormat="1" applyFont="1" applyFill="1" applyBorder="1" applyAlignment="1">
      <alignment/>
    </xf>
    <xf numFmtId="3" fontId="1" fillId="2" borderId="22" xfId="0" applyNumberFormat="1" applyFont="1" applyFill="1" applyBorder="1" applyAlignment="1">
      <alignment/>
    </xf>
    <xf numFmtId="3" fontId="1" fillId="2" borderId="21" xfId="0" applyNumberFormat="1" applyFont="1" applyFill="1" applyBorder="1" applyAlignment="1">
      <alignment/>
    </xf>
    <xf numFmtId="3" fontId="1" fillId="2" borderId="23" xfId="0" applyNumberFormat="1" applyFont="1" applyFill="1" applyBorder="1" applyAlignment="1">
      <alignment/>
    </xf>
    <xf numFmtId="3" fontId="1" fillId="3" borderId="36" xfId="0" applyNumberFormat="1" applyFont="1" applyFill="1" applyBorder="1" applyAlignment="1">
      <alignment/>
    </xf>
    <xf numFmtId="3" fontId="1" fillId="4" borderId="35" xfId="0" applyNumberFormat="1" applyFont="1" applyFill="1" applyBorder="1" applyAlignment="1">
      <alignment/>
    </xf>
    <xf numFmtId="3" fontId="1" fillId="4" borderId="22" xfId="0" applyNumberFormat="1" applyFont="1" applyFill="1" applyBorder="1" applyAlignment="1">
      <alignment/>
    </xf>
    <xf numFmtId="3" fontId="1" fillId="4" borderId="21" xfId="0" applyNumberFormat="1" applyFont="1" applyFill="1" applyBorder="1" applyAlignment="1">
      <alignment/>
    </xf>
    <xf numFmtId="3" fontId="2" fillId="0" borderId="19" xfId="0" applyNumberFormat="1" applyFont="1" applyBorder="1" applyAlignment="1">
      <alignment/>
    </xf>
    <xf numFmtId="3" fontId="0" fillId="4" borderId="14" xfId="0" applyNumberFormat="1" applyFont="1" applyFill="1" applyBorder="1" applyAlignment="1">
      <alignment/>
    </xf>
    <xf numFmtId="0" fontId="3" fillId="4" borderId="36" xfId="0" applyFont="1" applyFill="1" applyBorder="1" applyAlignment="1">
      <alignment/>
    </xf>
    <xf numFmtId="0" fontId="3" fillId="4" borderId="37" xfId="0" applyFont="1" applyFill="1" applyBorder="1" applyAlignment="1">
      <alignment/>
    </xf>
    <xf numFmtId="0" fontId="3" fillId="4" borderId="38" xfId="0" applyFont="1" applyFill="1" applyBorder="1" applyAlignment="1">
      <alignment horizontal="center"/>
    </xf>
    <xf numFmtId="0" fontId="3" fillId="4" borderId="41" xfId="0" applyFont="1" applyFill="1" applyBorder="1" applyAlignment="1">
      <alignment horizontal="center"/>
    </xf>
    <xf numFmtId="0" fontId="3" fillId="4" borderId="39" xfId="0" applyFont="1" applyFill="1" applyBorder="1" applyAlignment="1">
      <alignment horizontal="center"/>
    </xf>
    <xf numFmtId="3" fontId="2" fillId="4" borderId="7" xfId="0" applyNumberFormat="1" applyFont="1" applyFill="1" applyBorder="1" applyAlignment="1">
      <alignment/>
    </xf>
    <xf numFmtId="3" fontId="8" fillId="4" borderId="19" xfId="0" applyNumberFormat="1" applyFont="1" applyFill="1" applyBorder="1" applyAlignment="1">
      <alignment/>
    </xf>
    <xf numFmtId="0" fontId="3" fillId="4" borderId="40" xfId="0" applyFont="1" applyFill="1" applyBorder="1" applyAlignment="1">
      <alignment horizontal="center"/>
    </xf>
    <xf numFmtId="3" fontId="2" fillId="0" borderId="20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3" fontId="2" fillId="0" borderId="22" xfId="0" applyNumberFormat="1" applyFont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3" fontId="2" fillId="0" borderId="21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8" fillId="0" borderId="9" xfId="0" applyFont="1" applyBorder="1" applyAlignment="1">
      <alignment/>
    </xf>
    <xf numFmtId="0" fontId="8" fillId="0" borderId="5" xfId="0" applyFont="1" applyBorder="1" applyAlignment="1">
      <alignment/>
    </xf>
    <xf numFmtId="3" fontId="2" fillId="0" borderId="36" xfId="0" applyNumberFormat="1" applyFont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4" fillId="5" borderId="0" xfId="0" applyFont="1" applyFill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0" xfId="0" applyFont="1" applyBorder="1" applyAlignment="1">
      <alignment vertical="center"/>
    </xf>
    <xf numFmtId="3" fontId="2" fillId="0" borderId="20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22" xfId="0" applyFont="1" applyBorder="1" applyAlignment="1">
      <alignment vertical="center"/>
    </xf>
    <xf numFmtId="3" fontId="2" fillId="0" borderId="22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0" fontId="2" fillId="0" borderId="21" xfId="0" applyFont="1" applyBorder="1" applyAlignment="1">
      <alignment vertical="center"/>
    </xf>
    <xf numFmtId="3" fontId="2" fillId="0" borderId="21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5" borderId="36" xfId="0" applyFont="1" applyFill="1" applyBorder="1" applyAlignment="1">
      <alignment vertical="center"/>
    </xf>
    <xf numFmtId="3" fontId="2" fillId="5" borderId="36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horizontal="center" vertical="center"/>
    </xf>
    <xf numFmtId="3" fontId="2" fillId="0" borderId="37" xfId="0" applyNumberFormat="1" applyFont="1" applyFill="1" applyBorder="1" applyAlignment="1">
      <alignment horizontal="center"/>
    </xf>
    <xf numFmtId="3" fontId="2" fillId="0" borderId="38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5" borderId="0" xfId="0" applyFont="1" applyFill="1" applyAlignment="1">
      <alignment/>
    </xf>
    <xf numFmtId="0" fontId="2" fillId="5" borderId="49" xfId="0" applyFont="1" applyFill="1" applyBorder="1" applyAlignment="1">
      <alignment vertical="center"/>
    </xf>
    <xf numFmtId="0" fontId="2" fillId="5" borderId="49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14" fillId="5" borderId="0" xfId="0" applyFont="1" applyFill="1" applyAlignment="1">
      <alignment/>
    </xf>
    <xf numFmtId="0" fontId="2" fillId="5" borderId="0" xfId="0" applyFont="1" applyFill="1" applyBorder="1" applyAlignment="1">
      <alignment vertical="center"/>
    </xf>
    <xf numFmtId="9" fontId="2" fillId="5" borderId="0" xfId="0" applyNumberFormat="1" applyFont="1" applyFill="1" applyAlignment="1">
      <alignment/>
    </xf>
    <xf numFmtId="1" fontId="2" fillId="5" borderId="0" xfId="0" applyNumberFormat="1" applyFont="1" applyFill="1" applyAlignment="1">
      <alignment horizontal="center"/>
    </xf>
    <xf numFmtId="0" fontId="2" fillId="4" borderId="0" xfId="0" applyFont="1" applyFill="1" applyAlignment="1">
      <alignment/>
    </xf>
    <xf numFmtId="1" fontId="2" fillId="4" borderId="0" xfId="0" applyNumberFormat="1" applyFont="1" applyFill="1" applyAlignment="1">
      <alignment/>
    </xf>
    <xf numFmtId="0" fontId="14" fillId="0" borderId="0" xfId="0" applyFont="1" applyAlignment="1">
      <alignment/>
    </xf>
    <xf numFmtId="0" fontId="2" fillId="0" borderId="36" xfId="0" applyFont="1" applyFill="1" applyBorder="1" applyAlignment="1">
      <alignment horizontal="center"/>
    </xf>
    <xf numFmtId="3" fontId="2" fillId="0" borderId="41" xfId="0" applyNumberFormat="1" applyFont="1" applyBorder="1" applyAlignment="1">
      <alignment horizontal="right" vertical="center"/>
    </xf>
    <xf numFmtId="0" fontId="8" fillId="0" borderId="50" xfId="0" applyFont="1" applyBorder="1" applyAlignment="1">
      <alignment/>
    </xf>
    <xf numFmtId="0" fontId="8" fillId="0" borderId="26" xfId="0" applyFont="1" applyBorder="1" applyAlignment="1">
      <alignment wrapText="1"/>
    </xf>
    <xf numFmtId="0" fontId="8" fillId="0" borderId="9" xfId="0" applyFont="1" applyBorder="1" applyAlignment="1">
      <alignment wrapText="1"/>
    </xf>
    <xf numFmtId="0" fontId="8" fillId="4" borderId="51" xfId="0" applyFont="1" applyFill="1" applyBorder="1" applyAlignment="1">
      <alignment wrapText="1"/>
    </xf>
    <xf numFmtId="3" fontId="9" fillId="0" borderId="40" xfId="0" applyNumberFormat="1" applyFont="1" applyBorder="1" applyAlignment="1">
      <alignment/>
    </xf>
    <xf numFmtId="3" fontId="9" fillId="0" borderId="27" xfId="0" applyNumberFormat="1" applyFont="1" applyBorder="1" applyAlignment="1">
      <alignment horizontal="right"/>
    </xf>
    <xf numFmtId="3" fontId="9" fillId="0" borderId="11" xfId="0" applyNumberFormat="1" applyFont="1" applyBorder="1" applyAlignment="1">
      <alignment/>
    </xf>
    <xf numFmtId="3" fontId="2" fillId="0" borderId="23" xfId="0" applyNumberFormat="1" applyFont="1" applyBorder="1" applyAlignment="1">
      <alignment horizontal="center"/>
    </xf>
    <xf numFmtId="3" fontId="8" fillId="0" borderId="36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wrapText="1"/>
    </xf>
    <xf numFmtId="0" fontId="9" fillId="0" borderId="22" xfId="0" applyFont="1" applyBorder="1" applyAlignment="1">
      <alignment/>
    </xf>
    <xf numFmtId="3" fontId="8" fillId="0" borderId="22" xfId="0" applyNumberFormat="1" applyFont="1" applyBorder="1" applyAlignment="1">
      <alignment horizontal="center" wrapText="1"/>
    </xf>
    <xf numFmtId="3" fontId="8" fillId="0" borderId="35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wrapText="1"/>
    </xf>
    <xf numFmtId="4" fontId="2" fillId="4" borderId="21" xfId="0" applyNumberFormat="1" applyFont="1" applyFill="1" applyBorder="1" applyAlignment="1">
      <alignment wrapText="1"/>
    </xf>
    <xf numFmtId="3" fontId="2" fillId="0" borderId="39" xfId="0" applyNumberFormat="1" applyFont="1" applyBorder="1" applyAlignment="1">
      <alignment horizontal="right" vertical="center"/>
    </xf>
    <xf numFmtId="3" fontId="8" fillId="0" borderId="26" xfId="0" applyNumberFormat="1" applyFont="1" applyBorder="1" applyAlignment="1">
      <alignment/>
    </xf>
    <xf numFmtId="3" fontId="8" fillId="0" borderId="9" xfId="0" applyNumberFormat="1" applyFont="1" applyBorder="1" applyAlignment="1">
      <alignment/>
    </xf>
    <xf numFmtId="3" fontId="2" fillId="0" borderId="9" xfId="0" applyNumberFormat="1" applyFont="1" applyBorder="1" applyAlignment="1">
      <alignment horizontal="right" vertical="center"/>
    </xf>
    <xf numFmtId="3" fontId="8" fillId="4" borderId="43" xfId="0" applyNumberFormat="1" applyFont="1" applyFill="1" applyBorder="1" applyAlignment="1">
      <alignment/>
    </xf>
    <xf numFmtId="3" fontId="9" fillId="0" borderId="27" xfId="0" applyNumberFormat="1" applyFont="1" applyBorder="1" applyAlignment="1">
      <alignment/>
    </xf>
    <xf numFmtId="3" fontId="8" fillId="4" borderId="7" xfId="0" applyNumberFormat="1" applyFont="1" applyFill="1" applyBorder="1" applyAlignment="1">
      <alignment/>
    </xf>
    <xf numFmtId="3" fontId="8" fillId="4" borderId="21" xfId="0" applyNumberFormat="1" applyFont="1" applyFill="1" applyBorder="1" applyAlignment="1">
      <alignment wrapText="1"/>
    </xf>
    <xf numFmtId="0" fontId="3" fillId="4" borderId="50" xfId="0" applyFont="1" applyFill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3" xfId="0" applyNumberFormat="1" applyFont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8" fillId="0" borderId="34" xfId="0" applyFont="1" applyBorder="1" applyAlignment="1">
      <alignment/>
    </xf>
    <xf numFmtId="3" fontId="8" fillId="0" borderId="23" xfId="0" applyNumberFormat="1" applyFont="1" applyBorder="1" applyAlignment="1">
      <alignment/>
    </xf>
    <xf numFmtId="3" fontId="9" fillId="0" borderId="28" xfId="0" applyNumberFormat="1" applyFont="1" applyBorder="1" applyAlignment="1">
      <alignment/>
    </xf>
    <xf numFmtId="3" fontId="8" fillId="0" borderId="34" xfId="0" applyNumberFormat="1" applyFont="1" applyBorder="1" applyAlignment="1">
      <alignment/>
    </xf>
    <xf numFmtId="0" fontId="8" fillId="4" borderId="50" xfId="0" applyFont="1" applyFill="1" applyBorder="1" applyAlignment="1">
      <alignment wrapText="1"/>
    </xf>
    <xf numFmtId="4" fontId="2" fillId="4" borderId="36" xfId="0" applyNumberFormat="1" applyFont="1" applyFill="1" applyBorder="1" applyAlignment="1">
      <alignment wrapText="1"/>
    </xf>
    <xf numFmtId="3" fontId="2" fillId="4" borderId="40" xfId="0" applyNumberFormat="1" applyFont="1" applyFill="1" applyBorder="1" applyAlignment="1">
      <alignment/>
    </xf>
    <xf numFmtId="3" fontId="8" fillId="4" borderId="47" xfId="0" applyNumberFormat="1" applyFont="1" applyFill="1" applyBorder="1" applyAlignment="1">
      <alignment/>
    </xf>
    <xf numFmtId="3" fontId="8" fillId="4" borderId="36" xfId="0" applyNumberFormat="1" applyFont="1" applyFill="1" applyBorder="1" applyAlignment="1">
      <alignment wrapText="1"/>
    </xf>
    <xf numFmtId="3" fontId="8" fillId="4" borderId="40" xfId="0" applyNumberFormat="1" applyFont="1" applyFill="1" applyBorder="1" applyAlignment="1">
      <alignment/>
    </xf>
    <xf numFmtId="3" fontId="8" fillId="4" borderId="52" xfId="0" applyNumberFormat="1" applyFont="1" applyFill="1" applyBorder="1" applyAlignment="1">
      <alignment/>
    </xf>
    <xf numFmtId="0" fontId="0" fillId="0" borderId="0" xfId="0" applyAlignment="1">
      <alignment/>
    </xf>
    <xf numFmtId="0" fontId="8" fillId="0" borderId="2" xfId="0" applyFont="1" applyFill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4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53" xfId="0" applyFont="1" applyBorder="1" applyAlignment="1">
      <alignment/>
    </xf>
    <xf numFmtId="3" fontId="2" fillId="0" borderId="49" xfId="0" applyNumberFormat="1" applyFont="1" applyBorder="1" applyAlignment="1">
      <alignment horizontal="center"/>
    </xf>
    <xf numFmtId="3" fontId="2" fillId="0" borderId="54" xfId="0" applyNumberFormat="1" applyFont="1" applyBorder="1" applyAlignment="1">
      <alignment/>
    </xf>
    <xf numFmtId="3" fontId="2" fillId="0" borderId="55" xfId="0" applyNumberFormat="1" applyFont="1" applyBorder="1" applyAlignment="1">
      <alignment/>
    </xf>
    <xf numFmtId="3" fontId="2" fillId="0" borderId="56" xfId="0" applyNumberFormat="1" applyFont="1" applyFill="1" applyBorder="1" applyAlignment="1">
      <alignment horizontal="center"/>
    </xf>
    <xf numFmtId="3" fontId="2" fillId="0" borderId="42" xfId="0" applyNumberFormat="1" applyFont="1" applyBorder="1" applyAlignment="1">
      <alignment/>
    </xf>
    <xf numFmtId="3" fontId="2" fillId="0" borderId="6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49" xfId="0" applyNumberFormat="1" applyFont="1" applyFill="1" applyBorder="1" applyAlignment="1">
      <alignment horizontal="center"/>
    </xf>
    <xf numFmtId="3" fontId="2" fillId="0" borderId="57" xfId="0" applyNumberFormat="1" applyFont="1" applyBorder="1" applyAlignment="1">
      <alignment/>
    </xf>
    <xf numFmtId="0" fontId="0" fillId="5" borderId="8" xfId="0" applyFill="1" applyBorder="1" applyAlignment="1">
      <alignment/>
    </xf>
    <xf numFmtId="0" fontId="3" fillId="3" borderId="47" xfId="0" applyFont="1" applyFill="1" applyBorder="1" applyAlignment="1">
      <alignment/>
    </xf>
    <xf numFmtId="0" fontId="0" fillId="3" borderId="47" xfId="0" applyFill="1" applyBorder="1" applyAlignment="1">
      <alignment/>
    </xf>
    <xf numFmtId="0" fontId="0" fillId="3" borderId="52" xfId="0" applyFill="1" applyBorder="1" applyAlignment="1">
      <alignment/>
    </xf>
    <xf numFmtId="0" fontId="3" fillId="3" borderId="52" xfId="0" applyFont="1" applyFill="1" applyBorder="1" applyAlignment="1">
      <alignment/>
    </xf>
    <xf numFmtId="0" fontId="1" fillId="5" borderId="36" xfId="0" applyFont="1" applyFill="1" applyBorder="1" applyAlignment="1">
      <alignment horizontal="center"/>
    </xf>
    <xf numFmtId="3" fontId="1" fillId="5" borderId="37" xfId="0" applyNumberFormat="1" applyFont="1" applyFill="1" applyBorder="1" applyAlignment="1">
      <alignment/>
    </xf>
    <xf numFmtId="192" fontId="3" fillId="5" borderId="38" xfId="0" applyNumberFormat="1" applyFont="1" applyFill="1" applyBorder="1" applyAlignment="1">
      <alignment/>
    </xf>
    <xf numFmtId="10" fontId="3" fillId="5" borderId="39" xfId="0" applyNumberFormat="1" applyFont="1" applyFill="1" applyBorder="1" applyAlignment="1">
      <alignment/>
    </xf>
    <xf numFmtId="3" fontId="0" fillId="5" borderId="37" xfId="0" applyNumberFormat="1" applyFont="1" applyFill="1" applyBorder="1" applyAlignment="1">
      <alignment/>
    </xf>
    <xf numFmtId="3" fontId="0" fillId="5" borderId="38" xfId="0" applyNumberFormat="1" applyFont="1" applyFill="1" applyBorder="1" applyAlignment="1">
      <alignment/>
    </xf>
    <xf numFmtId="3" fontId="0" fillId="5" borderId="40" xfId="0" applyNumberFormat="1" applyFont="1" applyFill="1" applyBorder="1" applyAlignment="1">
      <alignment/>
    </xf>
    <xf numFmtId="3" fontId="0" fillId="5" borderId="47" xfId="0" applyNumberFormat="1" applyFont="1" applyFill="1" applyBorder="1" applyAlignment="1">
      <alignment/>
    </xf>
    <xf numFmtId="3" fontId="1" fillId="5" borderId="36" xfId="0" applyNumberFormat="1" applyFont="1" applyFill="1" applyBorder="1" applyAlignment="1">
      <alignment/>
    </xf>
    <xf numFmtId="4" fontId="4" fillId="5" borderId="40" xfId="0" applyNumberFormat="1" applyFont="1" applyFill="1" applyBorder="1" applyAlignment="1">
      <alignment/>
    </xf>
    <xf numFmtId="10" fontId="3" fillId="5" borderId="38" xfId="0" applyNumberFormat="1" applyFont="1" applyFill="1" applyBorder="1" applyAlignment="1">
      <alignment/>
    </xf>
    <xf numFmtId="10" fontId="0" fillId="5" borderId="41" xfId="0" applyNumberFormat="1" applyFont="1" applyFill="1" applyBorder="1" applyAlignment="1">
      <alignment/>
    </xf>
    <xf numFmtId="3" fontId="3" fillId="5" borderId="36" xfId="0" applyNumberFormat="1" applyFont="1" applyFill="1" applyBorder="1" applyAlignment="1">
      <alignment/>
    </xf>
    <xf numFmtId="3" fontId="0" fillId="5" borderId="37" xfId="0" applyNumberFormat="1" applyFill="1" applyBorder="1" applyAlignment="1">
      <alignment/>
    </xf>
    <xf numFmtId="3" fontId="0" fillId="5" borderId="38" xfId="0" applyNumberFormat="1" applyFill="1" applyBorder="1" applyAlignment="1">
      <alignment/>
    </xf>
    <xf numFmtId="3" fontId="0" fillId="5" borderId="41" xfId="0" applyNumberFormat="1" applyFill="1" applyBorder="1" applyAlignment="1">
      <alignment/>
    </xf>
    <xf numFmtId="3" fontId="4" fillId="5" borderId="40" xfId="0" applyNumberFormat="1" applyFont="1" applyFill="1" applyBorder="1" applyAlignment="1">
      <alignment/>
    </xf>
    <xf numFmtId="10" fontId="0" fillId="5" borderId="39" xfId="0" applyNumberFormat="1" applyFont="1" applyFill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2" fillId="0" borderId="53" xfId="0" applyNumberFormat="1" applyFont="1" applyFill="1" applyBorder="1" applyAlignment="1">
      <alignment horizontal="center"/>
    </xf>
    <xf numFmtId="3" fontId="8" fillId="0" borderId="50" xfId="0" applyNumberFormat="1" applyFont="1" applyBorder="1" applyAlignment="1">
      <alignment horizontal="center" vertical="center"/>
    </xf>
    <xf numFmtId="0" fontId="9" fillId="0" borderId="58" xfId="0" applyFont="1" applyBorder="1" applyAlignment="1">
      <alignment wrapText="1"/>
    </xf>
    <xf numFmtId="0" fontId="9" fillId="0" borderId="59" xfId="0" applyFont="1" applyBorder="1" applyAlignment="1">
      <alignment/>
    </xf>
    <xf numFmtId="3" fontId="8" fillId="0" borderId="59" xfId="0" applyNumberFormat="1" applyFont="1" applyBorder="1" applyAlignment="1">
      <alignment horizontal="center" wrapText="1"/>
    </xf>
    <xf numFmtId="3" fontId="8" fillId="0" borderId="58" xfId="0" applyNumberFormat="1" applyFont="1" applyBorder="1" applyAlignment="1">
      <alignment horizontal="center" vertical="center"/>
    </xf>
    <xf numFmtId="0" fontId="9" fillId="0" borderId="59" xfId="0" applyFont="1" applyBorder="1" applyAlignment="1">
      <alignment wrapText="1"/>
    </xf>
    <xf numFmtId="3" fontId="8" fillId="0" borderId="60" xfId="0" applyNumberFormat="1" applyFont="1" applyBorder="1" applyAlignment="1">
      <alignment/>
    </xf>
    <xf numFmtId="3" fontId="8" fillId="4" borderId="50" xfId="0" applyNumberFormat="1" applyFont="1" applyFill="1" applyBorder="1" applyAlignment="1">
      <alignment wrapText="1"/>
    </xf>
    <xf numFmtId="3" fontId="8" fillId="4" borderId="51" xfId="0" applyNumberFormat="1" applyFont="1" applyFill="1" applyBorder="1" applyAlignment="1">
      <alignment wrapText="1"/>
    </xf>
    <xf numFmtId="0" fontId="3" fillId="4" borderId="37" xfId="0" applyFont="1" applyFill="1" applyBorder="1" applyAlignment="1">
      <alignment horizontal="center"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61" xfId="0" applyNumberFormat="1" applyFont="1" applyBorder="1" applyAlignment="1">
      <alignment/>
    </xf>
    <xf numFmtId="3" fontId="9" fillId="0" borderId="37" xfId="0" applyNumberFormat="1" applyFont="1" applyBorder="1" applyAlignment="1">
      <alignment/>
    </xf>
    <xf numFmtId="3" fontId="9" fillId="0" borderId="25" xfId="0" applyNumberFormat="1" applyFont="1" applyBorder="1" applyAlignment="1">
      <alignment/>
    </xf>
    <xf numFmtId="3" fontId="8" fillId="0" borderId="32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2" fillId="0" borderId="62" xfId="0" applyNumberFormat="1" applyFont="1" applyBorder="1" applyAlignment="1">
      <alignment/>
    </xf>
    <xf numFmtId="3" fontId="2" fillId="0" borderId="29" xfId="0" applyNumberFormat="1" applyFont="1" applyBorder="1" applyAlignment="1">
      <alignment horizontal="right" vertical="center"/>
    </xf>
    <xf numFmtId="3" fontId="9" fillId="0" borderId="30" xfId="0" applyNumberFormat="1" applyFont="1" applyBorder="1" applyAlignment="1">
      <alignment/>
    </xf>
    <xf numFmtId="3" fontId="8" fillId="0" borderId="33" xfId="0" applyNumberFormat="1" applyFont="1" applyBorder="1" applyAlignment="1">
      <alignment/>
    </xf>
    <xf numFmtId="3" fontId="8" fillId="4" borderId="37" xfId="0" applyNumberFormat="1" applyFont="1" applyFill="1" applyBorder="1" applyAlignment="1">
      <alignment/>
    </xf>
    <xf numFmtId="3" fontId="8" fillId="4" borderId="3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0" fontId="0" fillId="2" borderId="3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10" fillId="0" borderId="63" xfId="0" applyFont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5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67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2" borderId="25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5" borderId="3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32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69" xfId="0" applyFill="1" applyBorder="1" applyAlignment="1">
      <alignment horizontal="center"/>
    </xf>
    <xf numFmtId="0" fontId="0" fillId="2" borderId="70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0" fillId="4" borderId="17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7" fillId="0" borderId="0" xfId="0" applyFont="1" applyAlignment="1">
      <alignment horizontal="center"/>
    </xf>
    <xf numFmtId="14" fontId="0" fillId="0" borderId="0" xfId="0" applyNumberFormat="1" applyAlignment="1">
      <alignment horizontal="left"/>
    </xf>
    <xf numFmtId="0" fontId="2" fillId="0" borderId="36" xfId="0" applyFont="1" applyBorder="1" applyAlignment="1">
      <alignment horizontal="center"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výberu poistného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grafy'!$C$14:$C$35</c:f>
              <c:numCache>
                <c:ptCount val="22"/>
                <c:pt idx="0">
                  <c:v>1033617856.3</c:v>
                </c:pt>
                <c:pt idx="1">
                  <c:v>1057648716.4000001</c:v>
                </c:pt>
                <c:pt idx="2">
                  <c:v>1106124986.3999999</c:v>
                </c:pt>
                <c:pt idx="3">
                  <c:v>1256510706.8</c:v>
                </c:pt>
                <c:pt idx="4">
                  <c:v>1327531688.4999995</c:v>
                </c:pt>
                <c:pt idx="5">
                  <c:v>1063859678.2000003</c:v>
                </c:pt>
                <c:pt idx="6">
                  <c:v>1245981659</c:v>
                </c:pt>
                <c:pt idx="7">
                  <c:v>1719322512</c:v>
                </c:pt>
                <c:pt idx="8">
                  <c:v>2001293342</c:v>
                </c:pt>
                <c:pt idx="9">
                  <c:v>2131028807</c:v>
                </c:pt>
                <c:pt idx="10">
                  <c:v>2254004032</c:v>
                </c:pt>
                <c:pt idx="11">
                  <c:v>2389925739</c:v>
                </c:pt>
                <c:pt idx="12">
                  <c:v>2533040204</c:v>
                </c:pt>
                <c:pt idx="13">
                  <c:v>2685022617</c:v>
                </c:pt>
                <c:pt idx="14">
                  <c:v>2846123974</c:v>
                </c:pt>
                <c:pt idx="15">
                  <c:v>3016891412</c:v>
                </c:pt>
                <c:pt idx="16">
                  <c:v>3197904897</c:v>
                </c:pt>
                <c:pt idx="17">
                  <c:v>3389779190</c:v>
                </c:pt>
                <c:pt idx="18">
                  <c:v>3593165942</c:v>
                </c:pt>
                <c:pt idx="19">
                  <c:v>3808755898</c:v>
                </c:pt>
                <c:pt idx="20">
                  <c:v>4037281252</c:v>
                </c:pt>
                <c:pt idx="21">
                  <c:v>4279518127</c:v>
                </c:pt>
              </c:numCache>
            </c:numRef>
          </c:val>
        </c:ser>
        <c:axId val="9836400"/>
        <c:axId val="21418737"/>
      </c:areaChart>
      <c:catAx>
        <c:axId val="98364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1999 - 2020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18737"/>
        <c:crosses val="autoZero"/>
        <c:auto val="1"/>
        <c:lblOffset val="100"/>
        <c:noMultiLvlLbl val="0"/>
      </c:catAx>
      <c:valAx>
        <c:axId val="214187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83640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Úroveň príjmov v hodnosti v r. 2005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Úroveň príjmov v hodnosti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sl.platov 2005-2020'!$C$7:$C$29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9173834"/>
        <c:axId val="15455643"/>
      </c:areaChart>
      <c:cat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Generál - vojak - kadet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455643"/>
        <c:crosses val="autoZero"/>
        <c:auto val="1"/>
        <c:lblOffset val="100"/>
        <c:noMultiLvlLbl val="0"/>
      </c:catAx>
      <c:valAx>
        <c:axId val="15455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17383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Výdaje na služobné príjmy podľa hodnostnej štruktúry v r. 2020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Váha príjmov k hodnostiam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sl.platov 2005-2020'!$Y$72:$Y$94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4883060"/>
        <c:axId val="43947541"/>
      </c:areaChart>
      <c:catAx>
        <c:axId val="4883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Generál - vojak - kadet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3947541"/>
        <c:crosses val="autoZero"/>
        <c:auto val="1"/>
        <c:lblOffset val="100"/>
        <c:noMultiLvlLbl val="0"/>
      </c:cat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30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Úroveň príjmov v hodnosti v r. 2020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Úroveň príjmov v hodnosti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sl.platov 2005-2020'!$X$72:$X$94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59983550"/>
        <c:axId val="2981039"/>
      </c:areaChart>
      <c:cat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Generál - vojak - kadet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81039"/>
        <c:crosses val="autoZero"/>
        <c:auto val="1"/>
        <c:lblOffset val="100"/>
        <c:noMultiLvlLbl val="0"/>
      </c:cat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983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Váha hodnostnej štruktúry v r. 2005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Váha hodností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sl.platov 2005-2020'!$B$7:$B$29</c:f>
              <c:numCache>
                <c:ptCount val="23"/>
                <c:pt idx="0">
                  <c:v>1</c:v>
                </c:pt>
                <c:pt idx="1">
                  <c:v>3</c:v>
                </c:pt>
                <c:pt idx="2">
                  <c:v>11</c:v>
                </c:pt>
                <c:pt idx="3">
                  <c:v>11</c:v>
                </c:pt>
                <c:pt idx="4">
                  <c:v>154.31</c:v>
                </c:pt>
                <c:pt idx="5">
                  <c:v>362.25</c:v>
                </c:pt>
                <c:pt idx="6">
                  <c:v>621.39</c:v>
                </c:pt>
                <c:pt idx="7">
                  <c:v>1250.48</c:v>
                </c:pt>
                <c:pt idx="8">
                  <c:v>829.46</c:v>
                </c:pt>
                <c:pt idx="9">
                  <c:v>676.88</c:v>
                </c:pt>
                <c:pt idx="10">
                  <c:v>38.43</c:v>
                </c:pt>
                <c:pt idx="11">
                  <c:v>155.81</c:v>
                </c:pt>
                <c:pt idx="12">
                  <c:v>304.8</c:v>
                </c:pt>
                <c:pt idx="13">
                  <c:v>50.14</c:v>
                </c:pt>
                <c:pt idx="14">
                  <c:v>986.31</c:v>
                </c:pt>
                <c:pt idx="15">
                  <c:v>844.54</c:v>
                </c:pt>
                <c:pt idx="16">
                  <c:v>1645.2</c:v>
                </c:pt>
                <c:pt idx="17">
                  <c:v>1682.36</c:v>
                </c:pt>
                <c:pt idx="18">
                  <c:v>1982.78</c:v>
                </c:pt>
                <c:pt idx="19">
                  <c:v>1996.77</c:v>
                </c:pt>
                <c:pt idx="20">
                  <c:v>1785.31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26829352"/>
        <c:axId val="40137577"/>
      </c:areaChart>
      <c:catAx>
        <c:axId val="2682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Generál - vojak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137577"/>
        <c:crosses val="autoZero"/>
        <c:auto val="1"/>
        <c:lblOffset val="100"/>
        <c:noMultiLvlLbl val="0"/>
      </c:catAx>
      <c:valAx>
        <c:axId val="40137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Početnosť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829352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Váha hodnotnej štruktúry v r. 2020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Váha hodností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sl.platov 2005-2020'!$W$72:$W$94</c:f>
              <c:numCache>
                <c:ptCount val="23"/>
                <c:pt idx="0">
                  <c:v>1</c:v>
                </c:pt>
                <c:pt idx="1">
                  <c:v>3</c:v>
                </c:pt>
                <c:pt idx="2">
                  <c:v>11</c:v>
                </c:pt>
                <c:pt idx="3">
                  <c:v>11</c:v>
                </c:pt>
                <c:pt idx="4">
                  <c:v>119</c:v>
                </c:pt>
                <c:pt idx="5">
                  <c:v>362</c:v>
                </c:pt>
                <c:pt idx="6">
                  <c:v>676</c:v>
                </c:pt>
                <c:pt idx="7">
                  <c:v>1175</c:v>
                </c:pt>
                <c:pt idx="8">
                  <c:v>1106</c:v>
                </c:pt>
                <c:pt idx="9">
                  <c:v>714</c:v>
                </c:pt>
                <c:pt idx="10">
                  <c:v>13</c:v>
                </c:pt>
                <c:pt idx="11">
                  <c:v>107</c:v>
                </c:pt>
                <c:pt idx="12">
                  <c:v>198</c:v>
                </c:pt>
                <c:pt idx="13">
                  <c:v>50</c:v>
                </c:pt>
                <c:pt idx="14">
                  <c:v>693</c:v>
                </c:pt>
                <c:pt idx="15">
                  <c:v>1280</c:v>
                </c:pt>
                <c:pt idx="16">
                  <c:v>2295</c:v>
                </c:pt>
                <c:pt idx="17">
                  <c:v>1110</c:v>
                </c:pt>
                <c:pt idx="18">
                  <c:v>1639</c:v>
                </c:pt>
                <c:pt idx="19">
                  <c:v>3268</c:v>
                </c:pt>
                <c:pt idx="20">
                  <c:v>2338</c:v>
                </c:pt>
                <c:pt idx="21">
                  <c:v>160</c:v>
                </c:pt>
                <c:pt idx="22">
                  <c:v>570</c:v>
                </c:pt>
              </c:numCache>
            </c:numRef>
          </c:val>
        </c:ser>
        <c:axId val="25693874"/>
        <c:axId val="29918275"/>
      </c:areaChart>
      <c:catAx>
        <c:axId val="25693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Generál - vojak - kadet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9918275"/>
        <c:crosses val="autoZero"/>
        <c:auto val="1"/>
        <c:lblOffset val="100"/>
        <c:noMultiLvlLbl val="0"/>
      </c:catAx>
      <c:valAx>
        <c:axId val="299182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Početnosť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693874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index vývoja príspevku z rozpočtu MO SR na príjme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grafy'!$E$15:$E$35</c:f>
              <c:numCache>
                <c:ptCount val="21"/>
                <c:pt idx="0">
                  <c:v>0.7673044146825397</c:v>
                </c:pt>
                <c:pt idx="1">
                  <c:v>1.516751677257085</c:v>
                </c:pt>
                <c:pt idx="2">
                  <c:v>1.2189794036034176</c:v>
                </c:pt>
                <c:pt idx="3">
                  <c:v>3.1570435033268742</c:v>
                </c:pt>
                <c:pt idx="4">
                  <c:v>1.5423040193472037</c:v>
                </c:pt>
                <c:pt idx="5">
                  <c:v>0.9377012681516683</c:v>
                </c:pt>
                <c:pt idx="6">
                  <c:v>1.0526734394777606</c:v>
                </c:pt>
                <c:pt idx="7">
                  <c:v>1.0225020070486295</c:v>
                </c:pt>
                <c:pt idx="8">
                  <c:v>1.1515577765885738</c:v>
                </c:pt>
                <c:pt idx="9">
                  <c:v>1.1438709577939794</c:v>
                </c:pt>
                <c:pt idx="10">
                  <c:v>1.1390576506467587</c:v>
                </c:pt>
                <c:pt idx="11">
                  <c:v>1.0159610282405924</c:v>
                </c:pt>
                <c:pt idx="12">
                  <c:v>0.9740753854802934</c:v>
                </c:pt>
                <c:pt idx="13">
                  <c:v>0.9636548758813858</c:v>
                </c:pt>
                <c:pt idx="14">
                  <c:v>0.959554244362583</c:v>
                </c:pt>
                <c:pt idx="15">
                  <c:v>0.954831466014346</c:v>
                </c:pt>
                <c:pt idx="16">
                  <c:v>0.9493418906949</c:v>
                </c:pt>
                <c:pt idx="17">
                  <c:v>0.9428923818845687</c:v>
                </c:pt>
                <c:pt idx="18">
                  <c:v>0.9352191451224268</c:v>
                </c:pt>
                <c:pt idx="19">
                  <c:v>0.9259521330556714</c:v>
                </c:pt>
                <c:pt idx="20">
                  <c:v>0.9145555664437592</c:v>
                </c:pt>
              </c:numCache>
            </c:numRef>
          </c:val>
        </c:ser>
        <c:axId val="58550906"/>
        <c:axId val="57196107"/>
      </c:areaChart>
      <c:catAx>
        <c:axId val="58550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2000 - 2020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196107"/>
        <c:crosses val="autoZero"/>
        <c:auto val="1"/>
        <c:lblOffset val="100"/>
        <c:noMultiLvlLbl val="0"/>
      </c:catAx>
      <c:valAx>
        <c:axId val="571961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55090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výšky príspevku z rozpočtu na príjmoch OÚ MO SR 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grafy'!$D$14:$D$35</c:f>
              <c:numCache>
                <c:ptCount val="22"/>
                <c:pt idx="0">
                  <c:v>302400000</c:v>
                </c:pt>
                <c:pt idx="1">
                  <c:v>232032855</c:v>
                </c:pt>
                <c:pt idx="2">
                  <c:v>351936222</c:v>
                </c:pt>
                <c:pt idx="3">
                  <c:v>429003006</c:v>
                </c:pt>
                <c:pt idx="4">
                  <c:v>1354381153</c:v>
                </c:pt>
                <c:pt idx="5">
                  <c:v>2088867496</c:v>
                </c:pt>
                <c:pt idx="6">
                  <c:v>1958733700</c:v>
                </c:pt>
                <c:pt idx="7">
                  <c:v>2061906941</c:v>
                </c:pt>
                <c:pt idx="8">
                  <c:v>2108303985.52</c:v>
                </c:pt>
                <c:pt idx="9">
                  <c:v>2427833849.93824</c:v>
                </c:pt>
                <c:pt idx="10">
                  <c:v>2777128631.293499</c:v>
                </c:pt>
                <c:pt idx="11">
                  <c:v>3163309614.3050213</c:v>
                </c:pt>
                <c:pt idx="12">
                  <c:v>3213799288.392681</c:v>
                </c:pt>
                <c:pt idx="13">
                  <c:v>3130482780.6973934</c:v>
                </c:pt>
                <c:pt idx="14">
                  <c:v>3016704995.481762</c:v>
                </c:pt>
                <c:pt idx="15">
                  <c:v>2894692082.404331</c:v>
                </c:pt>
                <c:pt idx="16">
                  <c:v>2763943084.7022476</c:v>
                </c:pt>
                <c:pt idx="17">
                  <c:v>2623926953.804326</c:v>
                </c:pt>
                <c:pt idx="18">
                  <c:v>2474080735.363682</c:v>
                </c:pt>
                <c:pt idx="19">
                  <c:v>2313807670.2906876</c:v>
                </c:pt>
                <c:pt idx="20">
                  <c:v>2142475147.7862358</c:v>
                </c:pt>
                <c:pt idx="21">
                  <c:v>1959412572.3753176</c:v>
                </c:pt>
              </c:numCache>
            </c:numRef>
          </c:val>
        </c:ser>
        <c:axId val="45002916"/>
        <c:axId val="2373061"/>
      </c:areaChart>
      <c:catAx>
        <c:axId val="450029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Roky 1999 - 2020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373061"/>
        <c:crosses val="autoZero"/>
        <c:auto val="1"/>
        <c:lblOffset val="100"/>
        <c:noMultiLvlLbl val="0"/>
      </c:catAx>
      <c:valAx>
        <c:axId val="23730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00291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Vývoj počtov poberatelov sociálneho zabezpečenia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grafy'!$C$79:$C$102</c:f>
              <c:numCache>
                <c:ptCount val="24"/>
                <c:pt idx="0">
                  <c:v>9534</c:v>
                </c:pt>
                <c:pt idx="1">
                  <c:v>9534</c:v>
                </c:pt>
                <c:pt idx="2">
                  <c:v>10232</c:v>
                </c:pt>
                <c:pt idx="3">
                  <c:v>10426</c:v>
                </c:pt>
                <c:pt idx="4">
                  <c:v>10785</c:v>
                </c:pt>
                <c:pt idx="5">
                  <c:v>11415</c:v>
                </c:pt>
                <c:pt idx="6">
                  <c:v>13648</c:v>
                </c:pt>
                <c:pt idx="7">
                  <c:v>14483</c:v>
                </c:pt>
                <c:pt idx="8">
                  <c:v>15310</c:v>
                </c:pt>
                <c:pt idx="9">
                  <c:v>15604</c:v>
                </c:pt>
                <c:pt idx="10">
                  <c:v>15954.2</c:v>
                </c:pt>
                <c:pt idx="11">
                  <c:v>15911.582</c:v>
                </c:pt>
                <c:pt idx="12">
                  <c:v>15960.12782</c:v>
                </c:pt>
                <c:pt idx="13">
                  <c:v>15941.8190982</c:v>
                </c:pt>
                <c:pt idx="14">
                  <c:v>16061.637289182</c:v>
                </c:pt>
                <c:pt idx="15">
                  <c:v>16167.563662073819</c:v>
                </c:pt>
                <c:pt idx="16">
                  <c:v>16280.579298694556</c:v>
                </c:pt>
                <c:pt idx="17">
                  <c:v>16389.6650916815</c:v>
                </c:pt>
                <c:pt idx="18">
                  <c:v>16467.259463967144</c:v>
                </c:pt>
                <c:pt idx="19">
                  <c:v>16522.413273481347</c:v>
                </c:pt>
                <c:pt idx="20">
                  <c:v>16554.982463946973</c:v>
                </c:pt>
                <c:pt idx="21">
                  <c:v>16565.60857345916</c:v>
                </c:pt>
                <c:pt idx="22">
                  <c:v>16555.697293922567</c:v>
                </c:pt>
                <c:pt idx="23">
                  <c:v>16509.394886432314</c:v>
                </c:pt>
              </c:numCache>
            </c:numRef>
          </c:val>
        </c:ser>
        <c:axId val="21357550"/>
        <c:axId val="58000223"/>
      </c:areaChart>
      <c:catAx>
        <c:axId val="21357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00223"/>
        <c:crosses val="autoZero"/>
        <c:auto val="1"/>
        <c:lblOffset val="100"/>
        <c:noMultiLvlLbl val="0"/>
      </c:catAx>
      <c:valAx>
        <c:axId val="580002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Početnosť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35755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rozdiel vo výdajoch OÚ MO SR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grafy'!$L$14:$L$35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axId val="52239960"/>
        <c:axId val="397593"/>
      </c:areaChart>
      <c:catAx>
        <c:axId val="522399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2000 - 2020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7593"/>
        <c:crosses val="autoZero"/>
        <c:auto val="1"/>
        <c:lblOffset val="100"/>
        <c:noMultiLvlLbl val="0"/>
      </c:catAx>
      <c:valAx>
        <c:axId val="3975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23996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Medziročný rozdiel v nákladoch na jedného poberateľa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grafy'!$I$80:$I$102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3578338"/>
        <c:axId val="32205043"/>
      </c:areaChart>
      <c:catAx>
        <c:axId val="3578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05043"/>
        <c:crosses val="autoZero"/>
        <c:auto val="1"/>
        <c:lblOffset val="100"/>
        <c:noMultiLvlLbl val="0"/>
      </c:catAx>
      <c:valAx>
        <c:axId val="322050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7833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Vývoj príjmov OÚ MO SR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Poistné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grafy'!$C$14:$C$35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Rozpočet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grafy'!$D$14:$D$35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1409932"/>
        <c:axId val="58471661"/>
      </c:lineChart>
      <c:catAx>
        <c:axId val="214099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1661"/>
        <c:crosses val="autoZero"/>
        <c:auto val="1"/>
        <c:lblOffset val="100"/>
        <c:noMultiLvlLbl val="0"/>
      </c:catAx>
      <c:valAx>
        <c:axId val="584716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Vývoj počtu dávok, prírastky a úbytky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Počet dávok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grafy'!$C$80:$C$102</c:f>
              <c:numCache>
                <c:ptCount val="23"/>
                <c:pt idx="0">
                  <c:v>9534</c:v>
                </c:pt>
                <c:pt idx="1">
                  <c:v>10232</c:v>
                </c:pt>
                <c:pt idx="2">
                  <c:v>10426</c:v>
                </c:pt>
                <c:pt idx="3">
                  <c:v>10785</c:v>
                </c:pt>
                <c:pt idx="4">
                  <c:v>11415</c:v>
                </c:pt>
                <c:pt idx="5">
                  <c:v>13648</c:v>
                </c:pt>
                <c:pt idx="6">
                  <c:v>14483</c:v>
                </c:pt>
                <c:pt idx="7">
                  <c:v>15310</c:v>
                </c:pt>
                <c:pt idx="8">
                  <c:v>15604</c:v>
                </c:pt>
                <c:pt idx="9">
                  <c:v>15954.2</c:v>
                </c:pt>
                <c:pt idx="10">
                  <c:v>15911.582</c:v>
                </c:pt>
                <c:pt idx="11">
                  <c:v>15960.12782</c:v>
                </c:pt>
                <c:pt idx="12">
                  <c:v>15941.8190982</c:v>
                </c:pt>
                <c:pt idx="13">
                  <c:v>16061.637289182</c:v>
                </c:pt>
                <c:pt idx="14">
                  <c:v>16167.563662073819</c:v>
                </c:pt>
                <c:pt idx="15">
                  <c:v>16280.579298694556</c:v>
                </c:pt>
                <c:pt idx="16">
                  <c:v>16389.6650916815</c:v>
                </c:pt>
                <c:pt idx="17">
                  <c:v>16467.259463967144</c:v>
                </c:pt>
                <c:pt idx="18">
                  <c:v>16522.413273481347</c:v>
                </c:pt>
                <c:pt idx="19">
                  <c:v>16554.982463946973</c:v>
                </c:pt>
                <c:pt idx="20">
                  <c:v>16565.60857345916</c:v>
                </c:pt>
                <c:pt idx="21">
                  <c:v>16555.697293922567</c:v>
                </c:pt>
                <c:pt idx="22">
                  <c:v>16509.394886432314</c:v>
                </c:pt>
              </c:numCache>
            </c:numRef>
          </c:val>
          <c:smooth val="0"/>
        </c:ser>
        <c:ser>
          <c:idx val="1"/>
          <c:order val="1"/>
          <c:tx>
            <c:v>Prepustení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grafy'!$D$80:$D$102</c:f>
              <c:numCache>
                <c:ptCount val="23"/>
                <c:pt idx="1">
                  <c:v>820</c:v>
                </c:pt>
                <c:pt idx="2">
                  <c:v>549</c:v>
                </c:pt>
                <c:pt idx="3">
                  <c:v>607</c:v>
                </c:pt>
                <c:pt idx="4">
                  <c:v>810</c:v>
                </c:pt>
                <c:pt idx="5">
                  <c:v>2846</c:v>
                </c:pt>
                <c:pt idx="6">
                  <c:v>2188</c:v>
                </c:pt>
                <c:pt idx="7">
                  <c:v>1392</c:v>
                </c:pt>
                <c:pt idx="8">
                  <c:v>705</c:v>
                </c:pt>
                <c:pt idx="9">
                  <c:v>644</c:v>
                </c:pt>
                <c:pt idx="10">
                  <c:v>496</c:v>
                </c:pt>
                <c:pt idx="11">
                  <c:v>727</c:v>
                </c:pt>
                <c:pt idx="12">
                  <c:v>649</c:v>
                </c:pt>
                <c:pt idx="13">
                  <c:v>806</c:v>
                </c:pt>
                <c:pt idx="14">
                  <c:v>795</c:v>
                </c:pt>
                <c:pt idx="15">
                  <c:v>805</c:v>
                </c:pt>
                <c:pt idx="16">
                  <c:v>804</c:v>
                </c:pt>
                <c:pt idx="17">
                  <c:v>794</c:v>
                </c:pt>
                <c:pt idx="18">
                  <c:v>794</c:v>
                </c:pt>
                <c:pt idx="19">
                  <c:v>796</c:v>
                </c:pt>
                <c:pt idx="20">
                  <c:v>801</c:v>
                </c:pt>
                <c:pt idx="21">
                  <c:v>810</c:v>
                </c:pt>
                <c:pt idx="22">
                  <c:v>805</c:v>
                </c:pt>
              </c:numCache>
            </c:numRef>
          </c:val>
          <c:smooth val="0"/>
        </c:ser>
        <c:ser>
          <c:idx val="2"/>
          <c:order val="2"/>
          <c:tx>
            <c:v>Úmrtia - úbytok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grafy'!$E$80:$E$102</c:f>
              <c:numCache>
                <c:ptCount val="23"/>
                <c:pt idx="1">
                  <c:v>52</c:v>
                </c:pt>
                <c:pt idx="2">
                  <c:v>60</c:v>
                </c:pt>
                <c:pt idx="3">
                  <c:v>77</c:v>
                </c:pt>
                <c:pt idx="4">
                  <c:v>51</c:v>
                </c:pt>
                <c:pt idx="5">
                  <c:v>105</c:v>
                </c:pt>
                <c:pt idx="6">
                  <c:v>168</c:v>
                </c:pt>
                <c:pt idx="7">
                  <c:v>172</c:v>
                </c:pt>
                <c:pt idx="8">
                  <c:v>180</c:v>
                </c:pt>
                <c:pt idx="9">
                  <c:v>181.8</c:v>
                </c:pt>
                <c:pt idx="10">
                  <c:v>183.61800000000002</c:v>
                </c:pt>
                <c:pt idx="11">
                  <c:v>185.45418000000004</c:v>
                </c:pt>
                <c:pt idx="12">
                  <c:v>187.30872180000003</c:v>
                </c:pt>
                <c:pt idx="13">
                  <c:v>189.18180901800002</c:v>
                </c:pt>
                <c:pt idx="14">
                  <c:v>191.07362710818003</c:v>
                </c:pt>
                <c:pt idx="15">
                  <c:v>192.98436337926182</c:v>
                </c:pt>
                <c:pt idx="16">
                  <c:v>194.91420701305444</c:v>
                </c:pt>
                <c:pt idx="17">
                  <c:v>214.4056277143599</c:v>
                </c:pt>
                <c:pt idx="18">
                  <c:v>235.84619048579592</c:v>
                </c:pt>
                <c:pt idx="19">
                  <c:v>259.43080953437556</c:v>
                </c:pt>
                <c:pt idx="20">
                  <c:v>285.3738904878131</c:v>
                </c:pt>
                <c:pt idx="21">
                  <c:v>313.91127953659446</c:v>
                </c:pt>
                <c:pt idx="22">
                  <c:v>345.3024074902539</c:v>
                </c:pt>
              </c:numCache>
            </c:numRef>
          </c:val>
          <c:smooth val="0"/>
        </c:ser>
        <c:ser>
          <c:idx val="3"/>
          <c:order val="3"/>
          <c:tx>
            <c:v>Bez nároku - úbytok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grafy'!$F$80:$F$102</c:f>
              <c:numCache>
                <c:ptCount val="23"/>
                <c:pt idx="1">
                  <c:v>70</c:v>
                </c:pt>
                <c:pt idx="2">
                  <c:v>295</c:v>
                </c:pt>
                <c:pt idx="3">
                  <c:v>171</c:v>
                </c:pt>
                <c:pt idx="4">
                  <c:v>129</c:v>
                </c:pt>
                <c:pt idx="5">
                  <c:v>508</c:v>
                </c:pt>
                <c:pt idx="6">
                  <c:v>1185</c:v>
                </c:pt>
                <c:pt idx="7">
                  <c:v>355</c:v>
                </c:pt>
                <c:pt idx="8">
                  <c:v>231</c:v>
                </c:pt>
                <c:pt idx="9">
                  <c:v>112</c:v>
                </c:pt>
                <c:pt idx="10">
                  <c:v>355</c:v>
                </c:pt>
                <c:pt idx="11">
                  <c:v>493</c:v>
                </c:pt>
                <c:pt idx="12">
                  <c:v>480</c:v>
                </c:pt>
                <c:pt idx="13">
                  <c:v>497</c:v>
                </c:pt>
                <c:pt idx="14">
                  <c:v>498</c:v>
                </c:pt>
                <c:pt idx="15">
                  <c:v>499</c:v>
                </c:pt>
                <c:pt idx="16">
                  <c:v>500</c:v>
                </c:pt>
                <c:pt idx="17">
                  <c:v>502</c:v>
                </c:pt>
                <c:pt idx="18">
                  <c:v>503</c:v>
                </c:pt>
                <c:pt idx="19">
                  <c:v>504</c:v>
                </c:pt>
                <c:pt idx="20">
                  <c:v>505</c:v>
                </c:pt>
                <c:pt idx="21">
                  <c:v>506</c:v>
                </c:pt>
                <c:pt idx="22">
                  <c:v>506</c:v>
                </c:pt>
              </c:numCache>
            </c:numRef>
          </c:val>
          <c:smooth val="0"/>
        </c:ser>
        <c:ser>
          <c:idx val="4"/>
          <c:order val="4"/>
          <c:tx>
            <c:v>S nárokom - prírastok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OU MO SR 1998-2020 grafy'!$G$80:$G$102</c:f>
              <c:numCache>
                <c:ptCount val="23"/>
                <c:pt idx="1">
                  <c:v>698</c:v>
                </c:pt>
                <c:pt idx="2">
                  <c:v>194</c:v>
                </c:pt>
                <c:pt idx="3">
                  <c:v>359</c:v>
                </c:pt>
                <c:pt idx="4">
                  <c:v>630</c:v>
                </c:pt>
                <c:pt idx="5">
                  <c:v>2233</c:v>
                </c:pt>
                <c:pt idx="6">
                  <c:v>835</c:v>
                </c:pt>
                <c:pt idx="7">
                  <c:v>985</c:v>
                </c:pt>
                <c:pt idx="8">
                  <c:v>474</c:v>
                </c:pt>
                <c:pt idx="9">
                  <c:v>532</c:v>
                </c:pt>
                <c:pt idx="10">
                  <c:v>141</c:v>
                </c:pt>
                <c:pt idx="11">
                  <c:v>234</c:v>
                </c:pt>
                <c:pt idx="12">
                  <c:v>169</c:v>
                </c:pt>
                <c:pt idx="13">
                  <c:v>309</c:v>
                </c:pt>
                <c:pt idx="14">
                  <c:v>297</c:v>
                </c:pt>
                <c:pt idx="15">
                  <c:v>306</c:v>
                </c:pt>
                <c:pt idx="16">
                  <c:v>304</c:v>
                </c:pt>
                <c:pt idx="17">
                  <c:v>292</c:v>
                </c:pt>
                <c:pt idx="18">
                  <c:v>291</c:v>
                </c:pt>
                <c:pt idx="19">
                  <c:v>292</c:v>
                </c:pt>
                <c:pt idx="20">
                  <c:v>296</c:v>
                </c:pt>
                <c:pt idx="21">
                  <c:v>304</c:v>
                </c:pt>
                <c:pt idx="22">
                  <c:v>299</c:v>
                </c:pt>
              </c:numCache>
            </c:numRef>
          </c:val>
          <c:smooth val="0"/>
        </c:ser>
        <c:marker val="1"/>
        <c:axId val="56482902"/>
        <c:axId val="38584071"/>
      </c:lineChart>
      <c:catAx>
        <c:axId val="564829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Roky 1998 - 2020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584071"/>
        <c:crosses val="autoZero"/>
        <c:auto val="1"/>
        <c:lblOffset val="100"/>
        <c:noMultiLvlLbl val="0"/>
      </c:catAx>
      <c:valAx>
        <c:axId val="3858407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Počet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29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Výdaje na sl. Príjmy podľa hodnostnej štruktúry v v r. 2005</a:t>
            </a:r>
          </a:p>
        </c:rich>
      </c:tx>
      <c:layout/>
      <c:spPr>
        <a:noFill/>
        <a:ln>
          <a:noFill/>
        </a:ln>
      </c:spPr>
    </c:title>
    <c:plotArea>
      <c:layout/>
      <c:areaChart>
        <c:grouping val="stacked"/>
        <c:varyColors val="0"/>
        <c:ser>
          <c:idx val="0"/>
          <c:order val="0"/>
          <c:tx>
            <c:v>Váha príjmov k hodnostiam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'Vývoj sl.platov 2005-2020'!$D$7:$D$29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11712320"/>
        <c:axId val="38302017"/>
      </c:areaChart>
      <c:cat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Hodnosť Generál - vojak - kadet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8302017"/>
        <c:crosses val="autoZero"/>
        <c:auto val="1"/>
        <c:lblOffset val="100"/>
        <c:noMultiLvlLbl val="0"/>
      </c:catAx>
      <c:valAx>
        <c:axId val="383020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Sk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712320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159</xdr:row>
      <xdr:rowOff>57150</xdr:rowOff>
    </xdr:from>
    <xdr:to>
      <xdr:col>8</xdr:col>
      <xdr:colOff>47625</xdr:colOff>
      <xdr:row>182</xdr:row>
      <xdr:rowOff>28575</xdr:rowOff>
    </xdr:to>
    <xdr:graphicFrame>
      <xdr:nvGraphicFramePr>
        <xdr:cNvPr id="1" name="Chart 9"/>
        <xdr:cNvGraphicFramePr/>
      </xdr:nvGraphicFramePr>
      <xdr:xfrm>
        <a:off x="123825" y="29213175"/>
        <a:ext cx="68294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136</xdr:row>
      <xdr:rowOff>38100</xdr:rowOff>
    </xdr:from>
    <xdr:to>
      <xdr:col>8</xdr:col>
      <xdr:colOff>38100</xdr:colOff>
      <xdr:row>159</xdr:row>
      <xdr:rowOff>19050</xdr:rowOff>
    </xdr:to>
    <xdr:graphicFrame>
      <xdr:nvGraphicFramePr>
        <xdr:cNvPr id="2" name="Chart 10"/>
        <xdr:cNvGraphicFramePr/>
      </xdr:nvGraphicFramePr>
      <xdr:xfrm>
        <a:off x="104775" y="25469850"/>
        <a:ext cx="6838950" cy="3705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228600</xdr:colOff>
      <xdr:row>136</xdr:row>
      <xdr:rowOff>28575</xdr:rowOff>
    </xdr:from>
    <xdr:to>
      <xdr:col>17</xdr:col>
      <xdr:colOff>0</xdr:colOff>
      <xdr:row>159</xdr:row>
      <xdr:rowOff>28575</xdr:rowOff>
    </xdr:to>
    <xdr:graphicFrame>
      <xdr:nvGraphicFramePr>
        <xdr:cNvPr id="3" name="Chart 11"/>
        <xdr:cNvGraphicFramePr/>
      </xdr:nvGraphicFramePr>
      <xdr:xfrm>
        <a:off x="7134225" y="25460325"/>
        <a:ext cx="71342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228600</xdr:colOff>
      <xdr:row>159</xdr:row>
      <xdr:rowOff>57150</xdr:rowOff>
    </xdr:from>
    <xdr:to>
      <xdr:col>17</xdr:col>
      <xdr:colOff>0</xdr:colOff>
      <xdr:row>182</xdr:row>
      <xdr:rowOff>19050</xdr:rowOff>
    </xdr:to>
    <xdr:graphicFrame>
      <xdr:nvGraphicFramePr>
        <xdr:cNvPr id="4" name="Chart 12"/>
        <xdr:cNvGraphicFramePr/>
      </xdr:nvGraphicFramePr>
      <xdr:xfrm>
        <a:off x="7134225" y="29213175"/>
        <a:ext cx="7134225" cy="3686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9525</xdr:colOff>
      <xdr:row>182</xdr:row>
      <xdr:rowOff>57150</xdr:rowOff>
    </xdr:from>
    <xdr:to>
      <xdr:col>8</xdr:col>
      <xdr:colOff>57150</xdr:colOff>
      <xdr:row>205</xdr:row>
      <xdr:rowOff>9525</xdr:rowOff>
    </xdr:to>
    <xdr:graphicFrame>
      <xdr:nvGraphicFramePr>
        <xdr:cNvPr id="5" name="Chart 13"/>
        <xdr:cNvGraphicFramePr/>
      </xdr:nvGraphicFramePr>
      <xdr:xfrm>
        <a:off x="123825" y="32937450"/>
        <a:ext cx="6838950" cy="36766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228600</xdr:colOff>
      <xdr:row>182</xdr:row>
      <xdr:rowOff>57150</xdr:rowOff>
    </xdr:from>
    <xdr:to>
      <xdr:col>17</xdr:col>
      <xdr:colOff>9525</xdr:colOff>
      <xdr:row>205</xdr:row>
      <xdr:rowOff>19050</xdr:rowOff>
    </xdr:to>
    <xdr:graphicFrame>
      <xdr:nvGraphicFramePr>
        <xdr:cNvPr id="6" name="Chart 14"/>
        <xdr:cNvGraphicFramePr/>
      </xdr:nvGraphicFramePr>
      <xdr:xfrm>
        <a:off x="7134225" y="32937450"/>
        <a:ext cx="7143750" cy="36861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</xdr:col>
      <xdr:colOff>104775</xdr:colOff>
      <xdr:row>36</xdr:row>
      <xdr:rowOff>9525</xdr:rowOff>
    </xdr:from>
    <xdr:to>
      <xdr:col>18</xdr:col>
      <xdr:colOff>542925</xdr:colOff>
      <xdr:row>64</xdr:row>
      <xdr:rowOff>104775</xdr:rowOff>
    </xdr:to>
    <xdr:graphicFrame>
      <xdr:nvGraphicFramePr>
        <xdr:cNvPr id="7" name="Chart 17"/>
        <xdr:cNvGraphicFramePr/>
      </xdr:nvGraphicFramePr>
      <xdr:xfrm>
        <a:off x="7010400" y="6657975"/>
        <a:ext cx="8382000" cy="542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9525</xdr:colOff>
      <xdr:row>102</xdr:row>
      <xdr:rowOff>180975</xdr:rowOff>
    </xdr:from>
    <xdr:to>
      <xdr:col>18</xdr:col>
      <xdr:colOff>542925</xdr:colOff>
      <xdr:row>130</xdr:row>
      <xdr:rowOff>104775</xdr:rowOff>
    </xdr:to>
    <xdr:graphicFrame>
      <xdr:nvGraphicFramePr>
        <xdr:cNvPr id="8" name="Chart 19"/>
        <xdr:cNvGraphicFramePr/>
      </xdr:nvGraphicFramePr>
      <xdr:xfrm>
        <a:off x="6915150" y="19259550"/>
        <a:ext cx="8477250" cy="52578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42</xdr:row>
      <xdr:rowOff>28575</xdr:rowOff>
    </xdr:from>
    <xdr:to>
      <xdr:col>7</xdr:col>
      <xdr:colOff>428625</xdr:colOff>
      <xdr:row>61</xdr:row>
      <xdr:rowOff>152400</xdr:rowOff>
    </xdr:to>
    <xdr:graphicFrame>
      <xdr:nvGraphicFramePr>
        <xdr:cNvPr id="1" name="Chart 3"/>
        <xdr:cNvGraphicFramePr/>
      </xdr:nvGraphicFramePr>
      <xdr:xfrm>
        <a:off x="47625" y="7277100"/>
        <a:ext cx="602932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133350</xdr:colOff>
      <xdr:row>42</xdr:row>
      <xdr:rowOff>28575</xdr:rowOff>
    </xdr:from>
    <xdr:to>
      <xdr:col>15</xdr:col>
      <xdr:colOff>838200</xdr:colOff>
      <xdr:row>62</xdr:row>
      <xdr:rowOff>0</xdr:rowOff>
    </xdr:to>
    <xdr:graphicFrame>
      <xdr:nvGraphicFramePr>
        <xdr:cNvPr id="2" name="Chart 4"/>
        <xdr:cNvGraphicFramePr/>
      </xdr:nvGraphicFramePr>
      <xdr:xfrm>
        <a:off x="6229350" y="7277100"/>
        <a:ext cx="5838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107</xdr:row>
      <xdr:rowOff>28575</xdr:rowOff>
    </xdr:from>
    <xdr:to>
      <xdr:col>7</xdr:col>
      <xdr:colOff>419100</xdr:colOff>
      <xdr:row>126</xdr:row>
      <xdr:rowOff>152400</xdr:rowOff>
    </xdr:to>
    <xdr:graphicFrame>
      <xdr:nvGraphicFramePr>
        <xdr:cNvPr id="3" name="Chart 5"/>
        <xdr:cNvGraphicFramePr/>
      </xdr:nvGraphicFramePr>
      <xdr:xfrm>
        <a:off x="28575" y="18240375"/>
        <a:ext cx="6038850" cy="3200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152400</xdr:colOff>
      <xdr:row>107</xdr:row>
      <xdr:rowOff>9525</xdr:rowOff>
    </xdr:from>
    <xdr:to>
      <xdr:col>16</xdr:col>
      <xdr:colOff>19050</xdr:colOff>
      <xdr:row>126</xdr:row>
      <xdr:rowOff>123825</xdr:rowOff>
    </xdr:to>
    <xdr:graphicFrame>
      <xdr:nvGraphicFramePr>
        <xdr:cNvPr id="4" name="Chart 6"/>
        <xdr:cNvGraphicFramePr/>
      </xdr:nvGraphicFramePr>
      <xdr:xfrm>
        <a:off x="6248400" y="18221325"/>
        <a:ext cx="5848350" cy="3190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49</xdr:row>
      <xdr:rowOff>28575</xdr:rowOff>
    </xdr:from>
    <xdr:to>
      <xdr:col>21</xdr:col>
      <xdr:colOff>342900</xdr:colOff>
      <xdr:row>65</xdr:row>
      <xdr:rowOff>133350</xdr:rowOff>
    </xdr:to>
    <xdr:graphicFrame>
      <xdr:nvGraphicFramePr>
        <xdr:cNvPr id="1" name="Chart 1"/>
        <xdr:cNvGraphicFramePr/>
      </xdr:nvGraphicFramePr>
      <xdr:xfrm>
        <a:off x="0" y="6305550"/>
        <a:ext cx="7781925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112</xdr:row>
      <xdr:rowOff>9525</xdr:rowOff>
    </xdr:from>
    <xdr:to>
      <xdr:col>21</xdr:col>
      <xdr:colOff>342900</xdr:colOff>
      <xdr:row>129</xdr:row>
      <xdr:rowOff>57150</xdr:rowOff>
    </xdr:to>
    <xdr:graphicFrame>
      <xdr:nvGraphicFramePr>
        <xdr:cNvPr id="2" name="Chart 2"/>
        <xdr:cNvGraphicFramePr/>
      </xdr:nvGraphicFramePr>
      <xdr:xfrm>
        <a:off x="28575" y="15582900"/>
        <a:ext cx="77533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efcom\On-Line%20Services\CountrySpecific\Czech%20Republic\Macro\SecureArea\ALL_CZECH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HOME\PROGNOZY\!KKK\MAKRO\KRALOVA\Datacentrum\Zam_mzdy\WORK\XLS\zam_mzdy\prezent_htm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levels"/>
      <sheetName val="Annual calendar levels"/>
      <sheetName val="Annual calendar averages"/>
      <sheetName val="Annual calendar % chang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raf2"/>
      <sheetName val="List1"/>
      <sheetName val="Graf1"/>
      <sheetName val="List2"/>
      <sheetName val="Graf3"/>
      <sheetName val="List3"/>
      <sheetName val="Graf4"/>
      <sheetName val="List4"/>
      <sheetName val="Graf5"/>
      <sheetName val="List5"/>
      <sheetName val="List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AC136"/>
  <sheetViews>
    <sheetView tabSelected="1" zoomScale="70" zoomScaleNormal="70" workbookViewId="0" topLeftCell="A1">
      <selection activeCell="B133" sqref="B133"/>
      <selection activeCell="A1" sqref="A1"/>
    </sheetView>
  </sheetViews>
  <sheetFormatPr defaultColWidth="9.140625" defaultRowHeight="12.75"/>
  <cols>
    <col min="1" max="1" width="1.7109375" style="0" customWidth="1"/>
    <col min="2" max="2" width="11.57421875" style="0" bestFit="1" customWidth="1"/>
    <col min="3" max="4" width="16.7109375" style="0" customWidth="1"/>
    <col min="5" max="5" width="12.7109375" style="0" customWidth="1"/>
    <col min="6" max="10" width="14.7109375" style="0" customWidth="1"/>
    <col min="11" max="12" width="16.7109375" style="0" customWidth="1"/>
    <col min="13" max="14" width="8.7109375" style="0" customWidth="1"/>
    <col min="15" max="15" width="12.7109375" style="0" customWidth="1"/>
    <col min="16" max="19" width="8.7109375" style="0" customWidth="1"/>
    <col min="20" max="21" width="12.7109375" style="0" customWidth="1"/>
    <col min="22" max="23" width="8.7109375" style="0" customWidth="1"/>
    <col min="24" max="24" width="28.7109375" style="0" customWidth="1"/>
  </cols>
  <sheetData>
    <row r="4" ht="12.75">
      <c r="B4" s="20"/>
    </row>
    <row r="5" ht="13.5" thickBot="1"/>
    <row r="6" spans="2:29" ht="12.75">
      <c r="B6" s="375" t="s">
        <v>129</v>
      </c>
      <c r="C6" s="376"/>
      <c r="D6" s="376"/>
      <c r="E6" s="376"/>
      <c r="F6" s="376"/>
      <c r="G6" s="376"/>
      <c r="H6" s="376"/>
      <c r="I6" s="376"/>
      <c r="J6" s="376"/>
      <c r="K6" s="376"/>
      <c r="L6" s="376"/>
      <c r="M6" s="376"/>
      <c r="N6" s="377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</row>
    <row r="7" spans="2:29" ht="12.75">
      <c r="B7" s="378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80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</row>
    <row r="8" spans="2:29" ht="13.5" thickBot="1">
      <c r="B8" s="381"/>
      <c r="C8" s="382"/>
      <c r="D8" s="382"/>
      <c r="E8" s="382"/>
      <c r="F8" s="382"/>
      <c r="G8" s="382"/>
      <c r="H8" s="382"/>
      <c r="I8" s="382"/>
      <c r="J8" s="382"/>
      <c r="K8" s="382"/>
      <c r="L8" s="382"/>
      <c r="M8" s="382"/>
      <c r="N8" s="383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</row>
    <row r="9" spans="2:29" ht="15" customHeight="1" thickBot="1">
      <c r="B9" s="384" t="s">
        <v>1</v>
      </c>
      <c r="C9" s="387" t="s">
        <v>23</v>
      </c>
      <c r="D9" s="388"/>
      <c r="E9" s="388"/>
      <c r="F9" s="387" t="s">
        <v>8</v>
      </c>
      <c r="G9" s="388"/>
      <c r="H9" s="388"/>
      <c r="I9" s="388"/>
      <c r="J9" s="388"/>
      <c r="K9" s="388"/>
      <c r="L9" s="388"/>
      <c r="M9" s="388"/>
      <c r="N9" s="389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</row>
    <row r="10" spans="2:14" ht="15" customHeight="1">
      <c r="B10" s="385"/>
      <c r="C10" s="43" t="s">
        <v>88</v>
      </c>
      <c r="D10" s="7" t="s">
        <v>102</v>
      </c>
      <c r="E10" s="3" t="s">
        <v>9</v>
      </c>
      <c r="F10" s="43" t="s">
        <v>90</v>
      </c>
      <c r="G10" s="41" t="s">
        <v>91</v>
      </c>
      <c r="H10" s="41" t="s">
        <v>92</v>
      </c>
      <c r="I10" s="41" t="s">
        <v>93</v>
      </c>
      <c r="J10" s="178" t="s">
        <v>94</v>
      </c>
      <c r="K10" s="43" t="s">
        <v>89</v>
      </c>
      <c r="L10" s="7" t="s">
        <v>9</v>
      </c>
      <c r="M10" s="2" t="s">
        <v>95</v>
      </c>
      <c r="N10" s="34" t="s">
        <v>10</v>
      </c>
    </row>
    <row r="11" spans="2:26" ht="15" customHeight="1" thickBot="1">
      <c r="B11" s="386"/>
      <c r="C11" s="44" t="s">
        <v>2</v>
      </c>
      <c r="D11" s="8" t="s">
        <v>2</v>
      </c>
      <c r="E11" s="6" t="s">
        <v>11</v>
      </c>
      <c r="F11" s="44" t="s">
        <v>2</v>
      </c>
      <c r="G11" s="42" t="s">
        <v>2</v>
      </c>
      <c r="H11" s="42" t="s">
        <v>2</v>
      </c>
      <c r="I11" s="42" t="s">
        <v>2</v>
      </c>
      <c r="J11" s="179" t="s">
        <v>2</v>
      </c>
      <c r="K11" s="44" t="s">
        <v>2</v>
      </c>
      <c r="L11" s="8" t="s">
        <v>16</v>
      </c>
      <c r="M11" s="5" t="s">
        <v>4</v>
      </c>
      <c r="N11" s="35" t="s">
        <v>11</v>
      </c>
      <c r="Y11" s="1"/>
      <c r="Z11" s="1"/>
    </row>
    <row r="12" spans="2:26" ht="15" customHeight="1" thickBot="1">
      <c r="B12" s="45">
        <v>1998</v>
      </c>
      <c r="C12" s="51"/>
      <c r="D12" s="84"/>
      <c r="E12" s="56"/>
      <c r="F12" s="71"/>
      <c r="G12" s="72"/>
      <c r="H12" s="72"/>
      <c r="I12" s="57"/>
      <c r="J12" s="180"/>
      <c r="K12" s="187">
        <v>684517000</v>
      </c>
      <c r="L12" s="169"/>
      <c r="M12" s="40"/>
      <c r="N12" s="73"/>
      <c r="O12" s="316" t="s">
        <v>100</v>
      </c>
      <c r="P12" s="316"/>
      <c r="Q12" s="317"/>
      <c r="R12" s="317"/>
      <c r="S12" s="318"/>
      <c r="Y12" s="1"/>
      <c r="Z12" s="1"/>
    </row>
    <row r="13" spans="2:26" ht="15" customHeight="1" thickBot="1">
      <c r="B13" s="46">
        <v>1998</v>
      </c>
      <c r="C13" s="52"/>
      <c r="D13" s="85"/>
      <c r="E13" s="11"/>
      <c r="F13" s="38"/>
      <c r="G13" s="75"/>
      <c r="H13" s="75"/>
      <c r="I13" s="29"/>
      <c r="J13" s="181"/>
      <c r="K13" s="188">
        <v>1026775500</v>
      </c>
      <c r="L13" s="170">
        <f>SUM(K13)</f>
        <v>1026775500</v>
      </c>
      <c r="M13" s="12">
        <f>SUM((K13/K13))</f>
        <v>1</v>
      </c>
      <c r="N13" s="76">
        <f>SUM((M13/M13))</f>
        <v>1</v>
      </c>
      <c r="O13" s="316" t="s">
        <v>101</v>
      </c>
      <c r="P13" s="316"/>
      <c r="Q13" s="317"/>
      <c r="R13" s="317"/>
      <c r="S13" s="318"/>
      <c r="Y13" s="1"/>
      <c r="Z13" s="1"/>
    </row>
    <row r="14" spans="2:26" ht="15" customHeight="1">
      <c r="B14" s="46">
        <v>1999</v>
      </c>
      <c r="C14" s="52">
        <f aca="true" t="shared" si="0" ref="C14:C20">SUM(K14-D14)</f>
        <v>1033617856.3</v>
      </c>
      <c r="D14" s="85">
        <v>302400000</v>
      </c>
      <c r="E14" s="11"/>
      <c r="F14" s="38">
        <v>1095477329.3</v>
      </c>
      <c r="G14" s="75">
        <v>82820584</v>
      </c>
      <c r="H14" s="75"/>
      <c r="I14" s="29">
        <v>59018944.2</v>
      </c>
      <c r="J14" s="181">
        <v>98700998.8</v>
      </c>
      <c r="K14" s="188">
        <f aca="true" t="shared" si="1" ref="K14:K20">SUM(F14:J14)</f>
        <v>1336017856.3</v>
      </c>
      <c r="L14" s="170">
        <f aca="true" t="shared" si="2" ref="L14:L21">SUM(K14-K13)</f>
        <v>309242356.29999995</v>
      </c>
      <c r="M14" s="12">
        <f aca="true" t="shared" si="3" ref="M14:M21">SUM((K14/K13))</f>
        <v>1.3011781604644832</v>
      </c>
      <c r="N14" s="76">
        <f>SUM((K14/K13))</f>
        <v>1.3011781604644832</v>
      </c>
      <c r="Y14" s="1"/>
      <c r="Z14" s="1"/>
    </row>
    <row r="15" spans="2:26" ht="15" customHeight="1">
      <c r="B15" s="46">
        <v>2000</v>
      </c>
      <c r="C15" s="52">
        <f t="shared" si="0"/>
        <v>1057648716.4000001</v>
      </c>
      <c r="D15" s="85">
        <v>232032855</v>
      </c>
      <c r="E15" s="11">
        <f aca="true" t="shared" si="4" ref="E15:E21">SUM((D15/D14))</f>
        <v>0.7673044146825397</v>
      </c>
      <c r="F15" s="38">
        <v>1042584538.9</v>
      </c>
      <c r="G15" s="75">
        <v>83363180</v>
      </c>
      <c r="H15" s="75"/>
      <c r="I15" s="29">
        <v>58778672.7</v>
      </c>
      <c r="J15" s="181">
        <v>104955179.8</v>
      </c>
      <c r="K15" s="188">
        <f t="shared" si="1"/>
        <v>1289681571.4</v>
      </c>
      <c r="L15" s="170">
        <f t="shared" si="2"/>
        <v>-46336284.89999986</v>
      </c>
      <c r="M15" s="12">
        <f t="shared" si="3"/>
        <v>0.9653176155681596</v>
      </c>
      <c r="N15" s="76">
        <f>SUM((K15/K13))</f>
        <v>1.256050199288939</v>
      </c>
      <c r="Y15" s="1"/>
      <c r="Z15" s="1"/>
    </row>
    <row r="16" spans="2:26" ht="15" customHeight="1" thickBot="1">
      <c r="B16" s="149">
        <v>2001</v>
      </c>
      <c r="C16" s="150">
        <f t="shared" si="0"/>
        <v>1106124986.3999999</v>
      </c>
      <c r="D16" s="151">
        <v>351936222</v>
      </c>
      <c r="E16" s="152">
        <f t="shared" si="4"/>
        <v>1.516751677257085</v>
      </c>
      <c r="F16" s="153">
        <v>1164171028.5</v>
      </c>
      <c r="G16" s="154">
        <v>97311383</v>
      </c>
      <c r="H16" s="154"/>
      <c r="I16" s="155">
        <v>59006580.6</v>
      </c>
      <c r="J16" s="182">
        <v>137572216.3</v>
      </c>
      <c r="K16" s="189">
        <f t="shared" si="1"/>
        <v>1458061208.3999999</v>
      </c>
      <c r="L16" s="171">
        <f t="shared" si="2"/>
        <v>168379636.99999976</v>
      </c>
      <c r="M16" s="156">
        <f t="shared" si="3"/>
        <v>1.130559078096477</v>
      </c>
      <c r="N16" s="157">
        <f>SUM((K16/K13))</f>
        <v>1.420038955350999</v>
      </c>
      <c r="Y16" s="1"/>
      <c r="Z16" s="1"/>
    </row>
    <row r="17" spans="2:26" ht="15" customHeight="1" thickBot="1">
      <c r="B17" s="141">
        <v>2002</v>
      </c>
      <c r="C17" s="51">
        <f t="shared" si="0"/>
        <v>1256510706.8</v>
      </c>
      <c r="D17" s="142">
        <v>429003006</v>
      </c>
      <c r="E17" s="143">
        <f t="shared" si="4"/>
        <v>1.2189794036034176</v>
      </c>
      <c r="F17" s="144">
        <v>1366180972</v>
      </c>
      <c r="G17" s="145">
        <v>107213640</v>
      </c>
      <c r="H17" s="145"/>
      <c r="I17" s="146">
        <v>62087348.8</v>
      </c>
      <c r="J17" s="183">
        <v>150031752</v>
      </c>
      <c r="K17" s="187">
        <f t="shared" si="1"/>
        <v>1685513712.8</v>
      </c>
      <c r="L17" s="169">
        <f t="shared" si="2"/>
        <v>227452504.4000001</v>
      </c>
      <c r="M17" s="147">
        <f t="shared" si="3"/>
        <v>1.1559965405359043</v>
      </c>
      <c r="N17" s="148">
        <f>SUM((K17/K13))</f>
        <v>1.6415601198119745</v>
      </c>
      <c r="O17" s="316" t="s">
        <v>12</v>
      </c>
      <c r="P17" s="316"/>
      <c r="Q17" s="317"/>
      <c r="R17" s="317"/>
      <c r="S17" s="318"/>
      <c r="Y17" s="1"/>
      <c r="Z17" s="1"/>
    </row>
    <row r="18" spans="2:14" ht="15" customHeight="1" thickBot="1">
      <c r="B18" s="96">
        <v>2003</v>
      </c>
      <c r="C18" s="97">
        <f t="shared" si="0"/>
        <v>1327531688.4999995</v>
      </c>
      <c r="D18" s="98">
        <v>1354381153</v>
      </c>
      <c r="E18" s="99">
        <f t="shared" si="4"/>
        <v>3.1570435033268742</v>
      </c>
      <c r="F18" s="100">
        <v>2390666116.1</v>
      </c>
      <c r="G18" s="101">
        <v>103062671</v>
      </c>
      <c r="H18" s="101">
        <v>6363602</v>
      </c>
      <c r="I18" s="102">
        <v>64169909.2</v>
      </c>
      <c r="J18" s="184">
        <v>117650543.2</v>
      </c>
      <c r="K18" s="190">
        <f t="shared" si="1"/>
        <v>2681912841.4999995</v>
      </c>
      <c r="L18" s="172">
        <f t="shared" si="2"/>
        <v>996399128.6999996</v>
      </c>
      <c r="M18" s="103">
        <f t="shared" si="3"/>
        <v>1.5911545667847262</v>
      </c>
      <c r="N18" s="104">
        <f>SUM((K18/K13))</f>
        <v>2.6119758812905056</v>
      </c>
    </row>
    <row r="19" spans="2:14" ht="15" customHeight="1" thickBot="1">
      <c r="B19" s="320">
        <v>2004</v>
      </c>
      <c r="C19" s="321">
        <f t="shared" si="0"/>
        <v>1063859678.2000003</v>
      </c>
      <c r="D19" s="322">
        <v>2088867496</v>
      </c>
      <c r="E19" s="323">
        <f t="shared" si="4"/>
        <v>1.5423040193472037</v>
      </c>
      <c r="F19" s="324">
        <v>2852453413</v>
      </c>
      <c r="G19" s="325">
        <v>94071007</v>
      </c>
      <c r="H19" s="325">
        <v>17201984.5</v>
      </c>
      <c r="I19" s="326">
        <v>68174784.4</v>
      </c>
      <c r="J19" s="327">
        <v>120825985.3</v>
      </c>
      <c r="K19" s="328">
        <f t="shared" si="1"/>
        <v>3152727174.2000003</v>
      </c>
      <c r="L19" s="329">
        <f t="shared" si="2"/>
        <v>470814332.70000076</v>
      </c>
      <c r="M19" s="330">
        <f t="shared" si="3"/>
        <v>1.175551690351232</v>
      </c>
      <c r="N19" s="331">
        <f>SUM((K19/K13))</f>
        <v>3.070512662407703</v>
      </c>
    </row>
    <row r="20" spans="2:19" ht="15" customHeight="1" thickBot="1">
      <c r="B20" s="114">
        <v>2005</v>
      </c>
      <c r="C20" s="115">
        <f t="shared" si="0"/>
        <v>1245981659</v>
      </c>
      <c r="D20" s="116">
        <v>1958733700</v>
      </c>
      <c r="E20" s="117">
        <f t="shared" si="4"/>
        <v>0.9377012681516683</v>
      </c>
      <c r="F20" s="118">
        <v>2892577700</v>
      </c>
      <c r="G20" s="119">
        <v>89160000</v>
      </c>
      <c r="H20" s="119">
        <v>10434000</v>
      </c>
      <c r="I20" s="120">
        <v>80080000</v>
      </c>
      <c r="J20" s="185">
        <v>132463659</v>
      </c>
      <c r="K20" s="191">
        <f t="shared" si="1"/>
        <v>3204715359</v>
      </c>
      <c r="L20" s="173">
        <f t="shared" si="2"/>
        <v>51988184.799999714</v>
      </c>
      <c r="M20" s="121">
        <f t="shared" si="3"/>
        <v>1.0164899091889203</v>
      </c>
      <c r="N20" s="122">
        <f>SUM((K20/K13))</f>
        <v>3.1211451373742363</v>
      </c>
      <c r="O20" s="316" t="s">
        <v>25</v>
      </c>
      <c r="P20" s="316"/>
      <c r="Q20" s="316"/>
      <c r="R20" s="316"/>
      <c r="S20" s="319"/>
    </row>
    <row r="21" spans="2:19" ht="15" customHeight="1" thickBot="1">
      <c r="B21" s="105">
        <v>2006</v>
      </c>
      <c r="C21" s="106">
        <v>1719322512</v>
      </c>
      <c r="D21" s="107">
        <f>SUM(K21-C21)</f>
        <v>2061906941</v>
      </c>
      <c r="E21" s="108">
        <f t="shared" si="4"/>
        <v>1.0526734394777606</v>
      </c>
      <c r="F21" s="109">
        <v>3432253000</v>
      </c>
      <c r="G21" s="110">
        <v>81613410</v>
      </c>
      <c r="H21" s="110">
        <v>7345207</v>
      </c>
      <c r="I21" s="111">
        <f aca="true" t="shared" si="5" ref="I21:I35">SUM(I20+(I20*0.012))</f>
        <v>81040960</v>
      </c>
      <c r="J21" s="186">
        <v>178976876</v>
      </c>
      <c r="K21" s="192">
        <f aca="true" t="shared" si="6" ref="K21:K35">SUM(F21:J21)</f>
        <v>3781229453</v>
      </c>
      <c r="L21" s="174">
        <f t="shared" si="2"/>
        <v>576514094</v>
      </c>
      <c r="M21" s="112">
        <f t="shared" si="3"/>
        <v>1.1798955693150532</v>
      </c>
      <c r="N21" s="113">
        <f>SUM((K21/K13))</f>
        <v>3.682625318777084</v>
      </c>
      <c r="O21" s="316" t="s">
        <v>17</v>
      </c>
      <c r="P21" s="316"/>
      <c r="Q21" s="316"/>
      <c r="R21" s="316"/>
      <c r="S21" s="319"/>
    </row>
    <row r="22" spans="2:14" ht="15" customHeight="1">
      <c r="B22" s="47">
        <v>2007</v>
      </c>
      <c r="C22" s="53">
        <v>2001293342</v>
      </c>
      <c r="D22" s="86">
        <f aca="true" t="shared" si="7" ref="D22:D35">SUM(K22-C22)</f>
        <v>2108303985.52</v>
      </c>
      <c r="E22" s="15">
        <f aca="true" t="shared" si="8" ref="E22:E35">SUM((D22/D21))</f>
        <v>1.0225020070486295</v>
      </c>
      <c r="F22" s="109">
        <v>3721561500</v>
      </c>
      <c r="G22" s="78">
        <v>94998102</v>
      </c>
      <c r="H22" s="78">
        <v>8549829</v>
      </c>
      <c r="I22" s="111">
        <f t="shared" si="5"/>
        <v>82013451.52</v>
      </c>
      <c r="J22" s="186">
        <v>202474445</v>
      </c>
      <c r="K22" s="193">
        <f t="shared" si="6"/>
        <v>4109597327.52</v>
      </c>
      <c r="L22" s="175">
        <f aca="true" t="shared" si="9" ref="L22:L35">SUM(K22-K21)</f>
        <v>328367874.52</v>
      </c>
      <c r="M22" s="14">
        <f aca="true" t="shared" si="10" ref="M22:M35">SUM((K22/K21))</f>
        <v>1.0868415626720234</v>
      </c>
      <c r="N22" s="79">
        <f>SUM((K22/K13))</f>
        <v>4.002430256195244</v>
      </c>
    </row>
    <row r="23" spans="2:14" ht="15" customHeight="1">
      <c r="B23" s="47">
        <v>2008</v>
      </c>
      <c r="C23" s="53">
        <v>2131028807</v>
      </c>
      <c r="D23" s="86">
        <f t="shared" si="7"/>
        <v>2427833849.93824</v>
      </c>
      <c r="E23" s="15">
        <f t="shared" si="8"/>
        <v>1.1515577765885738</v>
      </c>
      <c r="F23" s="109">
        <v>4152318800</v>
      </c>
      <c r="G23" s="78">
        <v>101156431</v>
      </c>
      <c r="H23" s="78">
        <v>9104079</v>
      </c>
      <c r="I23" s="111">
        <f t="shared" si="5"/>
        <v>82997612.93823999</v>
      </c>
      <c r="J23" s="186">
        <v>213285734</v>
      </c>
      <c r="K23" s="193">
        <f t="shared" si="6"/>
        <v>4558862656.93824</v>
      </c>
      <c r="L23" s="175">
        <f t="shared" si="9"/>
        <v>449265329.4182401</v>
      </c>
      <c r="M23" s="14">
        <f t="shared" si="10"/>
        <v>1.1093210097275774</v>
      </c>
      <c r="N23" s="79">
        <f>SUM((K23/K13))</f>
        <v>4.4399799731667144</v>
      </c>
    </row>
    <row r="24" spans="2:14" ht="15" customHeight="1">
      <c r="B24" s="47">
        <v>2009</v>
      </c>
      <c r="C24" s="53">
        <v>2254004032</v>
      </c>
      <c r="D24" s="86">
        <f t="shared" si="7"/>
        <v>2777128631.293499</v>
      </c>
      <c r="E24" s="15">
        <f t="shared" si="8"/>
        <v>1.1438709577939794</v>
      </c>
      <c r="F24" s="109">
        <v>4606982100</v>
      </c>
      <c r="G24" s="78">
        <v>106993862</v>
      </c>
      <c r="H24" s="78">
        <v>9629448</v>
      </c>
      <c r="I24" s="111">
        <f t="shared" si="5"/>
        <v>83993584.29349887</v>
      </c>
      <c r="J24" s="186">
        <v>223533669</v>
      </c>
      <c r="K24" s="193">
        <f t="shared" si="6"/>
        <v>5031132663.293499</v>
      </c>
      <c r="L24" s="175">
        <f t="shared" si="9"/>
        <v>472270006.35525894</v>
      </c>
      <c r="M24" s="14">
        <f t="shared" si="10"/>
        <v>1.103593821945151</v>
      </c>
      <c r="N24" s="79">
        <f>SUM((K24/K13))</f>
        <v>4.899934467946984</v>
      </c>
    </row>
    <row r="25" spans="2:14" ht="15" customHeight="1">
      <c r="B25" s="48">
        <v>2010</v>
      </c>
      <c r="C25" s="53">
        <v>2389925739</v>
      </c>
      <c r="D25" s="86">
        <f t="shared" si="7"/>
        <v>3163309614.3050213</v>
      </c>
      <c r="E25" s="15">
        <f t="shared" si="8"/>
        <v>1.1390576506467587</v>
      </c>
      <c r="F25" s="109">
        <v>5109717400</v>
      </c>
      <c r="G25" s="78">
        <v>113445842</v>
      </c>
      <c r="H25" s="78">
        <v>10210126</v>
      </c>
      <c r="I25" s="111">
        <f t="shared" si="5"/>
        <v>85001507.30502085</v>
      </c>
      <c r="J25" s="186">
        <v>234860478</v>
      </c>
      <c r="K25" s="193">
        <f t="shared" si="6"/>
        <v>5553235353.305021</v>
      </c>
      <c r="L25" s="175">
        <f t="shared" si="9"/>
        <v>522102690.0115223</v>
      </c>
      <c r="M25" s="14">
        <f t="shared" si="10"/>
        <v>1.1037743834148355</v>
      </c>
      <c r="N25" s="79">
        <f>SUM((K25/K13))</f>
        <v>5.408422146131283</v>
      </c>
    </row>
    <row r="26" spans="2:14" ht="15" customHeight="1">
      <c r="B26" s="48">
        <v>2011</v>
      </c>
      <c r="C26" s="53">
        <v>2533040204</v>
      </c>
      <c r="D26" s="86">
        <f t="shared" si="7"/>
        <v>3213799288.392681</v>
      </c>
      <c r="E26" s="15">
        <f t="shared" si="8"/>
        <v>1.0159610282405924</v>
      </c>
      <c r="F26" s="109">
        <v>5282970500</v>
      </c>
      <c r="G26" s="78">
        <v>120239250</v>
      </c>
      <c r="H26" s="78">
        <v>10821533</v>
      </c>
      <c r="I26" s="111">
        <f t="shared" si="5"/>
        <v>86021525.3926811</v>
      </c>
      <c r="J26" s="186">
        <v>246786684</v>
      </c>
      <c r="K26" s="193">
        <f t="shared" si="6"/>
        <v>5746839492.392681</v>
      </c>
      <c r="L26" s="175">
        <f t="shared" si="9"/>
        <v>193604139.08765984</v>
      </c>
      <c r="M26" s="14">
        <f t="shared" si="10"/>
        <v>1.034863305221241</v>
      </c>
      <c r="N26" s="79">
        <f>SUM((K26/K13))</f>
        <v>5.596977618177178</v>
      </c>
    </row>
    <row r="27" spans="2:14" ht="15" customHeight="1">
      <c r="B27" s="48">
        <v>2012</v>
      </c>
      <c r="C27" s="53">
        <v>2685022617</v>
      </c>
      <c r="D27" s="86">
        <f t="shared" si="7"/>
        <v>3130482780.6973934</v>
      </c>
      <c r="E27" s="15">
        <f t="shared" si="8"/>
        <v>0.9740753854802934</v>
      </c>
      <c r="F27" s="109">
        <v>5330075300</v>
      </c>
      <c r="G27" s="78">
        <v>127453605</v>
      </c>
      <c r="H27" s="78">
        <v>11470824</v>
      </c>
      <c r="I27" s="111">
        <f t="shared" si="5"/>
        <v>87053783.69739328</v>
      </c>
      <c r="J27" s="186">
        <v>259451885</v>
      </c>
      <c r="K27" s="193">
        <f t="shared" si="6"/>
        <v>5815505397.697393</v>
      </c>
      <c r="L27" s="175">
        <f t="shared" si="9"/>
        <v>68665905.3047123</v>
      </c>
      <c r="M27" s="14">
        <f t="shared" si="10"/>
        <v>1.0119484640898024</v>
      </c>
      <c r="N27" s="79">
        <f>SUM((K27/K13))</f>
        <v>5.663852904259396</v>
      </c>
    </row>
    <row r="28" spans="2:14" ht="15" customHeight="1">
      <c r="B28" s="48">
        <v>2013</v>
      </c>
      <c r="C28" s="53">
        <v>2846123974</v>
      </c>
      <c r="D28" s="86">
        <f t="shared" si="7"/>
        <v>3016704995.481762</v>
      </c>
      <c r="E28" s="15">
        <f t="shared" si="8"/>
        <v>0.9636548758813858</v>
      </c>
      <c r="F28" s="109">
        <f aca="true" t="shared" si="11" ref="F28:F35">SUM(F27*1.0046)</f>
        <v>5354593646.38</v>
      </c>
      <c r="G28" s="78">
        <v>135100822</v>
      </c>
      <c r="H28" s="78">
        <v>12159074</v>
      </c>
      <c r="I28" s="111">
        <f t="shared" si="5"/>
        <v>88098429.101762</v>
      </c>
      <c r="J28" s="186">
        <v>272876998</v>
      </c>
      <c r="K28" s="193">
        <f t="shared" si="6"/>
        <v>5862828969.481762</v>
      </c>
      <c r="L28" s="175">
        <f t="shared" si="9"/>
        <v>47323571.784368515</v>
      </c>
      <c r="M28" s="14">
        <f t="shared" si="10"/>
        <v>1.0081374822217697</v>
      </c>
      <c r="N28" s="79">
        <f>SUM((K28/K13))</f>
        <v>5.709942406574526</v>
      </c>
    </row>
    <row r="29" spans="2:14" ht="15" customHeight="1">
      <c r="B29" s="48">
        <v>2014</v>
      </c>
      <c r="C29" s="53">
        <v>3016891412</v>
      </c>
      <c r="D29" s="86">
        <f t="shared" si="7"/>
        <v>2894692082.404331</v>
      </c>
      <c r="E29" s="15">
        <f t="shared" si="8"/>
        <v>0.959554244362583</v>
      </c>
      <c r="F29" s="109">
        <f t="shared" si="11"/>
        <v>5379224777.153348</v>
      </c>
      <c r="G29" s="78">
        <v>143206871</v>
      </c>
      <c r="H29" s="78">
        <v>12888618</v>
      </c>
      <c r="I29" s="111">
        <f t="shared" si="5"/>
        <v>89155610.25098313</v>
      </c>
      <c r="J29" s="186">
        <v>287107618</v>
      </c>
      <c r="K29" s="193">
        <f t="shared" si="6"/>
        <v>5911583494.404331</v>
      </c>
      <c r="L29" s="176">
        <f t="shared" si="9"/>
        <v>48754524.922569275</v>
      </c>
      <c r="M29" s="19">
        <f t="shared" si="10"/>
        <v>1.0083158702354025</v>
      </c>
      <c r="N29" s="80">
        <f>SUM((K29/K13))</f>
        <v>5.7574255466792215</v>
      </c>
    </row>
    <row r="30" spans="2:14" ht="15" customHeight="1">
      <c r="B30" s="47">
        <v>2015</v>
      </c>
      <c r="C30" s="53">
        <v>3197904897</v>
      </c>
      <c r="D30" s="86">
        <f t="shared" si="7"/>
        <v>2763943084.7022476</v>
      </c>
      <c r="E30" s="15">
        <f t="shared" si="8"/>
        <v>0.954831466014346</v>
      </c>
      <c r="F30" s="109">
        <f t="shared" si="11"/>
        <v>5403969211.128253</v>
      </c>
      <c r="G30" s="78">
        <v>151799283</v>
      </c>
      <c r="H30" s="78">
        <v>13661935</v>
      </c>
      <c r="I30" s="111">
        <f t="shared" si="5"/>
        <v>90225477.57399493</v>
      </c>
      <c r="J30" s="186">
        <v>302192075</v>
      </c>
      <c r="K30" s="193">
        <f t="shared" si="6"/>
        <v>5961847981.702248</v>
      </c>
      <c r="L30" s="175">
        <f t="shared" si="9"/>
        <v>50264487.29791641</v>
      </c>
      <c r="M30" s="14">
        <f t="shared" si="10"/>
        <v>1.00850271121866</v>
      </c>
      <c r="N30" s="79">
        <f>SUM((K30/K13))</f>
        <v>5.80637927346557</v>
      </c>
    </row>
    <row r="31" spans="2:14" ht="15" customHeight="1">
      <c r="B31" s="49">
        <v>2016</v>
      </c>
      <c r="C31" s="53">
        <v>3389779190</v>
      </c>
      <c r="D31" s="86">
        <f t="shared" si="7"/>
        <v>2623926953.804326</v>
      </c>
      <c r="E31" s="15">
        <f t="shared" si="8"/>
        <v>0.9493418906949</v>
      </c>
      <c r="F31" s="109">
        <f t="shared" si="11"/>
        <v>5428827469.499443</v>
      </c>
      <c r="G31" s="78">
        <v>160907240</v>
      </c>
      <c r="H31" s="78">
        <v>14481652</v>
      </c>
      <c r="I31" s="111">
        <f t="shared" si="5"/>
        <v>91308183.30488287</v>
      </c>
      <c r="J31" s="186">
        <v>318181599</v>
      </c>
      <c r="K31" s="193">
        <f t="shared" si="6"/>
        <v>6013706143.804326</v>
      </c>
      <c r="L31" s="175">
        <f t="shared" si="9"/>
        <v>51858162.10207844</v>
      </c>
      <c r="M31" s="14">
        <f t="shared" si="10"/>
        <v>1.0086983368682392</v>
      </c>
      <c r="N31" s="79">
        <f>SUM((K31/K13))</f>
        <v>5.856885116370936</v>
      </c>
    </row>
    <row r="32" spans="2:14" ht="15" customHeight="1">
      <c r="B32" s="48">
        <v>2017</v>
      </c>
      <c r="C32" s="53">
        <v>3593165942</v>
      </c>
      <c r="D32" s="86">
        <f t="shared" si="7"/>
        <v>2474080735.363682</v>
      </c>
      <c r="E32" s="15">
        <f t="shared" si="8"/>
        <v>0.9428923818845687</v>
      </c>
      <c r="F32" s="109">
        <f t="shared" si="11"/>
        <v>5453800075.85914</v>
      </c>
      <c r="G32" s="78">
        <v>170561674</v>
      </c>
      <c r="H32" s="78">
        <v>15350551</v>
      </c>
      <c r="I32" s="111">
        <f t="shared" si="5"/>
        <v>92403881.50454146</v>
      </c>
      <c r="J32" s="186">
        <v>335130495</v>
      </c>
      <c r="K32" s="193">
        <f t="shared" si="6"/>
        <v>6067246677.363682</v>
      </c>
      <c r="L32" s="175">
        <f t="shared" si="9"/>
        <v>53540533.559355736</v>
      </c>
      <c r="M32" s="14">
        <f t="shared" si="10"/>
        <v>1.008903084433967</v>
      </c>
      <c r="N32" s="79">
        <f>SUM((K32/K13))</f>
        <v>5.9090294590820305</v>
      </c>
    </row>
    <row r="33" spans="2:14" ht="15" customHeight="1">
      <c r="B33" s="48">
        <v>2018</v>
      </c>
      <c r="C33" s="53">
        <v>3808755898</v>
      </c>
      <c r="D33" s="86">
        <f t="shared" si="7"/>
        <v>2313807670.2906876</v>
      </c>
      <c r="E33" s="15">
        <f t="shared" si="8"/>
        <v>0.9352191451224268</v>
      </c>
      <c r="F33" s="109">
        <f t="shared" si="11"/>
        <v>5478887556.208092</v>
      </c>
      <c r="G33" s="78">
        <v>180795375</v>
      </c>
      <c r="H33" s="78">
        <v>16271584</v>
      </c>
      <c r="I33" s="111">
        <f t="shared" si="5"/>
        <v>93512728.08259596</v>
      </c>
      <c r="J33" s="186">
        <v>353096325</v>
      </c>
      <c r="K33" s="193">
        <f t="shared" si="6"/>
        <v>6122563568.290688</v>
      </c>
      <c r="L33" s="175">
        <f t="shared" si="9"/>
        <v>55316890.92700577</v>
      </c>
      <c r="M33" s="14">
        <f t="shared" si="10"/>
        <v>1.009117297164361</v>
      </c>
      <c r="N33" s="79">
        <f>SUM((K33/K13))</f>
        <v>5.962903836613444</v>
      </c>
    </row>
    <row r="34" spans="2:14" ht="15" customHeight="1">
      <c r="B34" s="48">
        <v>2019</v>
      </c>
      <c r="C34" s="53">
        <v>4037281252</v>
      </c>
      <c r="D34" s="86">
        <f t="shared" si="7"/>
        <v>2142475147.7862358</v>
      </c>
      <c r="E34" s="15">
        <f t="shared" si="8"/>
        <v>0.9259521330556714</v>
      </c>
      <c r="F34" s="109">
        <f t="shared" si="11"/>
        <v>5504090438.966649</v>
      </c>
      <c r="G34" s="78">
        <v>191643097</v>
      </c>
      <c r="H34" s="78">
        <v>17247879</v>
      </c>
      <c r="I34" s="111">
        <f t="shared" si="5"/>
        <v>94634880.81958711</v>
      </c>
      <c r="J34" s="186">
        <v>372140104</v>
      </c>
      <c r="K34" s="193">
        <f t="shared" si="6"/>
        <v>6179756399.786236</v>
      </c>
      <c r="L34" s="175">
        <f t="shared" si="9"/>
        <v>57192831.49554825</v>
      </c>
      <c r="M34" s="14">
        <f t="shared" si="10"/>
        <v>1.0093413209773363</v>
      </c>
      <c r="N34" s="79">
        <f>SUM((K34/K13))</f>
        <v>6.01860523530824</v>
      </c>
    </row>
    <row r="35" spans="2:14" ht="15" customHeight="1" thickBot="1">
      <c r="B35" s="50">
        <v>2020</v>
      </c>
      <c r="C35" s="54">
        <v>4279518127</v>
      </c>
      <c r="D35" s="87">
        <f t="shared" si="7"/>
        <v>1959412572.3753176</v>
      </c>
      <c r="E35" s="17">
        <f t="shared" si="8"/>
        <v>0.9145555664437592</v>
      </c>
      <c r="F35" s="39">
        <f t="shared" si="11"/>
        <v>5529409254.985895</v>
      </c>
      <c r="G35" s="82">
        <v>203141683</v>
      </c>
      <c r="H35" s="82">
        <v>18282751</v>
      </c>
      <c r="I35" s="82">
        <f t="shared" si="5"/>
        <v>95770499.38942216</v>
      </c>
      <c r="J35" s="196">
        <v>392326511</v>
      </c>
      <c r="K35" s="194">
        <f t="shared" si="6"/>
        <v>6238930699.375318</v>
      </c>
      <c r="L35" s="177">
        <f t="shared" si="9"/>
        <v>59174299.589081764</v>
      </c>
      <c r="M35" s="18">
        <f t="shared" si="10"/>
        <v>1.0095755068259857</v>
      </c>
      <c r="N35" s="83">
        <f>SUM((K35/K13))</f>
        <v>6.076236430821847</v>
      </c>
    </row>
    <row r="36" ht="15" customHeight="1"/>
    <row r="37" ht="15" customHeight="1"/>
    <row r="38" ht="15" customHeight="1"/>
    <row r="39" ht="15" customHeight="1">
      <c r="B39" s="9" t="s">
        <v>14</v>
      </c>
    </row>
    <row r="40" spans="2:4" ht="15" customHeight="1">
      <c r="B40" t="s">
        <v>24</v>
      </c>
      <c r="D40" t="s">
        <v>26</v>
      </c>
    </row>
    <row r="41" spans="2:4" ht="15" customHeight="1">
      <c r="B41" t="s">
        <v>103</v>
      </c>
      <c r="D41" t="s">
        <v>104</v>
      </c>
    </row>
    <row r="42" ht="15" customHeight="1"/>
    <row r="43" spans="2:4" ht="15" customHeight="1">
      <c r="B43" s="10"/>
      <c r="D43" t="s">
        <v>19</v>
      </c>
    </row>
    <row r="44" spans="2:5" ht="15" customHeight="1">
      <c r="B44" s="315"/>
      <c r="D44" t="s">
        <v>130</v>
      </c>
      <c r="E44" s="367" t="s">
        <v>139</v>
      </c>
    </row>
    <row r="45" spans="2:4" ht="15" customHeight="1">
      <c r="B45" s="13"/>
      <c r="D45" t="s">
        <v>20</v>
      </c>
    </row>
    <row r="46" spans="2:4" ht="15" customHeight="1">
      <c r="B46" s="16"/>
      <c r="D46" t="s">
        <v>21</v>
      </c>
    </row>
    <row r="47" ht="15" customHeight="1"/>
    <row r="48" ht="15" customHeight="1">
      <c r="B48" s="9" t="s">
        <v>18</v>
      </c>
    </row>
    <row r="49" ht="15" customHeight="1">
      <c r="B49" t="s">
        <v>131</v>
      </c>
    </row>
    <row r="50" ht="15" customHeight="1">
      <c r="B50" t="s">
        <v>132</v>
      </c>
    </row>
    <row r="51" ht="15" customHeight="1">
      <c r="B51" t="s">
        <v>133</v>
      </c>
    </row>
    <row r="52" ht="15" customHeight="1">
      <c r="B52" t="s">
        <v>96</v>
      </c>
    </row>
    <row r="53" ht="15" customHeight="1">
      <c r="B53" t="s">
        <v>134</v>
      </c>
    </row>
    <row r="54" ht="15" customHeight="1">
      <c r="B54" t="s">
        <v>108</v>
      </c>
    </row>
    <row r="55" ht="15" customHeight="1">
      <c r="B55" t="s">
        <v>135</v>
      </c>
    </row>
    <row r="56" ht="15" customHeight="1">
      <c r="B56" t="s">
        <v>136</v>
      </c>
    </row>
    <row r="57" ht="15" customHeight="1">
      <c r="B57" t="s">
        <v>137</v>
      </c>
    </row>
    <row r="58" ht="15" customHeight="1">
      <c r="B58" t="s">
        <v>97</v>
      </c>
    </row>
    <row r="59" ht="15" customHeight="1">
      <c r="B59" t="s">
        <v>138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2.75" customHeight="1"/>
    <row r="70" ht="12.75" customHeight="1"/>
    <row r="71" ht="12.75" customHeight="1"/>
    <row r="72" ht="12.75" customHeight="1">
      <c r="B72" s="20"/>
    </row>
    <row r="73" ht="12.75" customHeight="1" thickBot="1"/>
    <row r="74" spans="2:14" ht="15" customHeight="1">
      <c r="B74" s="375" t="s">
        <v>129</v>
      </c>
      <c r="C74" s="376"/>
      <c r="D74" s="376"/>
      <c r="E74" s="376"/>
      <c r="F74" s="376"/>
      <c r="G74" s="376"/>
      <c r="H74" s="376"/>
      <c r="I74" s="376"/>
      <c r="J74" s="376"/>
      <c r="K74" s="376"/>
      <c r="L74" s="376"/>
      <c r="M74" s="376"/>
      <c r="N74" s="377"/>
    </row>
    <row r="75" spans="2:14" ht="15" customHeight="1">
      <c r="B75" s="378"/>
      <c r="C75" s="379"/>
      <c r="D75" s="379"/>
      <c r="E75" s="379"/>
      <c r="F75" s="379"/>
      <c r="G75" s="379"/>
      <c r="H75" s="379"/>
      <c r="I75" s="379"/>
      <c r="J75" s="379"/>
      <c r="K75" s="379"/>
      <c r="L75" s="379"/>
      <c r="M75" s="379"/>
      <c r="N75" s="380"/>
    </row>
    <row r="76" spans="2:14" ht="15" customHeight="1" thickBot="1">
      <c r="B76" s="381"/>
      <c r="C76" s="382"/>
      <c r="D76" s="382"/>
      <c r="E76" s="382"/>
      <c r="F76" s="382"/>
      <c r="G76" s="382"/>
      <c r="H76" s="382"/>
      <c r="I76" s="382"/>
      <c r="J76" s="382"/>
      <c r="K76" s="382"/>
      <c r="L76" s="382"/>
      <c r="M76" s="382"/>
      <c r="N76" s="383"/>
    </row>
    <row r="77" spans="2:14" ht="15" customHeight="1">
      <c r="B77" s="384" t="s">
        <v>1</v>
      </c>
      <c r="C77" s="43" t="s">
        <v>22</v>
      </c>
      <c r="D77" s="402" t="s">
        <v>128</v>
      </c>
      <c r="E77" s="403"/>
      <c r="F77" s="403"/>
      <c r="G77" s="404"/>
      <c r="H77" s="43" t="s">
        <v>0</v>
      </c>
      <c r="I77" s="7" t="s">
        <v>15</v>
      </c>
      <c r="J77" s="3" t="s">
        <v>95</v>
      </c>
      <c r="K77" s="34" t="s">
        <v>10</v>
      </c>
      <c r="L77" s="393" t="s">
        <v>6</v>
      </c>
      <c r="M77" s="394"/>
      <c r="N77" s="395"/>
    </row>
    <row r="78" spans="2:14" ht="15" customHeight="1" thickBot="1">
      <c r="B78" s="386"/>
      <c r="C78" s="44" t="s">
        <v>7</v>
      </c>
      <c r="D78" s="4" t="s">
        <v>85</v>
      </c>
      <c r="E78" s="5" t="s">
        <v>127</v>
      </c>
      <c r="F78" s="5" t="s">
        <v>126</v>
      </c>
      <c r="G78" s="35" t="s">
        <v>86</v>
      </c>
      <c r="H78" s="44" t="s">
        <v>3</v>
      </c>
      <c r="I78" s="8" t="s">
        <v>2</v>
      </c>
      <c r="J78" s="6" t="s">
        <v>4</v>
      </c>
      <c r="K78" s="35" t="s">
        <v>11</v>
      </c>
      <c r="L78" s="396"/>
      <c r="M78" s="397"/>
      <c r="N78" s="398"/>
    </row>
    <row r="79" spans="2:19" ht="15" customHeight="1" thickBot="1">
      <c r="B79" s="45">
        <v>1998</v>
      </c>
      <c r="C79" s="88">
        <v>9534</v>
      </c>
      <c r="D79" s="36"/>
      <c r="E79" s="33"/>
      <c r="F79" s="33"/>
      <c r="G79" s="63"/>
      <c r="H79" s="88">
        <f aca="true" t="shared" si="12" ref="H79:H102">SUM(K12/C79)</f>
        <v>71797.46171596392</v>
      </c>
      <c r="I79" s="28"/>
      <c r="J79" s="93"/>
      <c r="K79" s="94"/>
      <c r="L79" s="399" t="s">
        <v>13</v>
      </c>
      <c r="M79" s="400"/>
      <c r="N79" s="401"/>
      <c r="O79" s="316" t="s">
        <v>100</v>
      </c>
      <c r="P79" s="316"/>
      <c r="Q79" s="317"/>
      <c r="R79" s="317"/>
      <c r="S79" s="318"/>
    </row>
    <row r="80" spans="2:19" ht="15" customHeight="1" thickBot="1">
      <c r="B80" s="46">
        <v>1998</v>
      </c>
      <c r="C80" s="89">
        <v>9534</v>
      </c>
      <c r="D80" s="38"/>
      <c r="E80" s="30"/>
      <c r="F80" s="30"/>
      <c r="G80" s="64"/>
      <c r="H80" s="89">
        <f t="shared" si="12"/>
        <v>107696.19257394588</v>
      </c>
      <c r="I80" s="58">
        <f>SUM(H80)</f>
        <v>107696.19257394588</v>
      </c>
      <c r="J80" s="74">
        <f>SUM((C80/C80))</f>
        <v>1</v>
      </c>
      <c r="K80" s="76">
        <f>SUM((J80/J80))</f>
        <v>1</v>
      </c>
      <c r="L80" s="390" t="s">
        <v>5</v>
      </c>
      <c r="M80" s="391"/>
      <c r="N80" s="392"/>
      <c r="O80" s="316" t="s">
        <v>101</v>
      </c>
      <c r="P80" s="316"/>
      <c r="Q80" s="317"/>
      <c r="R80" s="317"/>
      <c r="S80" s="318"/>
    </row>
    <row r="81" spans="2:14" ht="15" customHeight="1">
      <c r="B81" s="46">
        <v>1999</v>
      </c>
      <c r="C81" s="89">
        <v>10232</v>
      </c>
      <c r="D81" s="37">
        <v>820</v>
      </c>
      <c r="E81" s="30">
        <v>52</v>
      </c>
      <c r="F81" s="30">
        <f aca="true" t="shared" si="13" ref="F81:F86">SUM(D81-E81-G81)</f>
        <v>70</v>
      </c>
      <c r="G81" s="64">
        <f aca="true" t="shared" si="14" ref="G81:G86">SUM(C81-C80)</f>
        <v>698</v>
      </c>
      <c r="H81" s="89">
        <f t="shared" si="12"/>
        <v>130572.5035476935</v>
      </c>
      <c r="I81" s="58">
        <f aca="true" t="shared" si="15" ref="I81:I88">SUM(H81-H80)</f>
        <v>22876.31097374762</v>
      </c>
      <c r="J81" s="74">
        <f aca="true" t="shared" si="16" ref="J81:J88">SUM((H81/H80))</f>
        <v>1.2124152249675901</v>
      </c>
      <c r="K81" s="76">
        <f>SUM((H81/H80))</f>
        <v>1.2124152249675901</v>
      </c>
      <c r="L81" s="390"/>
      <c r="M81" s="391"/>
      <c r="N81" s="392"/>
    </row>
    <row r="82" spans="2:14" ht="15" customHeight="1">
      <c r="B82" s="46">
        <v>2000</v>
      </c>
      <c r="C82" s="89">
        <v>10426</v>
      </c>
      <c r="D82" s="37">
        <v>549</v>
      </c>
      <c r="E82" s="30">
        <v>60</v>
      </c>
      <c r="F82" s="30">
        <f t="shared" si="13"/>
        <v>295</v>
      </c>
      <c r="G82" s="64">
        <f t="shared" si="14"/>
        <v>194</v>
      </c>
      <c r="H82" s="89">
        <f t="shared" si="12"/>
        <v>123698.59691156725</v>
      </c>
      <c r="I82" s="58">
        <f t="shared" si="15"/>
        <v>-6873.906636126252</v>
      </c>
      <c r="J82" s="74">
        <f t="shared" si="16"/>
        <v>0.9473556342310963</v>
      </c>
      <c r="K82" s="76">
        <f>SUM((H82/H80))</f>
        <v>1.1485883944006086</v>
      </c>
      <c r="L82" s="390"/>
      <c r="M82" s="391"/>
      <c r="N82" s="392"/>
    </row>
    <row r="83" spans="2:14" ht="15" customHeight="1" thickBot="1">
      <c r="B83" s="149">
        <v>2001</v>
      </c>
      <c r="C83" s="163">
        <v>10785</v>
      </c>
      <c r="D83" s="164">
        <v>607</v>
      </c>
      <c r="E83" s="165">
        <v>77</v>
      </c>
      <c r="F83" s="165">
        <f t="shared" si="13"/>
        <v>171</v>
      </c>
      <c r="G83" s="166">
        <f t="shared" si="14"/>
        <v>359</v>
      </c>
      <c r="H83" s="163">
        <f t="shared" si="12"/>
        <v>135193.43610570236</v>
      </c>
      <c r="I83" s="167">
        <f t="shared" si="15"/>
        <v>11494.839194135115</v>
      </c>
      <c r="J83" s="168">
        <f t="shared" si="16"/>
        <v>1.0929261889878414</v>
      </c>
      <c r="K83" s="157">
        <f>SUM((H83/H80))</f>
        <v>1.255322336607921</v>
      </c>
      <c r="L83" s="370"/>
      <c r="M83" s="407"/>
      <c r="N83" s="408"/>
    </row>
    <row r="84" spans="2:19" ht="15" customHeight="1" thickBot="1">
      <c r="B84" s="141">
        <v>2002</v>
      </c>
      <c r="C84" s="158">
        <v>11415</v>
      </c>
      <c r="D84" s="159">
        <v>810</v>
      </c>
      <c r="E84" s="160">
        <v>51</v>
      </c>
      <c r="F84" s="160">
        <f t="shared" si="13"/>
        <v>129</v>
      </c>
      <c r="G84" s="161">
        <f t="shared" si="14"/>
        <v>630</v>
      </c>
      <c r="H84" s="158">
        <f t="shared" si="12"/>
        <v>147657.793499781</v>
      </c>
      <c r="I84" s="57">
        <f t="shared" si="15"/>
        <v>12464.35739407863</v>
      </c>
      <c r="J84" s="162">
        <f t="shared" si="16"/>
        <v>1.0921964686535022</v>
      </c>
      <c r="K84" s="162">
        <f>SUM((H84/H80))</f>
        <v>1.3710586230650341</v>
      </c>
      <c r="L84" s="409"/>
      <c r="M84" s="410"/>
      <c r="N84" s="411"/>
      <c r="O84" s="316" t="s">
        <v>12</v>
      </c>
      <c r="P84" s="316"/>
      <c r="Q84" s="317"/>
      <c r="R84" s="317"/>
      <c r="S84" s="318"/>
    </row>
    <row r="85" spans="2:14" ht="15" customHeight="1" thickBot="1">
      <c r="B85" s="96">
        <v>2003</v>
      </c>
      <c r="C85" s="123">
        <v>13648</v>
      </c>
      <c r="D85" s="124">
        <v>2846</v>
      </c>
      <c r="E85" s="125">
        <v>105</v>
      </c>
      <c r="F85" s="125">
        <f t="shared" si="13"/>
        <v>508</v>
      </c>
      <c r="G85" s="126">
        <f t="shared" si="14"/>
        <v>2233</v>
      </c>
      <c r="H85" s="123">
        <f t="shared" si="12"/>
        <v>196505.92332209845</v>
      </c>
      <c r="I85" s="127">
        <f t="shared" si="15"/>
        <v>48848.12982231745</v>
      </c>
      <c r="J85" s="128">
        <f t="shared" si="16"/>
        <v>1.3308198549126355</v>
      </c>
      <c r="K85" s="104">
        <f>SUM((H85/H80))</f>
        <v>1.8246320378241265</v>
      </c>
      <c r="L85" s="412"/>
      <c r="M85" s="413"/>
      <c r="N85" s="414"/>
    </row>
    <row r="86" spans="2:14" ht="15" customHeight="1" thickBot="1">
      <c r="B86" s="320">
        <v>2004</v>
      </c>
      <c r="C86" s="332">
        <v>14483</v>
      </c>
      <c r="D86" s="333">
        <v>2188</v>
      </c>
      <c r="E86" s="334">
        <v>168</v>
      </c>
      <c r="F86" s="334">
        <f t="shared" si="13"/>
        <v>1185</v>
      </c>
      <c r="G86" s="335">
        <f t="shared" si="14"/>
        <v>835</v>
      </c>
      <c r="H86" s="332">
        <f t="shared" si="12"/>
        <v>217684.67680729134</v>
      </c>
      <c r="I86" s="336">
        <f t="shared" si="15"/>
        <v>21178.753485192894</v>
      </c>
      <c r="J86" s="337">
        <f t="shared" si="16"/>
        <v>1.1077766671210119</v>
      </c>
      <c r="K86" s="331">
        <f>SUM((H86/H80))</f>
        <v>2.0212847975830313</v>
      </c>
      <c r="L86" s="405"/>
      <c r="M86" s="406"/>
      <c r="N86" s="371"/>
    </row>
    <row r="87" spans="2:19" ht="15" customHeight="1" thickBot="1">
      <c r="B87" s="114">
        <v>2005</v>
      </c>
      <c r="C87" s="135">
        <v>15310</v>
      </c>
      <c r="D87" s="136">
        <v>1392</v>
      </c>
      <c r="E87" s="137">
        <v>172</v>
      </c>
      <c r="F87" s="137">
        <f>SUM(D87-E81-G87)</f>
        <v>355</v>
      </c>
      <c r="G87" s="138">
        <v>985</v>
      </c>
      <c r="H87" s="135">
        <f t="shared" si="12"/>
        <v>209321.7086218158</v>
      </c>
      <c r="I87" s="139">
        <f t="shared" si="15"/>
        <v>-8362.968185475533</v>
      </c>
      <c r="J87" s="140">
        <f t="shared" si="16"/>
        <v>0.9615821916906031</v>
      </c>
      <c r="K87" s="122">
        <f>SUM((H87/H80))</f>
        <v>1.943631465690788</v>
      </c>
      <c r="L87" s="372"/>
      <c r="M87" s="373"/>
      <c r="N87" s="374"/>
      <c r="O87" s="316" t="s">
        <v>25</v>
      </c>
      <c r="P87" s="316"/>
      <c r="Q87" s="316"/>
      <c r="R87" s="316"/>
      <c r="S87" s="319"/>
    </row>
    <row r="88" spans="2:19" ht="15" customHeight="1" thickBot="1">
      <c r="B88" s="105">
        <v>2006</v>
      </c>
      <c r="C88" s="129">
        <f>SUM(C87-E88+G88)</f>
        <v>15604</v>
      </c>
      <c r="D88" s="130">
        <v>705</v>
      </c>
      <c r="E88" s="131">
        <v>180</v>
      </c>
      <c r="F88" s="131">
        <f aca="true" t="shared" si="17" ref="F88:F102">SUM(D88-G88)</f>
        <v>231</v>
      </c>
      <c r="G88" s="132">
        <v>474</v>
      </c>
      <c r="H88" s="129">
        <f t="shared" si="12"/>
        <v>242324.36894386055</v>
      </c>
      <c r="I88" s="133">
        <f t="shared" si="15"/>
        <v>33002.66032204474</v>
      </c>
      <c r="J88" s="134">
        <f t="shared" si="16"/>
        <v>1.1576647760967358</v>
      </c>
      <c r="K88" s="113">
        <f>SUM((H88/H80))</f>
        <v>2.2500736855434966</v>
      </c>
      <c r="L88" s="415"/>
      <c r="M88" s="416"/>
      <c r="N88" s="417"/>
      <c r="O88" s="316" t="s">
        <v>17</v>
      </c>
      <c r="P88" s="316"/>
      <c r="Q88" s="316"/>
      <c r="R88" s="316"/>
      <c r="S88" s="319"/>
    </row>
    <row r="89" spans="2:14" ht="15" customHeight="1">
      <c r="B89" s="47">
        <v>2007</v>
      </c>
      <c r="C89" s="90">
        <f aca="true" t="shared" si="18" ref="C89:C102">SUM(C88-E89+G89)</f>
        <v>15954.2</v>
      </c>
      <c r="D89" s="65">
        <v>644</v>
      </c>
      <c r="E89" s="31">
        <f>SUM(E88*1.01)</f>
        <v>181.8</v>
      </c>
      <c r="F89" s="31">
        <f t="shared" si="17"/>
        <v>112</v>
      </c>
      <c r="G89" s="66">
        <v>532</v>
      </c>
      <c r="H89" s="90">
        <f t="shared" si="12"/>
        <v>257587.1762620501</v>
      </c>
      <c r="I89" s="59">
        <f aca="true" t="shared" si="19" ref="I89:I102">SUM(H89-H88)</f>
        <v>15262.80731818956</v>
      </c>
      <c r="J89" s="77">
        <f aca="true" t="shared" si="20" ref="J89:J102">SUM((H89/H88))</f>
        <v>1.0629850286403737</v>
      </c>
      <c r="K89" s="79">
        <f>SUM((H89/H80))</f>
        <v>2.391794641070405</v>
      </c>
      <c r="L89" s="418"/>
      <c r="M89" s="419"/>
      <c r="N89" s="420"/>
    </row>
    <row r="90" spans="2:14" ht="15" customHeight="1">
      <c r="B90" s="47">
        <v>2008</v>
      </c>
      <c r="C90" s="90">
        <f t="shared" si="18"/>
        <v>15911.582</v>
      </c>
      <c r="D90" s="65">
        <v>496</v>
      </c>
      <c r="E90" s="31">
        <f aca="true" t="shared" si="21" ref="E90:E96">SUM(E89*1.01)</f>
        <v>183.61800000000002</v>
      </c>
      <c r="F90" s="31">
        <f t="shared" si="17"/>
        <v>355</v>
      </c>
      <c r="G90" s="66">
        <v>141</v>
      </c>
      <c r="H90" s="90">
        <f t="shared" si="12"/>
        <v>286512.2183914987</v>
      </c>
      <c r="I90" s="59">
        <f t="shared" si="19"/>
        <v>28925.042129448615</v>
      </c>
      <c r="J90" s="77">
        <f t="shared" si="20"/>
        <v>1.1122922443158523</v>
      </c>
      <c r="K90" s="79">
        <f>SUM((H90/H80))</f>
        <v>2.660374629258829</v>
      </c>
      <c r="L90" s="418"/>
      <c r="M90" s="419"/>
      <c r="N90" s="420"/>
    </row>
    <row r="91" spans="2:14" ht="15" customHeight="1">
      <c r="B91" s="47">
        <v>2009</v>
      </c>
      <c r="C91" s="90">
        <f t="shared" si="18"/>
        <v>15960.12782</v>
      </c>
      <c r="D91" s="65">
        <v>727</v>
      </c>
      <c r="E91" s="31">
        <f t="shared" si="21"/>
        <v>185.45418000000004</v>
      </c>
      <c r="F91" s="31">
        <f t="shared" si="17"/>
        <v>493</v>
      </c>
      <c r="G91" s="66">
        <v>234</v>
      </c>
      <c r="H91" s="90">
        <f t="shared" si="12"/>
        <v>315231.3515302097</v>
      </c>
      <c r="I91" s="59">
        <f t="shared" si="19"/>
        <v>28719.133138710982</v>
      </c>
      <c r="J91" s="77">
        <f t="shared" si="20"/>
        <v>1.1002370275862663</v>
      </c>
      <c r="K91" s="79">
        <f>SUM((H91/H80))</f>
        <v>2.927042674361649</v>
      </c>
      <c r="L91" s="418"/>
      <c r="M91" s="419"/>
      <c r="N91" s="420"/>
    </row>
    <row r="92" spans="2:14" ht="15" customHeight="1">
      <c r="B92" s="48">
        <v>2010</v>
      </c>
      <c r="C92" s="90">
        <f t="shared" si="18"/>
        <v>15941.8190982</v>
      </c>
      <c r="D92" s="65">
        <v>649</v>
      </c>
      <c r="E92" s="31">
        <f t="shared" si="21"/>
        <v>187.30872180000003</v>
      </c>
      <c r="F92" s="31">
        <f t="shared" si="17"/>
        <v>480</v>
      </c>
      <c r="G92" s="66">
        <v>169</v>
      </c>
      <c r="H92" s="90">
        <f t="shared" si="12"/>
        <v>348343.89470220753</v>
      </c>
      <c r="I92" s="59">
        <f t="shared" si="19"/>
        <v>33112.54317199782</v>
      </c>
      <c r="J92" s="77">
        <f t="shared" si="20"/>
        <v>1.1050420366225042</v>
      </c>
      <c r="K92" s="79">
        <f>SUM((H92/H80))</f>
        <v>3.2345051981575783</v>
      </c>
      <c r="L92" s="418"/>
      <c r="M92" s="419"/>
      <c r="N92" s="420"/>
    </row>
    <row r="93" spans="2:14" ht="15" customHeight="1">
      <c r="B93" s="48">
        <v>2011</v>
      </c>
      <c r="C93" s="90">
        <f t="shared" si="18"/>
        <v>16061.637289182</v>
      </c>
      <c r="D93" s="65">
        <v>806</v>
      </c>
      <c r="E93" s="31">
        <f t="shared" si="21"/>
        <v>189.18180901800002</v>
      </c>
      <c r="F93" s="31">
        <f t="shared" si="17"/>
        <v>497</v>
      </c>
      <c r="G93" s="66">
        <v>309</v>
      </c>
      <c r="H93" s="90">
        <f t="shared" si="12"/>
        <v>357799.10783213563</v>
      </c>
      <c r="I93" s="59">
        <f t="shared" si="19"/>
        <v>9455.213129928103</v>
      </c>
      <c r="J93" s="77">
        <f t="shared" si="20"/>
        <v>1.0271433295479777</v>
      </c>
      <c r="K93" s="79">
        <f>SUM((H93/H80))</f>
        <v>3.322300438675817</v>
      </c>
      <c r="L93" s="418"/>
      <c r="M93" s="419"/>
      <c r="N93" s="420"/>
    </row>
    <row r="94" spans="2:14" ht="15" customHeight="1">
      <c r="B94" s="48">
        <v>2012</v>
      </c>
      <c r="C94" s="90">
        <f t="shared" si="18"/>
        <v>16167.563662073819</v>
      </c>
      <c r="D94" s="65">
        <v>795</v>
      </c>
      <c r="E94" s="31">
        <f t="shared" si="21"/>
        <v>191.07362710818003</v>
      </c>
      <c r="F94" s="31">
        <f t="shared" si="17"/>
        <v>498</v>
      </c>
      <c r="G94" s="66">
        <v>297</v>
      </c>
      <c r="H94" s="90">
        <f t="shared" si="12"/>
        <v>359702.02556489804</v>
      </c>
      <c r="I94" s="59">
        <f t="shared" si="19"/>
        <v>1902.9177327624056</v>
      </c>
      <c r="J94" s="77">
        <f t="shared" si="20"/>
        <v>1.0053183970868234</v>
      </c>
      <c r="K94" s="79">
        <f>SUM((H94/H80))</f>
        <v>3.339969751650422</v>
      </c>
      <c r="L94" s="418"/>
      <c r="M94" s="419"/>
      <c r="N94" s="420"/>
    </row>
    <row r="95" spans="2:14" ht="15" customHeight="1">
      <c r="B95" s="48">
        <v>2013</v>
      </c>
      <c r="C95" s="90">
        <f t="shared" si="18"/>
        <v>16280.579298694556</v>
      </c>
      <c r="D95" s="65">
        <v>805</v>
      </c>
      <c r="E95" s="31">
        <f t="shared" si="21"/>
        <v>192.98436337926182</v>
      </c>
      <c r="F95" s="31">
        <f t="shared" si="17"/>
        <v>499</v>
      </c>
      <c r="G95" s="66">
        <v>306</v>
      </c>
      <c r="H95" s="90">
        <f t="shared" si="12"/>
        <v>360111.8155514201</v>
      </c>
      <c r="I95" s="59">
        <f t="shared" si="19"/>
        <v>409.78998652205337</v>
      </c>
      <c r="J95" s="77">
        <f t="shared" si="20"/>
        <v>1.0011392484817914</v>
      </c>
      <c r="K95" s="79">
        <f>SUM((H95/H80))</f>
        <v>3.3437748071192184</v>
      </c>
      <c r="L95" s="418"/>
      <c r="M95" s="419"/>
      <c r="N95" s="420"/>
    </row>
    <row r="96" spans="2:14" ht="15" customHeight="1">
      <c r="B96" s="48">
        <v>2014</v>
      </c>
      <c r="C96" s="90">
        <f t="shared" si="18"/>
        <v>16389.6650916815</v>
      </c>
      <c r="D96" s="67">
        <v>804</v>
      </c>
      <c r="E96" s="31">
        <f t="shared" si="21"/>
        <v>194.91420701305444</v>
      </c>
      <c r="F96" s="31">
        <f t="shared" si="17"/>
        <v>500</v>
      </c>
      <c r="G96" s="66">
        <v>304</v>
      </c>
      <c r="H96" s="92">
        <f t="shared" si="12"/>
        <v>360689.7066740386</v>
      </c>
      <c r="I96" s="60">
        <f t="shared" si="19"/>
        <v>577.8911226185155</v>
      </c>
      <c r="J96" s="95">
        <f t="shared" si="20"/>
        <v>1.0016047546835796</v>
      </c>
      <c r="K96" s="80">
        <f>SUM((H96/H80))</f>
        <v>3.3491407454017788</v>
      </c>
      <c r="L96" s="418"/>
      <c r="M96" s="419"/>
      <c r="N96" s="420"/>
    </row>
    <row r="97" spans="2:14" ht="15" customHeight="1">
      <c r="B97" s="47">
        <v>2015</v>
      </c>
      <c r="C97" s="90">
        <f t="shared" si="18"/>
        <v>16467.259463967144</v>
      </c>
      <c r="D97" s="65">
        <v>794</v>
      </c>
      <c r="E97" s="31">
        <f aca="true" t="shared" si="22" ref="E97:E102">SUM(E96*1.1)</f>
        <v>214.4056277143599</v>
      </c>
      <c r="F97" s="31">
        <f t="shared" si="17"/>
        <v>502</v>
      </c>
      <c r="G97" s="66">
        <v>292</v>
      </c>
      <c r="H97" s="90">
        <f t="shared" si="12"/>
        <v>362042.5119764265</v>
      </c>
      <c r="I97" s="59">
        <f t="shared" si="19"/>
        <v>1352.8053023879183</v>
      </c>
      <c r="J97" s="77">
        <f t="shared" si="20"/>
        <v>1.0037506068993824</v>
      </c>
      <c r="K97" s="79">
        <f>SUM((H97/H80))</f>
        <v>3.3617020557884856</v>
      </c>
      <c r="L97" s="418"/>
      <c r="M97" s="419"/>
      <c r="N97" s="420"/>
    </row>
    <row r="98" spans="2:14" ht="15" customHeight="1">
      <c r="B98" s="49">
        <v>2016</v>
      </c>
      <c r="C98" s="90">
        <f t="shared" si="18"/>
        <v>16522.413273481347</v>
      </c>
      <c r="D98" s="68">
        <v>794</v>
      </c>
      <c r="E98" s="31">
        <f t="shared" si="22"/>
        <v>235.84619048579592</v>
      </c>
      <c r="F98" s="31">
        <f t="shared" si="17"/>
        <v>503</v>
      </c>
      <c r="G98" s="66">
        <v>291</v>
      </c>
      <c r="H98" s="90">
        <f t="shared" si="12"/>
        <v>363972.62580620655</v>
      </c>
      <c r="I98" s="59">
        <f t="shared" si="19"/>
        <v>1930.1138297800208</v>
      </c>
      <c r="J98" s="77">
        <f t="shared" si="20"/>
        <v>1.005331180085022</v>
      </c>
      <c r="K98" s="79">
        <f>SUM((H98/H80))</f>
        <v>3.3796238948400825</v>
      </c>
      <c r="L98" s="418"/>
      <c r="M98" s="419"/>
      <c r="N98" s="420"/>
    </row>
    <row r="99" spans="2:14" ht="15" customHeight="1">
      <c r="B99" s="48">
        <v>2017</v>
      </c>
      <c r="C99" s="90">
        <f t="shared" si="18"/>
        <v>16554.982463946973</v>
      </c>
      <c r="D99" s="67">
        <v>796</v>
      </c>
      <c r="E99" s="31">
        <f t="shared" si="22"/>
        <v>259.43080953437556</v>
      </c>
      <c r="F99" s="31">
        <f t="shared" si="17"/>
        <v>504</v>
      </c>
      <c r="G99" s="66">
        <v>292</v>
      </c>
      <c r="H99" s="90">
        <f t="shared" si="12"/>
        <v>366490.67376403324</v>
      </c>
      <c r="I99" s="59">
        <f t="shared" si="19"/>
        <v>2518.047957826697</v>
      </c>
      <c r="J99" s="77">
        <f t="shared" si="20"/>
        <v>1.0069182344475747</v>
      </c>
      <c r="K99" s="79">
        <f>SUM((H99/H80))</f>
        <v>3.4030049252892116</v>
      </c>
      <c r="L99" s="418"/>
      <c r="M99" s="419"/>
      <c r="N99" s="420"/>
    </row>
    <row r="100" spans="2:14" ht="15" customHeight="1">
      <c r="B100" s="48">
        <v>2018</v>
      </c>
      <c r="C100" s="90">
        <f t="shared" si="18"/>
        <v>16565.60857345916</v>
      </c>
      <c r="D100" s="67">
        <v>801</v>
      </c>
      <c r="E100" s="31">
        <f t="shared" si="22"/>
        <v>285.3738904878131</v>
      </c>
      <c r="F100" s="31">
        <f t="shared" si="17"/>
        <v>505</v>
      </c>
      <c r="G100" s="66">
        <v>296</v>
      </c>
      <c r="H100" s="90">
        <f t="shared" si="12"/>
        <v>369594.84712804604</v>
      </c>
      <c r="I100" s="59">
        <f t="shared" si="19"/>
        <v>3104.173364012793</v>
      </c>
      <c r="J100" s="77">
        <f t="shared" si="20"/>
        <v>1.0084699927889882</v>
      </c>
      <c r="K100" s="79">
        <f>SUM((H100/H80))</f>
        <v>3.4318283524673023</v>
      </c>
      <c r="L100" s="418"/>
      <c r="M100" s="419"/>
      <c r="N100" s="420"/>
    </row>
    <row r="101" spans="2:14" ht="15" customHeight="1">
      <c r="B101" s="48">
        <v>2019</v>
      </c>
      <c r="C101" s="90">
        <f t="shared" si="18"/>
        <v>16555.697293922567</v>
      </c>
      <c r="D101" s="67">
        <v>810</v>
      </c>
      <c r="E101" s="31">
        <f t="shared" si="22"/>
        <v>313.91127953659446</v>
      </c>
      <c r="F101" s="31">
        <f t="shared" si="17"/>
        <v>506</v>
      </c>
      <c r="G101" s="66">
        <v>304</v>
      </c>
      <c r="H101" s="90">
        <f t="shared" si="12"/>
        <v>373270.680785808</v>
      </c>
      <c r="I101" s="59">
        <f t="shared" si="19"/>
        <v>3675.8336577619775</v>
      </c>
      <c r="J101" s="77">
        <f t="shared" si="20"/>
        <v>1.0099455760444855</v>
      </c>
      <c r="K101" s="79">
        <f>SUM((H101/H80))</f>
        <v>3.4659598623183876</v>
      </c>
      <c r="L101" s="418"/>
      <c r="M101" s="419"/>
      <c r="N101" s="420"/>
    </row>
    <row r="102" spans="2:14" ht="15" customHeight="1" thickBot="1">
      <c r="B102" s="50">
        <v>2020</v>
      </c>
      <c r="C102" s="91">
        <f t="shared" si="18"/>
        <v>16509.394886432314</v>
      </c>
      <c r="D102" s="69">
        <v>805</v>
      </c>
      <c r="E102" s="32">
        <f t="shared" si="22"/>
        <v>345.3024074902539</v>
      </c>
      <c r="F102" s="32">
        <f t="shared" si="17"/>
        <v>506</v>
      </c>
      <c r="G102" s="70">
        <v>299</v>
      </c>
      <c r="H102" s="91">
        <f t="shared" si="12"/>
        <v>377901.83966721705</v>
      </c>
      <c r="I102" s="61">
        <f t="shared" si="19"/>
        <v>4631.1588814090355</v>
      </c>
      <c r="J102" s="81">
        <f t="shared" si="20"/>
        <v>1.012406971990566</v>
      </c>
      <c r="K102" s="83">
        <f>SUM((H102/H80))</f>
        <v>3.508961929250598</v>
      </c>
      <c r="L102" s="421"/>
      <c r="M102" s="422"/>
      <c r="N102" s="423"/>
    </row>
    <row r="103" ht="15" customHeight="1"/>
    <row r="104" ht="15" customHeight="1"/>
    <row r="105" ht="15" customHeight="1"/>
    <row r="106" ht="15" customHeight="1">
      <c r="B106" s="9" t="s">
        <v>14</v>
      </c>
    </row>
    <row r="107" spans="2:4" ht="15" customHeight="1">
      <c r="B107" t="s">
        <v>24</v>
      </c>
      <c r="D107" t="s">
        <v>26</v>
      </c>
    </row>
    <row r="108" spans="2:4" ht="15" customHeight="1">
      <c r="B108" t="s">
        <v>103</v>
      </c>
      <c r="D108" t="s">
        <v>104</v>
      </c>
    </row>
    <row r="109" ht="15" customHeight="1"/>
    <row r="110" spans="2:4" ht="15" customHeight="1">
      <c r="B110" s="10"/>
      <c r="D110" t="s">
        <v>19</v>
      </c>
    </row>
    <row r="111" spans="2:5" ht="15" customHeight="1">
      <c r="B111" s="315"/>
      <c r="D111" t="s">
        <v>130</v>
      </c>
      <c r="E111" t="s">
        <v>139</v>
      </c>
    </row>
    <row r="112" spans="2:4" ht="15" customHeight="1">
      <c r="B112" s="13"/>
      <c r="D112" t="s">
        <v>20</v>
      </c>
    </row>
    <row r="113" spans="2:4" ht="15" customHeight="1">
      <c r="B113" s="16"/>
      <c r="D113" t="s">
        <v>21</v>
      </c>
    </row>
    <row r="114" ht="15" customHeight="1"/>
    <row r="115" ht="15" customHeight="1">
      <c r="B115" s="9" t="s">
        <v>18</v>
      </c>
    </row>
    <row r="116" ht="15" customHeight="1">
      <c r="B116" t="s">
        <v>131</v>
      </c>
    </row>
    <row r="117" ht="15" customHeight="1">
      <c r="B117" t="s">
        <v>132</v>
      </c>
    </row>
    <row r="118" ht="15" customHeight="1">
      <c r="B118" t="s">
        <v>133</v>
      </c>
    </row>
    <row r="119" ht="15" customHeight="1">
      <c r="B119" t="s">
        <v>96</v>
      </c>
    </row>
    <row r="120" ht="15" customHeight="1">
      <c r="B120" t="s">
        <v>134</v>
      </c>
    </row>
    <row r="121" ht="15" customHeight="1">
      <c r="B121" t="s">
        <v>106</v>
      </c>
    </row>
    <row r="122" ht="15" customHeight="1">
      <c r="B122" t="s">
        <v>135</v>
      </c>
    </row>
    <row r="123" ht="15" customHeight="1">
      <c r="B123" t="s">
        <v>140</v>
      </c>
    </row>
    <row r="124" ht="15" customHeight="1">
      <c r="B124" t="s">
        <v>137</v>
      </c>
    </row>
    <row r="125" ht="15" customHeight="1">
      <c r="B125" t="s">
        <v>97</v>
      </c>
    </row>
    <row r="126" ht="15" customHeight="1">
      <c r="B126" t="s">
        <v>141</v>
      </c>
    </row>
    <row r="127" ht="15" customHeight="1"/>
    <row r="128" ht="15" customHeight="1"/>
    <row r="129" ht="15" customHeight="1"/>
    <row r="130" ht="15" customHeight="1"/>
    <row r="131" ht="15" customHeight="1"/>
    <row r="133" ht="13.5" thickBot="1">
      <c r="B133" s="20"/>
    </row>
    <row r="134" spans="2:17" ht="12.75" customHeight="1">
      <c r="B134" s="375" t="s">
        <v>107</v>
      </c>
      <c r="C134" s="376"/>
      <c r="D134" s="376"/>
      <c r="E134" s="376"/>
      <c r="F134" s="376"/>
      <c r="G134" s="376"/>
      <c r="H134" s="376"/>
      <c r="I134" s="376"/>
      <c r="J134" s="376"/>
      <c r="K134" s="376"/>
      <c r="L134" s="376"/>
      <c r="M134" s="376"/>
      <c r="N134" s="376"/>
      <c r="O134" s="376"/>
      <c r="P134" s="376"/>
      <c r="Q134" s="377"/>
    </row>
    <row r="135" spans="2:17" ht="12.75" customHeight="1">
      <c r="B135" s="378"/>
      <c r="C135" s="379"/>
      <c r="D135" s="379"/>
      <c r="E135" s="379"/>
      <c r="F135" s="379"/>
      <c r="G135" s="379"/>
      <c r="H135" s="379"/>
      <c r="I135" s="379"/>
      <c r="J135" s="379"/>
      <c r="K135" s="379"/>
      <c r="L135" s="379"/>
      <c r="M135" s="379"/>
      <c r="N135" s="379"/>
      <c r="O135" s="379"/>
      <c r="P135" s="379"/>
      <c r="Q135" s="380"/>
    </row>
    <row r="136" spans="2:17" ht="13.5" customHeight="1" thickBot="1">
      <c r="B136" s="381"/>
      <c r="C136" s="382"/>
      <c r="D136" s="382"/>
      <c r="E136" s="382"/>
      <c r="F136" s="382"/>
      <c r="G136" s="382"/>
      <c r="H136" s="382"/>
      <c r="I136" s="382"/>
      <c r="J136" s="382"/>
      <c r="K136" s="382"/>
      <c r="L136" s="382"/>
      <c r="M136" s="382"/>
      <c r="N136" s="382"/>
      <c r="O136" s="382"/>
      <c r="P136" s="382"/>
      <c r="Q136" s="383"/>
    </row>
  </sheetData>
  <mergeCells count="34">
    <mergeCell ref="L100:N100"/>
    <mergeCell ref="L101:N101"/>
    <mergeCell ref="L102:N102"/>
    <mergeCell ref="L96:N96"/>
    <mergeCell ref="L97:N97"/>
    <mergeCell ref="L98:N98"/>
    <mergeCell ref="L99:N99"/>
    <mergeCell ref="L92:N92"/>
    <mergeCell ref="L93:N93"/>
    <mergeCell ref="L94:N94"/>
    <mergeCell ref="L95:N95"/>
    <mergeCell ref="L88:N88"/>
    <mergeCell ref="L89:N89"/>
    <mergeCell ref="L90:N90"/>
    <mergeCell ref="L91:N91"/>
    <mergeCell ref="L86:N86"/>
    <mergeCell ref="L87:N87"/>
    <mergeCell ref="L83:N83"/>
    <mergeCell ref="L84:N84"/>
    <mergeCell ref="L85:N85"/>
    <mergeCell ref="L77:N77"/>
    <mergeCell ref="L78:N78"/>
    <mergeCell ref="L79:N79"/>
    <mergeCell ref="D77:G77"/>
    <mergeCell ref="B134:Q136"/>
    <mergeCell ref="B74:N76"/>
    <mergeCell ref="B6:N8"/>
    <mergeCell ref="B9:B11"/>
    <mergeCell ref="C9:E9"/>
    <mergeCell ref="F9:N9"/>
    <mergeCell ref="L80:N80"/>
    <mergeCell ref="L81:N81"/>
    <mergeCell ref="L82:N82"/>
    <mergeCell ref="B77:B78"/>
  </mergeCells>
  <printOptions/>
  <pageMargins left="0.7874015748031497" right="0.3937007874015748" top="0.1968503937007874" bottom="0.1968503937007874" header="0.5118110236220472" footer="0.5118110236220472"/>
  <pageSetup orientation="landscape" paperSize="9" scale="56" r:id="rId2"/>
  <rowBreaks count="2" manualBreakCount="2">
    <brk id="68" max="255" man="1"/>
    <brk id="13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06"/>
  <sheetViews>
    <sheetView zoomScale="80" zoomScaleNormal="80" workbookViewId="0" topLeftCell="A1">
      <selection activeCell="A2" sqref="A2"/>
      <selection activeCell="A1" sqref="A1"/>
    </sheetView>
  </sheetViews>
  <sheetFormatPr defaultColWidth="9.140625" defaultRowHeight="12.75"/>
  <cols>
    <col min="1" max="1" width="20.421875" style="0" customWidth="1"/>
    <col min="2" max="2" width="6.7109375" style="0" customWidth="1"/>
    <col min="3" max="4" width="12.7109375" style="0" customWidth="1"/>
    <col min="5" max="5" width="6.7109375" style="0" customWidth="1"/>
    <col min="6" max="7" width="12.7109375" style="0" customWidth="1"/>
    <col min="8" max="8" width="6.7109375" style="0" customWidth="1"/>
    <col min="9" max="10" width="12.7109375" style="0" customWidth="1"/>
    <col min="11" max="11" width="6.7109375" style="0" customWidth="1"/>
    <col min="12" max="13" width="12.7109375" style="0" customWidth="1"/>
    <col min="14" max="14" width="6.7109375" style="0" customWidth="1"/>
    <col min="15" max="16" width="12.7109375" style="0" customWidth="1"/>
    <col min="17" max="17" width="6.7109375" style="0" customWidth="1"/>
    <col min="18" max="19" width="12.7109375" style="0" customWidth="1"/>
    <col min="20" max="20" width="6.7109375" style="0" customWidth="1"/>
    <col min="21" max="22" width="12.7109375" style="0" customWidth="1"/>
    <col min="23" max="23" width="6.7109375" style="0" customWidth="1"/>
    <col min="24" max="25" width="12.7109375" style="0" customWidth="1"/>
  </cols>
  <sheetData>
    <row r="1" ht="12.75">
      <c r="X1" t="s">
        <v>145</v>
      </c>
    </row>
    <row r="2" spans="1:24" ht="12.75">
      <c r="A2" s="20"/>
      <c r="X2" t="s">
        <v>143</v>
      </c>
    </row>
    <row r="3" spans="1:24" ht="15">
      <c r="A3" s="424" t="s">
        <v>27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</row>
    <row r="4" spans="1:24" ht="15">
      <c r="A4" s="424" t="s">
        <v>28</v>
      </c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</row>
    <row r="5" ht="13.5" thickBot="1"/>
    <row r="6" spans="1:25" ht="13.5" thickBot="1">
      <c r="A6" s="197" t="s">
        <v>84</v>
      </c>
      <c r="B6" s="197" t="s">
        <v>82</v>
      </c>
      <c r="C6" s="204">
        <v>2005</v>
      </c>
      <c r="D6" s="200" t="s">
        <v>2</v>
      </c>
      <c r="E6" s="198" t="s">
        <v>82</v>
      </c>
      <c r="F6" s="199">
        <v>2006</v>
      </c>
      <c r="G6" s="200" t="s">
        <v>2</v>
      </c>
      <c r="H6" s="198" t="s">
        <v>82</v>
      </c>
      <c r="I6" s="199">
        <v>2007</v>
      </c>
      <c r="J6" s="200" t="s">
        <v>2</v>
      </c>
      <c r="K6" s="198" t="s">
        <v>82</v>
      </c>
      <c r="L6" s="199">
        <v>2008</v>
      </c>
      <c r="M6" s="200" t="s">
        <v>2</v>
      </c>
      <c r="N6" s="198" t="s">
        <v>82</v>
      </c>
      <c r="O6" s="199">
        <v>2009</v>
      </c>
      <c r="P6" s="200" t="s">
        <v>2</v>
      </c>
      <c r="Q6" s="198" t="s">
        <v>82</v>
      </c>
      <c r="R6" s="199">
        <v>2010</v>
      </c>
      <c r="S6" s="200" t="s">
        <v>2</v>
      </c>
      <c r="T6" s="198" t="s">
        <v>82</v>
      </c>
      <c r="U6" s="199">
        <v>2011</v>
      </c>
      <c r="V6" s="200" t="s">
        <v>2</v>
      </c>
      <c r="W6" s="279" t="s">
        <v>82</v>
      </c>
      <c r="X6" s="351">
        <v>2012</v>
      </c>
      <c r="Y6" s="200" t="s">
        <v>2</v>
      </c>
    </row>
    <row r="7" spans="1:28" ht="12.75">
      <c r="A7" s="295" t="s">
        <v>52</v>
      </c>
      <c r="B7" s="205">
        <v>1</v>
      </c>
      <c r="C7" s="296">
        <v>64145</v>
      </c>
      <c r="D7" s="297">
        <f aca="true" t="shared" si="0" ref="D7:D29">SUM(B7*C7)</f>
        <v>64145</v>
      </c>
      <c r="E7" s="206">
        <v>1</v>
      </c>
      <c r="F7" s="298">
        <v>83752.2</v>
      </c>
      <c r="G7" s="297">
        <f>SUM(E7*F7)</f>
        <v>83752.2</v>
      </c>
      <c r="H7" s="206">
        <v>1</v>
      </c>
      <c r="I7" s="299">
        <v>89181.932</v>
      </c>
      <c r="J7" s="297">
        <f>SUM(H7*I7)</f>
        <v>89181.932</v>
      </c>
      <c r="K7" s="206">
        <v>1</v>
      </c>
      <c r="L7" s="299">
        <v>94532.84792</v>
      </c>
      <c r="M7" s="297">
        <f>SUM(K7*L7)</f>
        <v>94532.84792</v>
      </c>
      <c r="N7" s="206">
        <v>1</v>
      </c>
      <c r="O7" s="298">
        <v>100204.8187952</v>
      </c>
      <c r="P7" s="297">
        <f>SUM(N7*O7)</f>
        <v>100204.8187952</v>
      </c>
      <c r="Q7" s="206">
        <v>1</v>
      </c>
      <c r="R7" s="298">
        <v>106217.10792291201</v>
      </c>
      <c r="S7" s="297">
        <f>SUM(Q7*R7)</f>
        <v>106217.10792291201</v>
      </c>
      <c r="T7" s="206">
        <v>1</v>
      </c>
      <c r="U7" s="298">
        <v>112590.13439828673</v>
      </c>
      <c r="V7" s="297">
        <f>SUM(T7*U7)</f>
        <v>112590.13439828673</v>
      </c>
      <c r="W7" s="338">
        <v>1</v>
      </c>
      <c r="X7" s="352">
        <v>119345.54246218395</v>
      </c>
      <c r="Y7" s="297">
        <f>SUM(W7*X7)</f>
        <v>119345.54246218395</v>
      </c>
      <c r="Z7" s="22"/>
      <c r="AA7" s="21"/>
      <c r="AB7" s="21"/>
    </row>
    <row r="8" spans="1:28" ht="12.75">
      <c r="A8" s="207" t="s">
        <v>51</v>
      </c>
      <c r="B8" s="208">
        <v>3</v>
      </c>
      <c r="C8" s="23">
        <v>61833</v>
      </c>
      <c r="D8" s="26">
        <f t="shared" si="0"/>
        <v>185499</v>
      </c>
      <c r="E8" s="209">
        <v>3</v>
      </c>
      <c r="F8" s="24">
        <v>77324.85</v>
      </c>
      <c r="G8" s="26">
        <f>SUM(E8*F8)</f>
        <v>231974.55000000002</v>
      </c>
      <c r="H8" s="209">
        <v>3</v>
      </c>
      <c r="I8" s="25">
        <v>82337.891</v>
      </c>
      <c r="J8" s="26">
        <f>SUM(H8*I8)</f>
        <v>247013.673</v>
      </c>
      <c r="K8" s="209">
        <v>3</v>
      </c>
      <c r="L8" s="25">
        <v>87278.16446000001</v>
      </c>
      <c r="M8" s="26">
        <f>SUM(K8*L8)</f>
        <v>261834.49338000006</v>
      </c>
      <c r="N8" s="209">
        <v>3</v>
      </c>
      <c r="O8" s="24">
        <v>92514.85432760001</v>
      </c>
      <c r="P8" s="26">
        <f>SUM(N8*O8)</f>
        <v>277544.56298280007</v>
      </c>
      <c r="Q8" s="209">
        <v>3</v>
      </c>
      <c r="R8" s="24">
        <v>98065.74558725602</v>
      </c>
      <c r="S8" s="26">
        <f>SUM(Q8*R8)</f>
        <v>294197.23676176806</v>
      </c>
      <c r="T8" s="209">
        <v>3</v>
      </c>
      <c r="U8" s="24">
        <v>103949.6903224914</v>
      </c>
      <c r="V8" s="26">
        <f>SUM(T8*U8)</f>
        <v>311849.0709674742</v>
      </c>
      <c r="W8" s="339">
        <v>3</v>
      </c>
      <c r="X8" s="353">
        <v>110186.67174184088</v>
      </c>
      <c r="Y8" s="26">
        <f>SUM(W8*X8)</f>
        <v>330560.0152255226</v>
      </c>
      <c r="Z8" s="22"/>
      <c r="AA8" s="21"/>
      <c r="AB8" s="21"/>
    </row>
    <row r="9" spans="1:28" ht="12.75">
      <c r="A9" s="207" t="s">
        <v>50</v>
      </c>
      <c r="B9" s="208">
        <v>11</v>
      </c>
      <c r="C9" s="23">
        <v>57412</v>
      </c>
      <c r="D9" s="26">
        <f t="shared" si="0"/>
        <v>631532</v>
      </c>
      <c r="E9" s="209">
        <v>11</v>
      </c>
      <c r="F9" s="24">
        <v>71373.6</v>
      </c>
      <c r="G9" s="26">
        <f>SUM(E9*F9)</f>
        <v>785109.6000000001</v>
      </c>
      <c r="H9" s="209">
        <v>11</v>
      </c>
      <c r="I9" s="25">
        <v>76000.81599999999</v>
      </c>
      <c r="J9" s="26">
        <f>SUM(H9*I9)</f>
        <v>836008.9759999999</v>
      </c>
      <c r="K9" s="209">
        <v>11</v>
      </c>
      <c r="L9" s="25">
        <v>80560.86496</v>
      </c>
      <c r="M9" s="26">
        <f>SUM(K9*L9)</f>
        <v>886169.51456</v>
      </c>
      <c r="N9" s="209">
        <v>11</v>
      </c>
      <c r="O9" s="24">
        <v>85394.51685760001</v>
      </c>
      <c r="P9" s="26">
        <f>SUM(N9*O9)</f>
        <v>939339.6854336001</v>
      </c>
      <c r="Q9" s="209">
        <v>11</v>
      </c>
      <c r="R9" s="24">
        <v>90518.18786905601</v>
      </c>
      <c r="S9" s="26">
        <f>SUM(Q9*R9)</f>
        <v>995700.0665596161</v>
      </c>
      <c r="T9" s="209">
        <v>11</v>
      </c>
      <c r="U9" s="24">
        <v>95949.27914119938</v>
      </c>
      <c r="V9" s="26">
        <f>SUM(T9*U9)</f>
        <v>1055442.070553193</v>
      </c>
      <c r="W9" s="339">
        <v>11</v>
      </c>
      <c r="X9" s="353">
        <v>101706.23588967134</v>
      </c>
      <c r="Y9" s="26">
        <f>SUM(W9*X9)</f>
        <v>1118768.5947863848</v>
      </c>
      <c r="Z9" s="22"/>
      <c r="AA9" s="21"/>
      <c r="AB9" s="21"/>
    </row>
    <row r="10" spans="1:28" ht="13.5" thickBot="1">
      <c r="A10" s="213" t="s">
        <v>49</v>
      </c>
      <c r="B10" s="210">
        <v>11</v>
      </c>
      <c r="C10" s="55">
        <v>53248</v>
      </c>
      <c r="D10" s="195">
        <f t="shared" si="0"/>
        <v>585728</v>
      </c>
      <c r="E10" s="211">
        <v>11</v>
      </c>
      <c r="F10" s="300">
        <v>65215.35</v>
      </c>
      <c r="G10" s="195">
        <f>SUM(E10*F10)</f>
        <v>717368.85</v>
      </c>
      <c r="H10" s="211">
        <v>11</v>
      </c>
      <c r="I10" s="301">
        <v>69443.321</v>
      </c>
      <c r="J10" s="195">
        <f>SUM(H10*I10)</f>
        <v>763876.531</v>
      </c>
      <c r="K10" s="211">
        <v>11</v>
      </c>
      <c r="L10" s="301">
        <v>73609.92026</v>
      </c>
      <c r="M10" s="195">
        <f>SUM(K10*L10)</f>
        <v>809709.12286</v>
      </c>
      <c r="N10" s="211">
        <v>11</v>
      </c>
      <c r="O10" s="300">
        <v>78026.5154756</v>
      </c>
      <c r="P10" s="195">
        <f>SUM(N10*O10)</f>
        <v>858291.6702316</v>
      </c>
      <c r="Q10" s="211">
        <v>11</v>
      </c>
      <c r="R10" s="300">
        <v>82708.10640413601</v>
      </c>
      <c r="S10" s="195">
        <f>SUM(Q10*R10)</f>
        <v>909789.1704454961</v>
      </c>
      <c r="T10" s="211">
        <v>11</v>
      </c>
      <c r="U10" s="300">
        <v>87670.59278838418</v>
      </c>
      <c r="V10" s="195">
        <f>SUM(T10*U10)</f>
        <v>964376.520672226</v>
      </c>
      <c r="W10" s="340">
        <v>11</v>
      </c>
      <c r="X10" s="354">
        <v>92930.82835568723</v>
      </c>
      <c r="Y10" s="195">
        <f>SUM(W10*X10)</f>
        <v>1022239.1119125596</v>
      </c>
      <c r="Z10" s="21"/>
      <c r="AA10" s="21"/>
      <c r="AB10" s="21"/>
    </row>
    <row r="11" spans="1:28" ht="12.75">
      <c r="A11" s="302" t="s">
        <v>48</v>
      </c>
      <c r="B11" s="205">
        <v>154.31</v>
      </c>
      <c r="C11" s="296">
        <v>46743</v>
      </c>
      <c r="D11" s="297">
        <f t="shared" si="0"/>
        <v>7212912.33</v>
      </c>
      <c r="E11" s="206">
        <v>127</v>
      </c>
      <c r="F11" s="298">
        <v>57763.35</v>
      </c>
      <c r="G11" s="297">
        <f>SUM(E11*F11)</f>
        <v>7335945.45</v>
      </c>
      <c r="H11" s="206">
        <v>119</v>
      </c>
      <c r="I11" s="299">
        <v>61508.201</v>
      </c>
      <c r="J11" s="297">
        <f>SUM(H11*I11)</f>
        <v>7319475.919</v>
      </c>
      <c r="K11" s="206">
        <v>119</v>
      </c>
      <c r="L11" s="299">
        <v>65198.693060000005</v>
      </c>
      <c r="M11" s="297">
        <f>SUM(K11*L11)</f>
        <v>7758644.4741400005</v>
      </c>
      <c r="N11" s="206">
        <v>119</v>
      </c>
      <c r="O11" s="298">
        <v>69110.61464360001</v>
      </c>
      <c r="P11" s="297">
        <f>SUM(N11*O11)</f>
        <v>8224163.142588401</v>
      </c>
      <c r="Q11" s="206">
        <v>119</v>
      </c>
      <c r="R11" s="298">
        <v>73257.25152221601</v>
      </c>
      <c r="S11" s="297">
        <f>SUM(Q11*R11)</f>
        <v>8717612.931143705</v>
      </c>
      <c r="T11" s="206">
        <v>119</v>
      </c>
      <c r="U11" s="298">
        <v>77652.68661354897</v>
      </c>
      <c r="V11" s="297">
        <f>SUM(T11*U11)</f>
        <v>9240669.707012327</v>
      </c>
      <c r="W11" s="338">
        <v>119</v>
      </c>
      <c r="X11" s="352">
        <v>82311.84781036191</v>
      </c>
      <c r="Y11" s="297">
        <f>SUM(W11*X11)</f>
        <v>9795109.889433067</v>
      </c>
      <c r="Z11" s="21"/>
      <c r="AA11" s="21"/>
      <c r="AB11" s="21"/>
    </row>
    <row r="12" spans="1:28" ht="12.75">
      <c r="A12" s="212" t="s">
        <v>47</v>
      </c>
      <c r="B12" s="208">
        <v>362.25</v>
      </c>
      <c r="C12" s="23">
        <v>38100</v>
      </c>
      <c r="D12" s="26">
        <f t="shared" si="0"/>
        <v>13801725</v>
      </c>
      <c r="E12" s="209">
        <v>376</v>
      </c>
      <c r="F12" s="24">
        <v>52443.45</v>
      </c>
      <c r="G12" s="26">
        <f aca="true" t="shared" si="1" ref="G12:G29">SUM(E12*F12)</f>
        <v>19718737.2</v>
      </c>
      <c r="H12" s="209">
        <v>362</v>
      </c>
      <c r="I12" s="25">
        <v>55843.40700000001</v>
      </c>
      <c r="J12" s="26">
        <f aca="true" t="shared" si="2" ref="J12:J29">SUM(H12*I12)</f>
        <v>20215313.334000003</v>
      </c>
      <c r="K12" s="209">
        <v>362</v>
      </c>
      <c r="L12" s="25">
        <v>59194.01142000001</v>
      </c>
      <c r="M12" s="26">
        <f aca="true" t="shared" si="3" ref="M12:M29">SUM(K12*L12)</f>
        <v>21428232.13404</v>
      </c>
      <c r="N12" s="209">
        <v>362</v>
      </c>
      <c r="O12" s="24">
        <v>62745.65210520001</v>
      </c>
      <c r="P12" s="26">
        <f aca="true" t="shared" si="4" ref="P12:P29">SUM(N12*O12)</f>
        <v>22713926.062082402</v>
      </c>
      <c r="Q12" s="209">
        <v>362</v>
      </c>
      <c r="R12" s="24">
        <v>66510.39123151201</v>
      </c>
      <c r="S12" s="26">
        <f aca="true" t="shared" si="5" ref="S12:S29">SUM(Q12*R12)</f>
        <v>24076761.62580735</v>
      </c>
      <c r="T12" s="209">
        <v>362</v>
      </c>
      <c r="U12" s="24">
        <v>70501.01470540275</v>
      </c>
      <c r="V12" s="26">
        <f aca="true" t="shared" si="6" ref="V12:V29">SUM(T12*U12)</f>
        <v>25521367.323355794</v>
      </c>
      <c r="W12" s="339">
        <v>362</v>
      </c>
      <c r="X12" s="353">
        <v>74731.07558772691</v>
      </c>
      <c r="Y12" s="26">
        <f aca="true" t="shared" si="7" ref="Y12:Y29">SUM(W12*X12)</f>
        <v>27052649.362757143</v>
      </c>
      <c r="Z12" s="21"/>
      <c r="AA12" s="21"/>
      <c r="AB12" s="21"/>
    </row>
    <row r="13" spans="1:28" ht="12.75">
      <c r="A13" s="207" t="s">
        <v>46</v>
      </c>
      <c r="B13" s="208">
        <v>621.39</v>
      </c>
      <c r="C13" s="23">
        <v>32271</v>
      </c>
      <c r="D13" s="26">
        <f t="shared" si="0"/>
        <v>20052876.69</v>
      </c>
      <c r="E13" s="209">
        <v>654</v>
      </c>
      <c r="F13" s="24">
        <v>47320.2</v>
      </c>
      <c r="G13" s="26">
        <f t="shared" si="1"/>
        <v>30947410.799999997</v>
      </c>
      <c r="H13" s="209">
        <v>676</v>
      </c>
      <c r="I13" s="25">
        <v>50388.012</v>
      </c>
      <c r="J13" s="26">
        <f t="shared" si="2"/>
        <v>34062296.112</v>
      </c>
      <c r="K13" s="209">
        <v>676</v>
      </c>
      <c r="L13" s="25">
        <v>53411.292720000005</v>
      </c>
      <c r="M13" s="26">
        <f t="shared" si="3"/>
        <v>36106033.87872</v>
      </c>
      <c r="N13" s="209">
        <v>676</v>
      </c>
      <c r="O13" s="24">
        <v>56615.970283200004</v>
      </c>
      <c r="P13" s="26">
        <f t="shared" si="4"/>
        <v>38272395.9114432</v>
      </c>
      <c r="Q13" s="209">
        <v>676</v>
      </c>
      <c r="R13" s="24">
        <v>60012.92850019201</v>
      </c>
      <c r="S13" s="26">
        <f t="shared" si="5"/>
        <v>40568739.6661298</v>
      </c>
      <c r="T13" s="209">
        <v>676</v>
      </c>
      <c r="U13" s="24">
        <v>63613.704210203534</v>
      </c>
      <c r="V13" s="26">
        <f t="shared" si="6"/>
        <v>43002864.04609759</v>
      </c>
      <c r="W13" s="339">
        <v>676</v>
      </c>
      <c r="X13" s="353">
        <v>67430.52646281575</v>
      </c>
      <c r="Y13" s="26">
        <f t="shared" si="7"/>
        <v>45583035.888863444</v>
      </c>
      <c r="Z13" s="21"/>
      <c r="AA13" s="21"/>
      <c r="AB13" s="21"/>
    </row>
    <row r="14" spans="1:28" ht="12.75">
      <c r="A14" s="207" t="s">
        <v>45</v>
      </c>
      <c r="B14" s="208">
        <v>1250.48</v>
      </c>
      <c r="C14" s="23">
        <v>27673</v>
      </c>
      <c r="D14" s="26">
        <f t="shared" si="0"/>
        <v>34604533.04</v>
      </c>
      <c r="E14" s="209">
        <v>1173</v>
      </c>
      <c r="F14" s="24">
        <v>41244.75</v>
      </c>
      <c r="G14" s="26">
        <f t="shared" si="1"/>
        <v>48380091.75</v>
      </c>
      <c r="H14" s="209">
        <v>1173</v>
      </c>
      <c r="I14" s="25">
        <v>43918.685</v>
      </c>
      <c r="J14" s="26">
        <f t="shared" si="2"/>
        <v>51516617.504999995</v>
      </c>
      <c r="K14" s="209">
        <v>1173</v>
      </c>
      <c r="L14" s="25">
        <v>46553.8061</v>
      </c>
      <c r="M14" s="26">
        <f t="shared" si="3"/>
        <v>54607614.555300005</v>
      </c>
      <c r="N14" s="209">
        <v>1176</v>
      </c>
      <c r="O14" s="24">
        <v>49347.03446600001</v>
      </c>
      <c r="P14" s="26">
        <f t="shared" si="4"/>
        <v>58032112.53201602</v>
      </c>
      <c r="Q14" s="209">
        <v>1176</v>
      </c>
      <c r="R14" s="24">
        <v>52307.85653396001</v>
      </c>
      <c r="S14" s="26">
        <f t="shared" si="5"/>
        <v>61514039.28393697</v>
      </c>
      <c r="T14" s="209">
        <v>1175</v>
      </c>
      <c r="U14" s="24">
        <v>55446.32792599761</v>
      </c>
      <c r="V14" s="26">
        <f t="shared" si="6"/>
        <v>65149435.31304719</v>
      </c>
      <c r="W14" s="339">
        <v>1175</v>
      </c>
      <c r="X14" s="353">
        <v>58773.107601557465</v>
      </c>
      <c r="Y14" s="26">
        <f t="shared" si="7"/>
        <v>69058401.43183002</v>
      </c>
      <c r="Z14" s="21"/>
      <c r="AA14" s="21"/>
      <c r="AB14" s="21"/>
    </row>
    <row r="15" spans="1:28" ht="12.75">
      <c r="A15" s="212" t="s">
        <v>44</v>
      </c>
      <c r="B15" s="208">
        <v>829.46</v>
      </c>
      <c r="C15" s="23">
        <v>24504</v>
      </c>
      <c r="D15" s="26">
        <f t="shared" si="0"/>
        <v>20325087.84</v>
      </c>
      <c r="E15" s="209">
        <v>1002</v>
      </c>
      <c r="F15" s="24">
        <v>34465.5</v>
      </c>
      <c r="G15" s="26">
        <f t="shared" si="1"/>
        <v>34534431</v>
      </c>
      <c r="H15" s="209">
        <v>1109</v>
      </c>
      <c r="I15" s="25">
        <v>36699.93</v>
      </c>
      <c r="J15" s="26">
        <f t="shared" si="2"/>
        <v>40700222.37</v>
      </c>
      <c r="K15" s="209">
        <v>1108</v>
      </c>
      <c r="L15" s="25">
        <v>38901.9258</v>
      </c>
      <c r="M15" s="26">
        <f t="shared" si="3"/>
        <v>43103333.7864</v>
      </c>
      <c r="N15" s="209">
        <v>1108</v>
      </c>
      <c r="O15" s="24">
        <v>41236.041348</v>
      </c>
      <c r="P15" s="26">
        <f t="shared" si="4"/>
        <v>45689533.813584</v>
      </c>
      <c r="Q15" s="209">
        <v>1108</v>
      </c>
      <c r="R15" s="24">
        <v>43710.20382888001</v>
      </c>
      <c r="S15" s="26">
        <f t="shared" si="5"/>
        <v>48430905.84239905</v>
      </c>
      <c r="T15" s="209">
        <v>1106</v>
      </c>
      <c r="U15" s="24">
        <v>46332.81605861281</v>
      </c>
      <c r="V15" s="26">
        <f t="shared" si="6"/>
        <v>51244094.560825765</v>
      </c>
      <c r="W15" s="339">
        <v>1106</v>
      </c>
      <c r="X15" s="353">
        <v>49112.78502212958</v>
      </c>
      <c r="Y15" s="26">
        <f t="shared" si="7"/>
        <v>54318740.234475315</v>
      </c>
      <c r="Z15" s="21"/>
      <c r="AA15" s="21"/>
      <c r="AB15" s="21"/>
    </row>
    <row r="16" spans="1:28" ht="13.5" thickBot="1">
      <c r="A16" s="213" t="s">
        <v>43</v>
      </c>
      <c r="B16" s="210">
        <v>676.88</v>
      </c>
      <c r="C16" s="55">
        <v>22291</v>
      </c>
      <c r="D16" s="195">
        <f t="shared" si="0"/>
        <v>15088332.08</v>
      </c>
      <c r="E16" s="211">
        <v>717</v>
      </c>
      <c r="F16" s="300">
        <v>27800.1</v>
      </c>
      <c r="G16" s="195">
        <f t="shared" si="1"/>
        <v>19932671.7</v>
      </c>
      <c r="H16" s="211">
        <v>715</v>
      </c>
      <c r="I16" s="301">
        <v>29602.406000000003</v>
      </c>
      <c r="J16" s="195">
        <f t="shared" si="2"/>
        <v>21165720.290000003</v>
      </c>
      <c r="K16" s="211">
        <v>715</v>
      </c>
      <c r="L16" s="301">
        <v>31378.55036</v>
      </c>
      <c r="M16" s="195">
        <f t="shared" si="3"/>
        <v>22435663.507400002</v>
      </c>
      <c r="N16" s="211">
        <v>715</v>
      </c>
      <c r="O16" s="300">
        <v>33261.2633816</v>
      </c>
      <c r="P16" s="195">
        <f t="shared" si="4"/>
        <v>23781803.317844</v>
      </c>
      <c r="Q16" s="211">
        <v>715</v>
      </c>
      <c r="R16" s="300">
        <v>35256.939184496005</v>
      </c>
      <c r="S16" s="195">
        <f t="shared" si="5"/>
        <v>25208711.516914643</v>
      </c>
      <c r="T16" s="211">
        <v>714</v>
      </c>
      <c r="U16" s="300">
        <v>37372.35553556577</v>
      </c>
      <c r="V16" s="195">
        <f t="shared" si="6"/>
        <v>26683861.852393962</v>
      </c>
      <c r="W16" s="340">
        <v>714</v>
      </c>
      <c r="X16" s="354">
        <v>39614.69686769972</v>
      </c>
      <c r="Y16" s="195">
        <f t="shared" si="7"/>
        <v>28284893.5635376</v>
      </c>
      <c r="Z16" s="21"/>
      <c r="AA16" s="21"/>
      <c r="AB16" s="21"/>
    </row>
    <row r="17" spans="1:28" ht="12.75">
      <c r="A17" s="303" t="s">
        <v>42</v>
      </c>
      <c r="B17" s="205">
        <v>38.43</v>
      </c>
      <c r="C17" s="296">
        <v>25536</v>
      </c>
      <c r="D17" s="297">
        <f t="shared" si="0"/>
        <v>981348.48</v>
      </c>
      <c r="E17" s="206">
        <v>12</v>
      </c>
      <c r="F17" s="298">
        <v>40468.5</v>
      </c>
      <c r="G17" s="297">
        <f t="shared" si="1"/>
        <v>485622</v>
      </c>
      <c r="H17" s="206">
        <v>13</v>
      </c>
      <c r="I17" s="299">
        <v>43092.11</v>
      </c>
      <c r="J17" s="297">
        <f t="shared" si="2"/>
        <v>560197.43</v>
      </c>
      <c r="K17" s="206">
        <v>13</v>
      </c>
      <c r="L17" s="299">
        <v>45677.6366</v>
      </c>
      <c r="M17" s="297">
        <f t="shared" si="3"/>
        <v>593809.2758</v>
      </c>
      <c r="N17" s="206">
        <v>13</v>
      </c>
      <c r="O17" s="298">
        <v>48418.294796</v>
      </c>
      <c r="P17" s="297">
        <f t="shared" si="4"/>
        <v>629437.832348</v>
      </c>
      <c r="Q17" s="206">
        <v>13</v>
      </c>
      <c r="R17" s="298">
        <v>51323.392483760006</v>
      </c>
      <c r="S17" s="297">
        <f t="shared" si="5"/>
        <v>667204.10228888</v>
      </c>
      <c r="T17" s="206">
        <v>13</v>
      </c>
      <c r="U17" s="298">
        <v>54402.796032785605</v>
      </c>
      <c r="V17" s="297">
        <f t="shared" si="6"/>
        <v>707236.3484262129</v>
      </c>
      <c r="W17" s="338">
        <v>13</v>
      </c>
      <c r="X17" s="352">
        <v>57666.963794752744</v>
      </c>
      <c r="Y17" s="297">
        <f t="shared" si="7"/>
        <v>749670.5293317856</v>
      </c>
      <c r="Z17" s="21"/>
      <c r="AA17" s="21"/>
      <c r="AB17" s="21"/>
    </row>
    <row r="18" spans="1:28" ht="12.75">
      <c r="A18" s="207" t="s">
        <v>41</v>
      </c>
      <c r="B18" s="208">
        <v>155.81</v>
      </c>
      <c r="C18" s="23">
        <v>23434</v>
      </c>
      <c r="D18" s="26">
        <f t="shared" si="0"/>
        <v>3651251.54</v>
      </c>
      <c r="E18" s="209">
        <v>119</v>
      </c>
      <c r="F18" s="24">
        <v>34713.9</v>
      </c>
      <c r="G18" s="26">
        <f t="shared" si="1"/>
        <v>4130954.1</v>
      </c>
      <c r="H18" s="209">
        <v>110</v>
      </c>
      <c r="I18" s="25">
        <v>36964.43400000001</v>
      </c>
      <c r="J18" s="26">
        <f t="shared" si="2"/>
        <v>4066087.740000001</v>
      </c>
      <c r="K18" s="209">
        <v>107</v>
      </c>
      <c r="L18" s="25">
        <v>39182.30004000001</v>
      </c>
      <c r="M18" s="26">
        <f t="shared" si="3"/>
        <v>4192506.104280001</v>
      </c>
      <c r="N18" s="209">
        <v>107</v>
      </c>
      <c r="O18" s="24">
        <v>41533.238042400015</v>
      </c>
      <c r="P18" s="26">
        <f t="shared" si="4"/>
        <v>4444056.470536802</v>
      </c>
      <c r="Q18" s="209">
        <v>107</v>
      </c>
      <c r="R18" s="24">
        <v>44025.23232494402</v>
      </c>
      <c r="S18" s="26">
        <f t="shared" si="5"/>
        <v>4710699.858769011</v>
      </c>
      <c r="T18" s="209">
        <v>107</v>
      </c>
      <c r="U18" s="24">
        <v>46666.74626444066</v>
      </c>
      <c r="V18" s="26">
        <f t="shared" si="6"/>
        <v>4993341.850295151</v>
      </c>
      <c r="W18" s="339">
        <v>107</v>
      </c>
      <c r="X18" s="353">
        <v>49466.75104030711</v>
      </c>
      <c r="Y18" s="26">
        <f t="shared" si="7"/>
        <v>5292942.361312861</v>
      </c>
      <c r="Z18" s="21"/>
      <c r="AA18" s="21"/>
      <c r="AB18" s="21"/>
    </row>
    <row r="19" spans="1:28" ht="13.5" thickBot="1">
      <c r="A19" s="304" t="s">
        <v>40</v>
      </c>
      <c r="B19" s="210">
        <v>304.8</v>
      </c>
      <c r="C19" s="55">
        <v>21915</v>
      </c>
      <c r="D19" s="195">
        <f t="shared" si="0"/>
        <v>6679692</v>
      </c>
      <c r="E19" s="211">
        <v>204</v>
      </c>
      <c r="F19" s="300">
        <v>30201.3</v>
      </c>
      <c r="G19" s="195">
        <f t="shared" si="1"/>
        <v>6161065.2</v>
      </c>
      <c r="H19" s="211">
        <v>197</v>
      </c>
      <c r="I19" s="301">
        <v>32159.278000000006</v>
      </c>
      <c r="J19" s="195">
        <f t="shared" si="2"/>
        <v>6335377.766000001</v>
      </c>
      <c r="K19" s="211">
        <v>197</v>
      </c>
      <c r="L19" s="301">
        <v>34088.83468000001</v>
      </c>
      <c r="M19" s="195">
        <f t="shared" si="3"/>
        <v>6715500.431960002</v>
      </c>
      <c r="N19" s="211">
        <v>198</v>
      </c>
      <c r="O19" s="300">
        <v>36134.164760800006</v>
      </c>
      <c r="P19" s="195">
        <f t="shared" si="4"/>
        <v>7154564.622638402</v>
      </c>
      <c r="Q19" s="211">
        <v>198</v>
      </c>
      <c r="R19" s="300">
        <v>38302.21464644801</v>
      </c>
      <c r="S19" s="195">
        <f t="shared" si="5"/>
        <v>7583838.499996706</v>
      </c>
      <c r="T19" s="211">
        <v>198</v>
      </c>
      <c r="U19" s="300">
        <v>40600.34752523489</v>
      </c>
      <c r="V19" s="195">
        <f t="shared" si="6"/>
        <v>8038868.809996508</v>
      </c>
      <c r="W19" s="340">
        <v>198</v>
      </c>
      <c r="X19" s="354">
        <v>43036.368376748986</v>
      </c>
      <c r="Y19" s="195">
        <f t="shared" si="7"/>
        <v>8521200.938596299</v>
      </c>
      <c r="Z19" s="21"/>
      <c r="AA19" s="21"/>
      <c r="AB19" s="21"/>
    </row>
    <row r="20" spans="1:28" ht="12.75">
      <c r="A20" s="303" t="s">
        <v>39</v>
      </c>
      <c r="B20" s="205">
        <v>50.14</v>
      </c>
      <c r="C20" s="296">
        <v>22047</v>
      </c>
      <c r="D20" s="297">
        <f t="shared" si="0"/>
        <v>1105436.58</v>
      </c>
      <c r="E20" s="206">
        <v>50</v>
      </c>
      <c r="F20" s="298">
        <v>36400.95</v>
      </c>
      <c r="G20" s="297">
        <f t="shared" si="1"/>
        <v>1820047.4999999998</v>
      </c>
      <c r="H20" s="206">
        <v>50</v>
      </c>
      <c r="I20" s="299">
        <v>38760.857</v>
      </c>
      <c r="J20" s="297">
        <f t="shared" si="2"/>
        <v>1938042.85</v>
      </c>
      <c r="K20" s="206">
        <v>50</v>
      </c>
      <c r="L20" s="299">
        <v>41086.508420000006</v>
      </c>
      <c r="M20" s="297">
        <f t="shared" si="3"/>
        <v>2054325.4210000003</v>
      </c>
      <c r="N20" s="206">
        <v>50</v>
      </c>
      <c r="O20" s="298">
        <v>43551.698925200006</v>
      </c>
      <c r="P20" s="297">
        <f t="shared" si="4"/>
        <v>2177584.94626</v>
      </c>
      <c r="Q20" s="206">
        <v>50</v>
      </c>
      <c r="R20" s="298">
        <v>46164.80086071201</v>
      </c>
      <c r="S20" s="297">
        <f t="shared" si="5"/>
        <v>2308240.0430356003</v>
      </c>
      <c r="T20" s="206">
        <v>50</v>
      </c>
      <c r="U20" s="298">
        <v>48934.68891235473</v>
      </c>
      <c r="V20" s="297">
        <f t="shared" si="6"/>
        <v>2446734.4456177363</v>
      </c>
      <c r="W20" s="338">
        <v>50</v>
      </c>
      <c r="X20" s="352">
        <v>51870.77024709602</v>
      </c>
      <c r="Y20" s="297">
        <f t="shared" si="7"/>
        <v>2593538.512354801</v>
      </c>
      <c r="Z20" s="21"/>
      <c r="AA20" s="21"/>
      <c r="AB20" s="21"/>
    </row>
    <row r="21" spans="1:28" ht="12.75">
      <c r="A21" s="212" t="s">
        <v>38</v>
      </c>
      <c r="B21" s="208">
        <v>986.31</v>
      </c>
      <c r="C21" s="23">
        <v>19895</v>
      </c>
      <c r="D21" s="26">
        <f t="shared" si="0"/>
        <v>19622637.45</v>
      </c>
      <c r="E21" s="209">
        <v>722</v>
      </c>
      <c r="F21" s="24">
        <v>32985.45</v>
      </c>
      <c r="G21" s="26">
        <f t="shared" si="1"/>
        <v>23815494.9</v>
      </c>
      <c r="H21" s="209">
        <v>693</v>
      </c>
      <c r="I21" s="25">
        <v>35123.927</v>
      </c>
      <c r="J21" s="26">
        <f t="shared" si="2"/>
        <v>24340881.411000002</v>
      </c>
      <c r="K21" s="209">
        <v>693</v>
      </c>
      <c r="L21" s="25">
        <v>37231.36262000001</v>
      </c>
      <c r="M21" s="26">
        <f t="shared" si="3"/>
        <v>25801334.295660004</v>
      </c>
      <c r="N21" s="209">
        <v>693</v>
      </c>
      <c r="O21" s="24">
        <v>39465.24437720001</v>
      </c>
      <c r="P21" s="26">
        <f t="shared" si="4"/>
        <v>27349414.35339961</v>
      </c>
      <c r="Q21" s="209">
        <v>693</v>
      </c>
      <c r="R21" s="24">
        <v>41833.15903983201</v>
      </c>
      <c r="S21" s="26">
        <f t="shared" si="5"/>
        <v>28990379.214603584</v>
      </c>
      <c r="T21" s="209">
        <v>693</v>
      </c>
      <c r="U21" s="24">
        <v>44343.14858222194</v>
      </c>
      <c r="V21" s="26">
        <f t="shared" si="6"/>
        <v>30729801.967479803</v>
      </c>
      <c r="W21" s="339">
        <v>693</v>
      </c>
      <c r="X21" s="353">
        <v>47003.73749715525</v>
      </c>
      <c r="Y21" s="26">
        <f t="shared" si="7"/>
        <v>32573590.085528586</v>
      </c>
      <c r="Z21" s="21"/>
      <c r="AA21" s="21"/>
      <c r="AB21" s="21"/>
    </row>
    <row r="22" spans="1:28" ht="12.75">
      <c r="A22" s="207" t="s">
        <v>37</v>
      </c>
      <c r="B22" s="208">
        <v>844.54</v>
      </c>
      <c r="C22" s="23">
        <v>19367</v>
      </c>
      <c r="D22" s="26">
        <f t="shared" si="0"/>
        <v>16356206.18</v>
      </c>
      <c r="E22" s="209">
        <v>1126</v>
      </c>
      <c r="F22" s="24">
        <v>29321.55</v>
      </c>
      <c r="G22" s="26">
        <f t="shared" si="1"/>
        <v>33016065.3</v>
      </c>
      <c r="H22" s="209">
        <v>1251</v>
      </c>
      <c r="I22" s="25">
        <v>31222.493000000002</v>
      </c>
      <c r="J22" s="26">
        <f t="shared" si="2"/>
        <v>39059338.743</v>
      </c>
      <c r="K22" s="209">
        <v>1280</v>
      </c>
      <c r="L22" s="25">
        <v>33095.842580000004</v>
      </c>
      <c r="M22" s="26">
        <f t="shared" si="3"/>
        <v>42362678.5024</v>
      </c>
      <c r="N22" s="209">
        <v>1280</v>
      </c>
      <c r="O22" s="24">
        <v>35081.5931348</v>
      </c>
      <c r="P22" s="26">
        <f t="shared" si="4"/>
        <v>44904439.212544</v>
      </c>
      <c r="Q22" s="209">
        <v>1280</v>
      </c>
      <c r="R22" s="24">
        <v>37186.48872288801</v>
      </c>
      <c r="S22" s="26">
        <f t="shared" si="5"/>
        <v>47598705.56529665</v>
      </c>
      <c r="T22" s="209">
        <v>1280</v>
      </c>
      <c r="U22" s="24">
        <v>39417.67804626129</v>
      </c>
      <c r="V22" s="26">
        <f t="shared" si="6"/>
        <v>50454627.89921445</v>
      </c>
      <c r="W22" s="339">
        <v>1280</v>
      </c>
      <c r="X22" s="353">
        <v>41782.738729036966</v>
      </c>
      <c r="Y22" s="26">
        <f t="shared" si="7"/>
        <v>53481905.57316732</v>
      </c>
      <c r="Z22" s="21"/>
      <c r="AA22" s="21"/>
      <c r="AB22" s="21"/>
    </row>
    <row r="23" spans="1:28" ht="12.75">
      <c r="A23" s="207" t="s">
        <v>36</v>
      </c>
      <c r="B23" s="208">
        <v>1645.2</v>
      </c>
      <c r="C23" s="23">
        <v>17765</v>
      </c>
      <c r="D23" s="26">
        <f t="shared" si="0"/>
        <v>29226978</v>
      </c>
      <c r="E23" s="209">
        <v>1894</v>
      </c>
      <c r="F23" s="24">
        <v>25916.4</v>
      </c>
      <c r="G23" s="26">
        <f t="shared" si="1"/>
        <v>49085661.6</v>
      </c>
      <c r="H23" s="209">
        <v>2318</v>
      </c>
      <c r="I23" s="25">
        <v>27596.584000000003</v>
      </c>
      <c r="J23" s="26">
        <f t="shared" si="2"/>
        <v>63968881.712000005</v>
      </c>
      <c r="K23" s="209">
        <v>2318</v>
      </c>
      <c r="L23" s="25">
        <v>29252.379040000007</v>
      </c>
      <c r="M23" s="26">
        <f t="shared" si="3"/>
        <v>67807014.61472002</v>
      </c>
      <c r="N23" s="209">
        <v>2298</v>
      </c>
      <c r="O23" s="24">
        <v>31007.52178240001</v>
      </c>
      <c r="P23" s="26">
        <f t="shared" si="4"/>
        <v>71255285.05595522</v>
      </c>
      <c r="Q23" s="209">
        <v>2298</v>
      </c>
      <c r="R23" s="24">
        <v>32867.973089344014</v>
      </c>
      <c r="S23" s="26">
        <f t="shared" si="5"/>
        <v>75530602.15931255</v>
      </c>
      <c r="T23" s="209">
        <v>2295</v>
      </c>
      <c r="U23" s="24">
        <v>34840.051474704655</v>
      </c>
      <c r="V23" s="26">
        <f t="shared" si="6"/>
        <v>79957918.13444719</v>
      </c>
      <c r="W23" s="339">
        <v>2295</v>
      </c>
      <c r="X23" s="353">
        <v>36930.45456318694</v>
      </c>
      <c r="Y23" s="26">
        <f t="shared" si="7"/>
        <v>84755393.22251403</v>
      </c>
      <c r="Z23" s="21"/>
      <c r="AA23" s="21"/>
      <c r="AB23" s="21"/>
    </row>
    <row r="24" spans="1:28" ht="13.5" thickBot="1">
      <c r="A24" s="213" t="s">
        <v>35</v>
      </c>
      <c r="B24" s="210">
        <v>1682.36</v>
      </c>
      <c r="C24" s="55">
        <v>16503</v>
      </c>
      <c r="D24" s="195">
        <f t="shared" si="0"/>
        <v>27763987.08</v>
      </c>
      <c r="E24" s="211">
        <v>999</v>
      </c>
      <c r="F24" s="300">
        <v>22397.4</v>
      </c>
      <c r="G24" s="195">
        <f t="shared" si="1"/>
        <v>22375002.6</v>
      </c>
      <c r="H24" s="211">
        <v>1108</v>
      </c>
      <c r="I24" s="301">
        <v>23849.444000000003</v>
      </c>
      <c r="J24" s="195">
        <f t="shared" si="2"/>
        <v>26425183.952000003</v>
      </c>
      <c r="K24" s="211">
        <v>1110</v>
      </c>
      <c r="L24" s="301">
        <v>25280.410640000002</v>
      </c>
      <c r="M24" s="195">
        <f t="shared" si="3"/>
        <v>28061255.8104</v>
      </c>
      <c r="N24" s="211">
        <v>1110</v>
      </c>
      <c r="O24" s="300">
        <v>26797.235278400003</v>
      </c>
      <c r="P24" s="195">
        <f t="shared" si="4"/>
        <v>29744931.159024004</v>
      </c>
      <c r="Q24" s="211">
        <v>1110</v>
      </c>
      <c r="R24" s="300">
        <v>28405.06939510401</v>
      </c>
      <c r="S24" s="195">
        <f t="shared" si="5"/>
        <v>31529627.028565448</v>
      </c>
      <c r="T24" s="211">
        <v>1110</v>
      </c>
      <c r="U24" s="300">
        <v>30109.37355881025</v>
      </c>
      <c r="V24" s="195">
        <f t="shared" si="6"/>
        <v>33421404.650279377</v>
      </c>
      <c r="W24" s="340">
        <v>1110</v>
      </c>
      <c r="X24" s="354">
        <v>31915.935972338866</v>
      </c>
      <c r="Y24" s="195">
        <f t="shared" si="7"/>
        <v>35426688.92929614</v>
      </c>
      <c r="Z24" s="21"/>
      <c r="AA24" s="21"/>
      <c r="AB24" s="21"/>
    </row>
    <row r="25" spans="1:28" ht="12.75">
      <c r="A25" s="302" t="s">
        <v>34</v>
      </c>
      <c r="B25" s="205">
        <v>1982.78</v>
      </c>
      <c r="C25" s="296">
        <v>15605</v>
      </c>
      <c r="D25" s="297">
        <f t="shared" si="0"/>
        <v>30941281.9</v>
      </c>
      <c r="E25" s="206">
        <v>1449</v>
      </c>
      <c r="F25" s="298">
        <v>20223.9</v>
      </c>
      <c r="G25" s="297">
        <f t="shared" si="1"/>
        <v>29304431.1</v>
      </c>
      <c r="H25" s="206">
        <v>1641</v>
      </c>
      <c r="I25" s="299">
        <v>21535.034000000003</v>
      </c>
      <c r="J25" s="297">
        <f t="shared" si="2"/>
        <v>35338990.79400001</v>
      </c>
      <c r="K25" s="206">
        <v>1641</v>
      </c>
      <c r="L25" s="299">
        <v>22827.136040000005</v>
      </c>
      <c r="M25" s="297">
        <f t="shared" si="3"/>
        <v>37459330.24164001</v>
      </c>
      <c r="N25" s="206">
        <v>1641</v>
      </c>
      <c r="O25" s="298">
        <v>24196.76420240001</v>
      </c>
      <c r="P25" s="297">
        <f t="shared" si="4"/>
        <v>39706890.05613841</v>
      </c>
      <c r="Q25" s="206">
        <v>1641</v>
      </c>
      <c r="R25" s="298">
        <v>25648.57005454401</v>
      </c>
      <c r="S25" s="297">
        <f t="shared" si="5"/>
        <v>42089303.45950672</v>
      </c>
      <c r="T25" s="206">
        <v>1639</v>
      </c>
      <c r="U25" s="298">
        <v>27187.48425781665</v>
      </c>
      <c r="V25" s="297">
        <f t="shared" si="6"/>
        <v>44560286.69856149</v>
      </c>
      <c r="W25" s="338">
        <v>1639</v>
      </c>
      <c r="X25" s="352">
        <v>28818.73331328565</v>
      </c>
      <c r="Y25" s="297">
        <f t="shared" si="7"/>
        <v>47233903.90047518</v>
      </c>
      <c r="Z25" s="21"/>
      <c r="AA25" s="21"/>
      <c r="AB25" s="21"/>
    </row>
    <row r="26" spans="1:28" ht="12.75">
      <c r="A26" s="207" t="s">
        <v>33</v>
      </c>
      <c r="B26" s="208">
        <v>1996.77</v>
      </c>
      <c r="C26" s="23">
        <v>15001</v>
      </c>
      <c r="D26" s="26">
        <f t="shared" si="0"/>
        <v>29953546.77</v>
      </c>
      <c r="E26" s="209">
        <v>2749</v>
      </c>
      <c r="F26" s="24">
        <v>18309.15</v>
      </c>
      <c r="G26" s="26">
        <f t="shared" si="1"/>
        <v>50331853.35</v>
      </c>
      <c r="H26" s="209">
        <v>3314</v>
      </c>
      <c r="I26" s="25">
        <v>19496.149000000005</v>
      </c>
      <c r="J26" s="26">
        <f t="shared" si="2"/>
        <v>64610237.78600001</v>
      </c>
      <c r="K26" s="209">
        <v>3268</v>
      </c>
      <c r="L26" s="25">
        <v>20665.917940000003</v>
      </c>
      <c r="M26" s="26">
        <f t="shared" si="3"/>
        <v>67536219.82792</v>
      </c>
      <c r="N26" s="209">
        <v>3268</v>
      </c>
      <c r="O26" s="24">
        <v>21905.8730164</v>
      </c>
      <c r="P26" s="26">
        <f t="shared" si="4"/>
        <v>71588393.0175952</v>
      </c>
      <c r="Q26" s="209">
        <v>3268</v>
      </c>
      <c r="R26" s="24">
        <v>23220.225397384005</v>
      </c>
      <c r="S26" s="26">
        <f t="shared" si="5"/>
        <v>75883696.59865093</v>
      </c>
      <c r="T26" s="209">
        <v>3268</v>
      </c>
      <c r="U26" s="24">
        <v>24613.438921227047</v>
      </c>
      <c r="V26" s="26">
        <f t="shared" si="6"/>
        <v>80436718.39457</v>
      </c>
      <c r="W26" s="339">
        <v>3268</v>
      </c>
      <c r="X26" s="353">
        <v>26090.245256500668</v>
      </c>
      <c r="Y26" s="26">
        <f t="shared" si="7"/>
        <v>85262921.49824418</v>
      </c>
      <c r="Z26" s="21"/>
      <c r="AA26" s="21"/>
      <c r="AB26" s="21"/>
    </row>
    <row r="27" spans="1:28" ht="13.5" thickBot="1">
      <c r="A27" s="207" t="s">
        <v>32</v>
      </c>
      <c r="B27" s="263">
        <v>1785.31</v>
      </c>
      <c r="C27" s="23">
        <v>16196</v>
      </c>
      <c r="D27" s="26">
        <f t="shared" si="0"/>
        <v>28914880.759999998</v>
      </c>
      <c r="E27" s="209">
        <v>1948</v>
      </c>
      <c r="F27" s="24">
        <v>17036.1</v>
      </c>
      <c r="G27" s="26">
        <f t="shared" si="1"/>
        <v>33186322.799999997</v>
      </c>
      <c r="H27" s="209">
        <v>2326</v>
      </c>
      <c r="I27" s="25">
        <v>18140.566</v>
      </c>
      <c r="J27" s="26">
        <f t="shared" si="2"/>
        <v>42194956.515999995</v>
      </c>
      <c r="K27" s="209">
        <v>2338</v>
      </c>
      <c r="L27" s="25">
        <v>19228.99996</v>
      </c>
      <c r="M27" s="26">
        <f t="shared" si="3"/>
        <v>44957401.90648</v>
      </c>
      <c r="N27" s="209">
        <v>2338</v>
      </c>
      <c r="O27" s="24">
        <v>20382.739957600003</v>
      </c>
      <c r="P27" s="26">
        <f t="shared" si="4"/>
        <v>47654846.02086881</v>
      </c>
      <c r="Q27" s="209">
        <v>2338</v>
      </c>
      <c r="R27" s="24">
        <v>21605.704355056005</v>
      </c>
      <c r="S27" s="26">
        <f t="shared" si="5"/>
        <v>50514136.782120936</v>
      </c>
      <c r="T27" s="209">
        <v>2338</v>
      </c>
      <c r="U27" s="24">
        <v>22902.046616359366</v>
      </c>
      <c r="V27" s="26">
        <f t="shared" si="6"/>
        <v>53544984.9890482</v>
      </c>
      <c r="W27" s="339">
        <v>2338</v>
      </c>
      <c r="X27" s="353">
        <v>24276.16941334093</v>
      </c>
      <c r="Y27" s="26">
        <f t="shared" si="7"/>
        <v>56757684.088391095</v>
      </c>
      <c r="Z27" s="21"/>
      <c r="AA27" s="21"/>
      <c r="AB27" s="21"/>
    </row>
    <row r="28" spans="1:28" ht="13.5" thickBot="1">
      <c r="A28" s="213" t="s">
        <v>31</v>
      </c>
      <c r="B28" s="214">
        <v>0</v>
      </c>
      <c r="C28" s="55">
        <v>13334</v>
      </c>
      <c r="D28" s="195">
        <f t="shared" si="0"/>
        <v>0</v>
      </c>
      <c r="E28" s="211">
        <v>250</v>
      </c>
      <c r="F28" s="300">
        <v>6680</v>
      </c>
      <c r="G28" s="195">
        <f t="shared" si="1"/>
        <v>1670000</v>
      </c>
      <c r="H28" s="211">
        <v>550</v>
      </c>
      <c r="I28" s="301">
        <v>6880.4</v>
      </c>
      <c r="J28" s="195">
        <f t="shared" si="2"/>
        <v>3784220</v>
      </c>
      <c r="K28" s="211">
        <v>300</v>
      </c>
      <c r="L28" s="301">
        <v>7293.224</v>
      </c>
      <c r="M28" s="195">
        <f t="shared" si="3"/>
        <v>2187967.2</v>
      </c>
      <c r="N28" s="211">
        <v>145</v>
      </c>
      <c r="O28" s="300">
        <v>7730.817440000001</v>
      </c>
      <c r="P28" s="195">
        <f t="shared" si="4"/>
        <v>1120968.5288000002</v>
      </c>
      <c r="Q28" s="211">
        <v>125</v>
      </c>
      <c r="R28" s="300">
        <v>8194.666486400001</v>
      </c>
      <c r="S28" s="195">
        <f t="shared" si="5"/>
        <v>1024333.3108000002</v>
      </c>
      <c r="T28" s="211">
        <v>160</v>
      </c>
      <c r="U28" s="300">
        <v>8686.346475584</v>
      </c>
      <c r="V28" s="195">
        <f t="shared" si="6"/>
        <v>1389815.4360934398</v>
      </c>
      <c r="W28" s="340">
        <v>160</v>
      </c>
      <c r="X28" s="354">
        <v>9207.52726411904</v>
      </c>
      <c r="Y28" s="195">
        <f t="shared" si="7"/>
        <v>1473204.3622590464</v>
      </c>
      <c r="Z28" s="21"/>
      <c r="AA28" s="21"/>
      <c r="AB28" s="21"/>
    </row>
    <row r="29" spans="1:28" ht="13.5" thickBot="1">
      <c r="A29" s="305" t="s">
        <v>109</v>
      </c>
      <c r="B29" s="306">
        <v>0</v>
      </c>
      <c r="C29" s="307">
        <f>SUM(C32)</f>
        <v>23478.04685164728</v>
      </c>
      <c r="D29" s="308">
        <f t="shared" si="0"/>
        <v>0</v>
      </c>
      <c r="E29" s="309">
        <v>460</v>
      </c>
      <c r="F29" s="307">
        <f>SUM(F32)</f>
        <v>26226.743076747418</v>
      </c>
      <c r="G29" s="308">
        <f t="shared" si="1"/>
        <v>12064301.815303812</v>
      </c>
      <c r="H29" s="309">
        <v>410</v>
      </c>
      <c r="I29" s="307">
        <f>SUM(I32)</f>
        <v>27110.791659783787</v>
      </c>
      <c r="J29" s="308">
        <f t="shared" si="2"/>
        <v>11115424.580511352</v>
      </c>
      <c r="K29" s="309">
        <v>550</v>
      </c>
      <c r="L29" s="307">
        <f>SUM(L32)</f>
        <v>28886.742693785563</v>
      </c>
      <c r="M29" s="308">
        <f t="shared" si="3"/>
        <v>15887708.48158206</v>
      </c>
      <c r="N29" s="309">
        <v>560</v>
      </c>
      <c r="O29" s="307">
        <f>SUM(O32)</f>
        <v>30808.554749389554</v>
      </c>
      <c r="P29" s="308">
        <f t="shared" si="4"/>
        <v>17252790.65965815</v>
      </c>
      <c r="Q29" s="309">
        <v>570</v>
      </c>
      <c r="R29" s="307">
        <f>SUM(R32)</f>
        <v>32670.75482571477</v>
      </c>
      <c r="S29" s="308">
        <f t="shared" si="5"/>
        <v>18622330.250657417</v>
      </c>
      <c r="T29" s="309">
        <v>570</v>
      </c>
      <c r="U29" s="307">
        <f>SUM(U32)</f>
        <v>34578.44056930555</v>
      </c>
      <c r="V29" s="308">
        <f t="shared" si="6"/>
        <v>19709711.124504164</v>
      </c>
      <c r="W29" s="341">
        <v>570</v>
      </c>
      <c r="X29" s="355">
        <f>SUM(X32)</f>
        <v>36653.14700076354</v>
      </c>
      <c r="Y29" s="308">
        <f t="shared" si="7"/>
        <v>20892293.79043522</v>
      </c>
      <c r="Z29" s="21"/>
      <c r="AA29" s="21"/>
      <c r="AB29" s="21"/>
    </row>
    <row r="30" spans="1:28" ht="13.5" thickBot="1">
      <c r="A30" s="256" t="s">
        <v>110</v>
      </c>
      <c r="B30" s="264">
        <f>SUM(B7:B29)</f>
        <v>15393.220000000001</v>
      </c>
      <c r="C30" s="260">
        <v>15389</v>
      </c>
      <c r="D30" s="271">
        <f>SUM(D7:D29)</f>
        <v>307749617.72</v>
      </c>
      <c r="E30" s="264">
        <f>SUM(E7:E29)</f>
        <v>16057</v>
      </c>
      <c r="F30" s="260">
        <v>16057</v>
      </c>
      <c r="G30" s="271">
        <f>SUM(G7:G29)</f>
        <v>430114315.3653039</v>
      </c>
      <c r="H30" s="264">
        <f>SUM(H7:H29)</f>
        <v>18161</v>
      </c>
      <c r="I30" s="260">
        <v>18161</v>
      </c>
      <c r="J30" s="271">
        <f>SUM(J7:J29)</f>
        <v>500653547.9225114</v>
      </c>
      <c r="K30" s="264">
        <f>SUM(K7:K29)</f>
        <v>18044</v>
      </c>
      <c r="L30" s="260">
        <v>18044</v>
      </c>
      <c r="M30" s="271">
        <f>SUM(M7:M29)</f>
        <v>533108820.42856216</v>
      </c>
      <c r="N30" s="264">
        <f>SUM(N7:N29)</f>
        <v>17883</v>
      </c>
      <c r="O30" s="260">
        <v>17883</v>
      </c>
      <c r="P30" s="271">
        <f>SUM(P7:P29)</f>
        <v>563872917.4527678</v>
      </c>
      <c r="Q30" s="264">
        <f>SUM(Q7:Q29)</f>
        <v>17873</v>
      </c>
      <c r="R30" s="260">
        <v>17873</v>
      </c>
      <c r="S30" s="271">
        <f>SUM(S7:S29)</f>
        <v>597875771.3216257</v>
      </c>
      <c r="T30" s="264">
        <f>SUM(T7:T29)</f>
        <v>17899</v>
      </c>
      <c r="U30" s="260">
        <v>17899</v>
      </c>
      <c r="V30" s="271">
        <f>SUM(V7:V29)</f>
        <v>633678001.3478577</v>
      </c>
      <c r="W30" s="342">
        <f>SUM(W7:W29)</f>
        <v>17899</v>
      </c>
      <c r="X30" s="356">
        <v>17899</v>
      </c>
      <c r="Y30" s="255">
        <f>SUM(Y7:Y29)</f>
        <v>671698681.4271897</v>
      </c>
      <c r="Z30" s="21"/>
      <c r="AA30" s="21"/>
      <c r="AB30" s="21"/>
    </row>
    <row r="31" spans="1:28" ht="22.5">
      <c r="A31" s="257" t="s">
        <v>111</v>
      </c>
      <c r="B31" s="265"/>
      <c r="C31" s="261">
        <v>4335643956</v>
      </c>
      <c r="D31" s="272">
        <f>SUM(D30*12)</f>
        <v>3692995412.6400003</v>
      </c>
      <c r="E31" s="265"/>
      <c r="F31" s="276">
        <v>5053473763</v>
      </c>
      <c r="G31" s="272">
        <f>SUM(G30*12)</f>
        <v>5161371784.383646</v>
      </c>
      <c r="H31" s="265"/>
      <c r="I31" s="276">
        <v>5908309048</v>
      </c>
      <c r="J31" s="272">
        <f>SUM(J30*12)</f>
        <v>6007842575.070137</v>
      </c>
      <c r="K31" s="265"/>
      <c r="L31" s="276">
        <v>6254788622</v>
      </c>
      <c r="M31" s="272">
        <f>SUM(M30*12)</f>
        <v>6397305845.142746</v>
      </c>
      <c r="N31" s="265"/>
      <c r="O31" s="276">
        <v>6611392615</v>
      </c>
      <c r="P31" s="272">
        <f>SUM(P30*12)</f>
        <v>6766475009.433214</v>
      </c>
      <c r="Q31" s="265"/>
      <c r="R31" s="276">
        <v>7007092812</v>
      </c>
      <c r="S31" s="272">
        <f>SUM(S30*12)</f>
        <v>7174509255.8595085</v>
      </c>
      <c r="T31" s="265"/>
      <c r="U31" s="276">
        <v>7427034093</v>
      </c>
      <c r="V31" s="272">
        <f>SUM(V30*12)</f>
        <v>7604136016.174293</v>
      </c>
      <c r="W31" s="343"/>
      <c r="X31" s="357">
        <v>7872656138</v>
      </c>
      <c r="Y31" s="358">
        <f>SUM(Y30*12)</f>
        <v>8060384177.126276</v>
      </c>
      <c r="Z31" s="21"/>
      <c r="AA31" s="21"/>
      <c r="AB31" s="21"/>
    </row>
    <row r="32" spans="1:28" ht="12.75">
      <c r="A32" s="212" t="s">
        <v>30</v>
      </c>
      <c r="B32" s="266"/>
      <c r="C32" s="262">
        <f>SUM(C31/C30)/12</f>
        <v>23478.04685164728</v>
      </c>
      <c r="D32" s="273">
        <f>SUM(D30/B30)</f>
        <v>19992.543322319827</v>
      </c>
      <c r="E32" s="266"/>
      <c r="F32" s="262">
        <f>SUM(F31/F30)/12</f>
        <v>26226.743076747418</v>
      </c>
      <c r="G32" s="273">
        <f>SUM(G30/E30)</f>
        <v>26786.71703090888</v>
      </c>
      <c r="H32" s="266"/>
      <c r="I32" s="262">
        <f>SUM(I31/I30)/12</f>
        <v>27110.791659783787</v>
      </c>
      <c r="J32" s="273">
        <f>SUM(J30/H30)</f>
        <v>27567.50993461326</v>
      </c>
      <c r="K32" s="266"/>
      <c r="L32" s="262">
        <f>SUM(L31/L30)/12</f>
        <v>28886.742693785563</v>
      </c>
      <c r="M32" s="273">
        <f>SUM(M30/K30)</f>
        <v>29544.935736453233</v>
      </c>
      <c r="N32" s="266"/>
      <c r="O32" s="262">
        <f>SUM(O31/O30)/12</f>
        <v>30808.554749389554</v>
      </c>
      <c r="P32" s="273">
        <f>SUM(P30/N30)</f>
        <v>31531.226161872608</v>
      </c>
      <c r="Q32" s="266"/>
      <c r="R32" s="262">
        <f>SUM(R31/R30)/12</f>
        <v>32670.75482571477</v>
      </c>
      <c r="S32" s="273">
        <f>SUM(S30/Q30)</f>
        <v>33451.33840550695</v>
      </c>
      <c r="T32" s="266"/>
      <c r="U32" s="262">
        <f>SUM(U31/U30)/12</f>
        <v>34578.44056930555</v>
      </c>
      <c r="V32" s="273">
        <f>SUM(V30/T30)</f>
        <v>35402.983482197764</v>
      </c>
      <c r="W32" s="344"/>
      <c r="X32" s="359">
        <f>SUM(X31/X30)/12</f>
        <v>36653.14700076354</v>
      </c>
      <c r="Y32" s="360">
        <f>SUM(Y30/W30)</f>
        <v>37527.162491043615</v>
      </c>
      <c r="Z32" s="21"/>
      <c r="AA32" s="21"/>
      <c r="AB32" s="21"/>
    </row>
    <row r="33" spans="1:25" ht="12.75">
      <c r="A33" s="258" t="s">
        <v>112</v>
      </c>
      <c r="B33" s="267">
        <f>SUM(D33/12)/(D34)</f>
        <v>420.8010368537548</v>
      </c>
      <c r="C33" s="262">
        <v>200000000</v>
      </c>
      <c r="D33" s="273">
        <v>200000000</v>
      </c>
      <c r="E33" s="267">
        <f>SUM(G33/12)/(G34)</f>
        <v>441.18671241942224</v>
      </c>
      <c r="F33" s="262">
        <v>200000000</v>
      </c>
      <c r="G33" s="273">
        <f>SUM(G31/D31)*D33</f>
        <v>279522241.8483294</v>
      </c>
      <c r="H33" s="267">
        <f>SUM(J33/12)/(J34)</f>
        <v>482.2754692357713</v>
      </c>
      <c r="I33" s="262">
        <v>200000000</v>
      </c>
      <c r="J33" s="273">
        <f>SUM(J31/G31)*G33</f>
        <v>325364204.5970119</v>
      </c>
      <c r="K33" s="267">
        <f>SUM(M33/12)/(M34)</f>
        <v>484.4711017715264</v>
      </c>
      <c r="L33" s="262">
        <v>200000000</v>
      </c>
      <c r="M33" s="273">
        <f>SUM(M31/J31)*J33</f>
        <v>346456203.18112034</v>
      </c>
      <c r="N33" s="267">
        <f>SUM(P33/12)/(P34)</f>
        <v>483.42307850276654</v>
      </c>
      <c r="O33" s="262">
        <v>200000000</v>
      </c>
      <c r="P33" s="273">
        <f>SUM(P31/M31)*M33</f>
        <v>366449142.41017616</v>
      </c>
      <c r="Q33" s="267">
        <f>SUM(S33/12)/(S34)</f>
        <v>483.5609614993468</v>
      </c>
      <c r="R33" s="262">
        <v>200000000</v>
      </c>
      <c r="S33" s="273">
        <f>SUM(S31/P31)*P33</f>
        <v>388546881.5532965</v>
      </c>
      <c r="T33" s="267">
        <f>SUM(V33/12)/(V34)</f>
        <v>483.50730897831113</v>
      </c>
      <c r="U33" s="262">
        <v>200000000</v>
      </c>
      <c r="V33" s="273">
        <f>SUM(V31/S31)*S33</f>
        <v>411813997.3934247</v>
      </c>
      <c r="W33" s="345">
        <f>SUM(Y33/12)/(Y34)</f>
        <v>483.5073089772028</v>
      </c>
      <c r="X33" s="359">
        <v>200000000</v>
      </c>
      <c r="Y33" s="360">
        <f>SUM(Y31/V31)*V33</f>
        <v>436522837.2360296</v>
      </c>
    </row>
    <row r="34" spans="1:25" ht="12.75">
      <c r="A34" s="212" t="s">
        <v>113</v>
      </c>
      <c r="B34" s="266"/>
      <c r="C34" s="262"/>
      <c r="D34" s="216">
        <f>SUM(C10:C14)/5</f>
        <v>39607</v>
      </c>
      <c r="E34" s="266"/>
      <c r="F34" s="262"/>
      <c r="G34" s="216">
        <f>SUM(F10:F14)/5</f>
        <v>52797.42</v>
      </c>
      <c r="H34" s="266"/>
      <c r="I34" s="262"/>
      <c r="J34" s="216">
        <f>SUM(I10:I14)/5</f>
        <v>56220.3252</v>
      </c>
      <c r="K34" s="266"/>
      <c r="L34" s="262"/>
      <c r="M34" s="216">
        <f>SUM(L10:L14)/5</f>
        <v>59593.544712</v>
      </c>
      <c r="N34" s="266"/>
      <c r="O34" s="262"/>
      <c r="P34" s="216">
        <f>SUM(O10:O14)/5</f>
        <v>63169.15739472001</v>
      </c>
      <c r="Q34" s="266"/>
      <c r="R34" s="262"/>
      <c r="S34" s="216">
        <f>SUM(R10:R14)/5</f>
        <v>66959.30683840321</v>
      </c>
      <c r="T34" s="266"/>
      <c r="U34" s="262"/>
      <c r="V34" s="216">
        <f>SUM(U10:U14)/5</f>
        <v>70976.8652487074</v>
      </c>
      <c r="W34" s="344"/>
      <c r="X34" s="359"/>
      <c r="Y34" s="361">
        <f>SUM(X10:X14)/5</f>
        <v>75235.47716362985</v>
      </c>
    </row>
    <row r="35" spans="1:25" ht="12.75">
      <c r="A35" s="212" t="s">
        <v>110</v>
      </c>
      <c r="B35" s="268">
        <f>SUM(B30+B33)</f>
        <v>15814.021036853756</v>
      </c>
      <c r="C35" s="262">
        <v>15389</v>
      </c>
      <c r="D35" s="274"/>
      <c r="E35" s="268">
        <f>SUM(E30+E33)</f>
        <v>16498.18671241942</v>
      </c>
      <c r="F35" s="262">
        <v>16057</v>
      </c>
      <c r="G35" s="274"/>
      <c r="H35" s="268">
        <f>SUM(H30+H33)</f>
        <v>18643.27546923577</v>
      </c>
      <c r="I35" s="262">
        <v>18161</v>
      </c>
      <c r="J35" s="274"/>
      <c r="K35" s="268">
        <f>SUM(K30+K33)</f>
        <v>18528.471101771527</v>
      </c>
      <c r="L35" s="262">
        <v>18044</v>
      </c>
      <c r="M35" s="274"/>
      <c r="N35" s="268">
        <f>SUM(N30+N33)</f>
        <v>18366.423078502765</v>
      </c>
      <c r="O35" s="262">
        <v>17883</v>
      </c>
      <c r="P35" s="274"/>
      <c r="Q35" s="268">
        <f>SUM(Q30+Q33)</f>
        <v>18356.56096149935</v>
      </c>
      <c r="R35" s="262">
        <v>17873</v>
      </c>
      <c r="S35" s="274"/>
      <c r="T35" s="268">
        <f>SUM(T30+T33)</f>
        <v>18382.50730897831</v>
      </c>
      <c r="U35" s="262">
        <v>17899</v>
      </c>
      <c r="V35" s="274"/>
      <c r="W35" s="346">
        <f>SUM(W30+W33)</f>
        <v>18382.5073089772</v>
      </c>
      <c r="X35" s="359">
        <v>17899</v>
      </c>
      <c r="Y35" s="362"/>
    </row>
    <row r="36" spans="1:25" ht="22.5">
      <c r="A36" s="258" t="s">
        <v>114</v>
      </c>
      <c r="B36" s="269"/>
      <c r="C36" s="262">
        <f>SUM(C31+C33)</f>
        <v>4535643956</v>
      </c>
      <c r="D36" s="273">
        <f>SUM(D31+D33)</f>
        <v>3892995412.6400003</v>
      </c>
      <c r="E36" s="269"/>
      <c r="F36" s="262">
        <f>SUM(F31+F33)</f>
        <v>5253473763</v>
      </c>
      <c r="G36" s="273">
        <f>SUM(G31+G33)</f>
        <v>5440894026.231976</v>
      </c>
      <c r="H36" s="269"/>
      <c r="I36" s="262">
        <f>SUM(I31+I33)</f>
        <v>6108309048</v>
      </c>
      <c r="J36" s="273">
        <f>SUM(J31+J33)</f>
        <v>6333206779.667149</v>
      </c>
      <c r="K36" s="269"/>
      <c r="L36" s="262">
        <f>SUM(L31+L33)</f>
        <v>6454788622</v>
      </c>
      <c r="M36" s="273">
        <f>SUM(M31+M33)</f>
        <v>6743762048.323866</v>
      </c>
      <c r="N36" s="269"/>
      <c r="O36" s="262">
        <f>SUM(O31+O33)</f>
        <v>6811392615</v>
      </c>
      <c r="P36" s="273">
        <f>SUM(P31+P33)</f>
        <v>7132924151.84339</v>
      </c>
      <c r="Q36" s="269"/>
      <c r="R36" s="262">
        <f>SUM(R31+R33)</f>
        <v>7207092812</v>
      </c>
      <c r="S36" s="273">
        <f>SUM(S31+S33)</f>
        <v>7563056137.412805</v>
      </c>
      <c r="T36" s="269"/>
      <c r="U36" s="262">
        <f>SUM(U31+U33)</f>
        <v>7627034093</v>
      </c>
      <c r="V36" s="273">
        <f>SUM(V31+V33)</f>
        <v>8015950013.567718</v>
      </c>
      <c r="W36" s="347"/>
      <c r="X36" s="359">
        <f>SUM(X31+X33)</f>
        <v>8072656138</v>
      </c>
      <c r="Y36" s="360">
        <f>SUM(Y31+Y33)</f>
        <v>8496907014.362306</v>
      </c>
    </row>
    <row r="37" spans="1:25" ht="13.5" thickBot="1">
      <c r="A37" s="283" t="s">
        <v>30</v>
      </c>
      <c r="B37" s="284"/>
      <c r="C37" s="285">
        <f>SUM(C36/C30)/12</f>
        <v>24561.071522949293</v>
      </c>
      <c r="D37" s="286">
        <f>SUM(D36/B35)/12</f>
        <v>20514.47153324454</v>
      </c>
      <c r="E37" s="284"/>
      <c r="F37" s="285">
        <f>SUM(F36/F30)/12</f>
        <v>27264.711979199103</v>
      </c>
      <c r="G37" s="286">
        <f>SUM(G36/E35)/12</f>
        <v>27482.282957679054</v>
      </c>
      <c r="H37" s="284"/>
      <c r="I37" s="285">
        <f>SUM(I36/I30)/12</f>
        <v>28028.50911293431</v>
      </c>
      <c r="J37" s="286">
        <f>SUM(J36/H35)/12</f>
        <v>28308.71820296948</v>
      </c>
      <c r="K37" s="284"/>
      <c r="L37" s="285">
        <f>SUM(L36/L30)/12</f>
        <v>29810.410764427696</v>
      </c>
      <c r="M37" s="286">
        <f>SUM(M36/K35)/12</f>
        <v>30330.628339859297</v>
      </c>
      <c r="N37" s="284"/>
      <c r="O37" s="285">
        <f>SUM(O36/O30)/12</f>
        <v>31740.538570150424</v>
      </c>
      <c r="P37" s="286">
        <f>SUM(P36/N35)/12</f>
        <v>32363.96893648198</v>
      </c>
      <c r="Q37" s="284"/>
      <c r="R37" s="285">
        <f>SUM(R36/R30)/12</f>
        <v>33603.260094369536</v>
      </c>
      <c r="S37" s="286">
        <f>SUM(S36/Q35)/12</f>
        <v>34334.02800446207</v>
      </c>
      <c r="T37" s="284"/>
      <c r="U37" s="285">
        <f>SUM(U36/U30)/12</f>
        <v>35509.591285360446</v>
      </c>
      <c r="V37" s="286">
        <f>SUM(V36/T35)/12</f>
        <v>36338.66823693396</v>
      </c>
      <c r="W37" s="348"/>
      <c r="X37" s="363">
        <f>SUM(X36/X30)/12</f>
        <v>37584.297716818444</v>
      </c>
      <c r="Y37" s="364">
        <f>SUM(Y36/W35)/12</f>
        <v>38518.988331064036</v>
      </c>
    </row>
    <row r="38" spans="1:25" ht="13.5" thickBot="1">
      <c r="A38" s="287" t="s">
        <v>87</v>
      </c>
      <c r="B38" s="288">
        <v>31.6</v>
      </c>
      <c r="C38" s="289"/>
      <c r="D38" s="290">
        <f>SUM((D36*31.6))/100</f>
        <v>1230186550.3942401</v>
      </c>
      <c r="E38" s="291"/>
      <c r="F38" s="292"/>
      <c r="G38" s="290">
        <f>SUM((G36*31.6))/100</f>
        <v>1719322512.2893045</v>
      </c>
      <c r="H38" s="291"/>
      <c r="I38" s="292"/>
      <c r="J38" s="290">
        <f>SUM((J36*31.6))/100</f>
        <v>2001293342.374819</v>
      </c>
      <c r="K38" s="291"/>
      <c r="L38" s="292"/>
      <c r="M38" s="290">
        <f>SUM((M36*31.6))/100</f>
        <v>2131028807.2703419</v>
      </c>
      <c r="N38" s="291"/>
      <c r="O38" s="292"/>
      <c r="P38" s="290">
        <f>SUM((P36*31.6))/100</f>
        <v>2254004031.9825115</v>
      </c>
      <c r="Q38" s="291"/>
      <c r="R38" s="292"/>
      <c r="S38" s="290">
        <f>SUM((S36*31.6))/100</f>
        <v>2389925739.4224463</v>
      </c>
      <c r="T38" s="291"/>
      <c r="U38" s="292"/>
      <c r="V38" s="290">
        <f>SUM((V36*31.6))/100</f>
        <v>2533040204.287399</v>
      </c>
      <c r="W38" s="349"/>
      <c r="X38" s="365"/>
      <c r="Y38" s="293">
        <f>SUM((Y36*31.6))/100</f>
        <v>2685022616.538489</v>
      </c>
    </row>
    <row r="39" spans="1:25" ht="13.5" thickBot="1">
      <c r="A39" s="259" t="s">
        <v>98</v>
      </c>
      <c r="B39" s="270">
        <v>1.5</v>
      </c>
      <c r="C39" s="202"/>
      <c r="D39" s="275">
        <f>SUM((D36*1.5))/100</f>
        <v>58394931.18960001</v>
      </c>
      <c r="E39" s="278"/>
      <c r="F39" s="277"/>
      <c r="G39" s="275">
        <f>SUM((G36*1.5))/100</f>
        <v>81613410.39347963</v>
      </c>
      <c r="H39" s="278"/>
      <c r="I39" s="277"/>
      <c r="J39" s="275">
        <f>SUM((J36*1.5))/100</f>
        <v>94998101.69500723</v>
      </c>
      <c r="K39" s="278"/>
      <c r="L39" s="277"/>
      <c r="M39" s="275">
        <f>SUM((M36*1.5))/100</f>
        <v>101156430.72485799</v>
      </c>
      <c r="N39" s="278"/>
      <c r="O39" s="277"/>
      <c r="P39" s="275">
        <f>SUM((P36*1.5))/100</f>
        <v>106993862.27765085</v>
      </c>
      <c r="Q39" s="278"/>
      <c r="R39" s="277"/>
      <c r="S39" s="275">
        <f>SUM((S36*1.5))/100</f>
        <v>113445842.06119208</v>
      </c>
      <c r="T39" s="278"/>
      <c r="U39" s="203"/>
      <c r="V39" s="275">
        <f>SUM((V36*1.5))/100</f>
        <v>120239250.20351575</v>
      </c>
      <c r="W39" s="350"/>
      <c r="X39" s="366"/>
      <c r="Y39" s="203">
        <f>SUM((Y36*1.5))/100</f>
        <v>127453605.2154346</v>
      </c>
    </row>
    <row r="40" spans="1:25" ht="13.5" thickBot="1">
      <c r="A40" s="259" t="s">
        <v>99</v>
      </c>
      <c r="B40" s="270">
        <v>0.135</v>
      </c>
      <c r="C40" s="202"/>
      <c r="D40" s="275">
        <f>SUM((D36*0.135))/100</f>
        <v>5255543.8070640005</v>
      </c>
      <c r="E40" s="278"/>
      <c r="F40" s="277"/>
      <c r="G40" s="275">
        <f>SUM((G36*0.135))/100</f>
        <v>7345206.935413168</v>
      </c>
      <c r="H40" s="278"/>
      <c r="I40" s="277"/>
      <c r="J40" s="275">
        <f>SUM((J36*0.135))/100</f>
        <v>8549829.15255065</v>
      </c>
      <c r="K40" s="278"/>
      <c r="L40" s="277"/>
      <c r="M40" s="275">
        <f>SUM((M36*0.135))/100</f>
        <v>9104078.76523722</v>
      </c>
      <c r="N40" s="278"/>
      <c r="O40" s="277"/>
      <c r="P40" s="275">
        <f>SUM((P36*0.135))/100</f>
        <v>9629447.604988577</v>
      </c>
      <c r="Q40" s="278"/>
      <c r="R40" s="277"/>
      <c r="S40" s="275">
        <f>SUM((S36*0.135))/100</f>
        <v>10210125.785507286</v>
      </c>
      <c r="T40" s="278"/>
      <c r="U40" s="277"/>
      <c r="V40" s="275">
        <f>SUM((V36*0.135))/100</f>
        <v>10821532.51831642</v>
      </c>
      <c r="W40" s="350"/>
      <c r="X40" s="366"/>
      <c r="Y40" s="203">
        <f>SUM((Y36*0.135))/100</f>
        <v>11470824.469389115</v>
      </c>
    </row>
    <row r="41" spans="1:25" ht="13.5" thickBot="1">
      <c r="A41" s="259" t="s">
        <v>105</v>
      </c>
      <c r="B41" s="270"/>
      <c r="C41" s="202"/>
      <c r="D41" s="275">
        <f>SUM((D38/12)+35700000)</f>
        <v>138215545.86618668</v>
      </c>
      <c r="E41" s="278"/>
      <c r="F41" s="277"/>
      <c r="G41" s="275">
        <f>SUM((G38/12)+35700000)</f>
        <v>178976876.0241087</v>
      </c>
      <c r="H41" s="278"/>
      <c r="I41" s="277"/>
      <c r="J41" s="275">
        <f>SUM((J38/12)+35700000)</f>
        <v>202474445.19790158</v>
      </c>
      <c r="K41" s="278"/>
      <c r="L41" s="277"/>
      <c r="M41" s="275">
        <f>SUM((M38/12)+35700000)</f>
        <v>213285733.93919516</v>
      </c>
      <c r="N41" s="278"/>
      <c r="O41" s="277"/>
      <c r="P41" s="275">
        <f>SUM((P38/12)+35700000)</f>
        <v>223533669.33187595</v>
      </c>
      <c r="Q41" s="278"/>
      <c r="R41" s="277"/>
      <c r="S41" s="275">
        <f>SUM((S38/12)+35700000)</f>
        <v>234860478.28520384</v>
      </c>
      <c r="T41" s="278"/>
      <c r="U41" s="277"/>
      <c r="V41" s="275">
        <f>SUM((V38/12)+35700000)</f>
        <v>246786683.69061658</v>
      </c>
      <c r="W41" s="350"/>
      <c r="X41" s="366"/>
      <c r="Y41" s="203">
        <f>SUM((Y38/12)+35700000)</f>
        <v>259451884.71154073</v>
      </c>
    </row>
    <row r="42" spans="1:25" ht="12.75">
      <c r="A42" s="217"/>
      <c r="B42" s="218"/>
      <c r="C42" s="219"/>
      <c r="D42" s="218"/>
      <c r="E42" s="218"/>
      <c r="F42" s="219"/>
      <c r="G42" s="218"/>
      <c r="H42" s="218"/>
      <c r="I42" s="219"/>
      <c r="J42" s="218"/>
      <c r="K42" s="218"/>
      <c r="L42" s="219"/>
      <c r="M42" s="218"/>
      <c r="N42" s="218"/>
      <c r="O42" s="219"/>
      <c r="P42" s="218"/>
      <c r="Q42" s="218"/>
      <c r="R42" s="219"/>
      <c r="S42" s="218"/>
      <c r="T42" s="218"/>
      <c r="U42" s="219"/>
      <c r="V42" s="218"/>
      <c r="W42" s="218"/>
      <c r="X42" s="219"/>
      <c r="Y42" s="218"/>
    </row>
    <row r="43" spans="1:25" ht="12.75">
      <c r="A43" s="217"/>
      <c r="B43" s="218"/>
      <c r="C43" s="219"/>
      <c r="D43" s="218"/>
      <c r="E43" s="218"/>
      <c r="F43" s="219"/>
      <c r="G43" s="218"/>
      <c r="H43" s="218"/>
      <c r="I43" s="219"/>
      <c r="J43" s="218"/>
      <c r="K43" s="218"/>
      <c r="L43" s="219"/>
      <c r="M43" s="218"/>
      <c r="N43" s="218"/>
      <c r="O43" s="219"/>
      <c r="P43" s="218"/>
      <c r="Q43" s="218"/>
      <c r="R43" s="219"/>
      <c r="S43" s="218"/>
      <c r="T43" s="218"/>
      <c r="U43" s="219"/>
      <c r="V43" s="218"/>
      <c r="W43" s="218"/>
      <c r="X43" s="219"/>
      <c r="Y43" s="218"/>
    </row>
    <row r="44" spans="1:25" ht="12.75">
      <c r="A44" s="217"/>
      <c r="B44" s="218"/>
      <c r="C44" s="219"/>
      <c r="D44" s="218"/>
      <c r="E44" s="218"/>
      <c r="F44" s="219"/>
      <c r="G44" s="218"/>
      <c r="H44" s="218"/>
      <c r="I44" s="219"/>
      <c r="J44" s="218"/>
      <c r="K44" s="218"/>
      <c r="L44" s="219"/>
      <c r="M44" s="218"/>
      <c r="N44" s="218"/>
      <c r="O44" s="219"/>
      <c r="P44" s="218"/>
      <c r="Q44" s="218"/>
      <c r="R44" s="219"/>
      <c r="S44" s="218"/>
      <c r="T44" s="218"/>
      <c r="U44" s="219"/>
      <c r="V44" s="218"/>
      <c r="W44" s="218"/>
      <c r="X44" s="219"/>
      <c r="Y44" s="218"/>
    </row>
    <row r="45" spans="1:25" ht="12.75">
      <c r="A45" s="217"/>
      <c r="B45" s="218"/>
      <c r="C45" s="219"/>
      <c r="D45" s="218"/>
      <c r="E45" s="218"/>
      <c r="F45" s="219"/>
      <c r="G45" s="218"/>
      <c r="H45" s="218"/>
      <c r="I45" s="219"/>
      <c r="J45" s="218"/>
      <c r="K45" s="218"/>
      <c r="L45" s="219"/>
      <c r="M45" s="218"/>
      <c r="N45" s="218"/>
      <c r="O45" s="219"/>
      <c r="P45" s="218"/>
      <c r="Q45" s="218"/>
      <c r="R45" s="219"/>
      <c r="S45" s="218"/>
      <c r="T45" s="218"/>
      <c r="U45" s="219"/>
      <c r="V45" s="218"/>
      <c r="W45" s="218"/>
      <c r="X45" s="219"/>
      <c r="Y45" s="218"/>
    </row>
    <row r="46" spans="1:25" ht="12.75">
      <c r="A46" s="217"/>
      <c r="B46" s="218"/>
      <c r="C46" s="219"/>
      <c r="D46" s="218"/>
      <c r="E46" s="218"/>
      <c r="F46" s="219"/>
      <c r="G46" s="218"/>
      <c r="H46" s="218"/>
      <c r="I46" s="219"/>
      <c r="J46" s="218"/>
      <c r="K46" s="218"/>
      <c r="L46" s="219"/>
      <c r="M46" s="218"/>
      <c r="N46" s="218"/>
      <c r="O46" s="219"/>
      <c r="P46" s="218"/>
      <c r="Q46" s="218"/>
      <c r="R46" s="219"/>
      <c r="S46" s="218"/>
      <c r="T46" s="218"/>
      <c r="U46" s="219"/>
      <c r="V46" s="218"/>
      <c r="W46" s="218"/>
      <c r="X46" s="219"/>
      <c r="Y46" s="218"/>
    </row>
    <row r="47" spans="1:25" ht="12.75">
      <c r="A47" s="217"/>
      <c r="B47" s="218"/>
      <c r="C47" s="219"/>
      <c r="D47" s="218"/>
      <c r="E47" s="218"/>
      <c r="F47" s="219"/>
      <c r="G47" s="218"/>
      <c r="H47" s="218"/>
      <c r="I47" s="219"/>
      <c r="J47" s="218"/>
      <c r="K47" s="218"/>
      <c r="L47" s="219"/>
      <c r="M47" s="218"/>
      <c r="N47" s="218"/>
      <c r="O47" s="219"/>
      <c r="P47" s="218"/>
      <c r="Q47" s="218"/>
      <c r="R47" s="219"/>
      <c r="S47" s="218"/>
      <c r="T47" s="218"/>
      <c r="U47" s="219"/>
      <c r="V47" s="218"/>
      <c r="W47" s="218"/>
      <c r="X47" s="219"/>
      <c r="Y47" s="218"/>
    </row>
    <row r="48" spans="1:25" ht="12.75">
      <c r="A48" s="217"/>
      <c r="B48" s="218"/>
      <c r="C48" s="219"/>
      <c r="D48" s="218"/>
      <c r="E48" s="218"/>
      <c r="F48" s="219"/>
      <c r="G48" s="218"/>
      <c r="H48" s="218"/>
      <c r="I48" s="219"/>
      <c r="J48" s="218"/>
      <c r="K48" s="218"/>
      <c r="L48" s="219"/>
      <c r="M48" s="218"/>
      <c r="N48" s="218"/>
      <c r="O48" s="219"/>
      <c r="P48" s="218"/>
      <c r="Q48" s="218"/>
      <c r="R48" s="219"/>
      <c r="S48" s="218"/>
      <c r="T48" s="218"/>
      <c r="U48" s="219"/>
      <c r="V48" s="218"/>
      <c r="W48" s="218"/>
      <c r="X48" s="219"/>
      <c r="Y48" s="218"/>
    </row>
    <row r="49" spans="1:25" ht="12.75">
      <c r="A49" s="217"/>
      <c r="B49" s="218"/>
      <c r="C49" s="219"/>
      <c r="D49" s="218"/>
      <c r="E49" s="218"/>
      <c r="F49" s="219"/>
      <c r="G49" s="218"/>
      <c r="H49" s="218"/>
      <c r="I49" s="219"/>
      <c r="J49" s="218"/>
      <c r="K49" s="218"/>
      <c r="L49" s="219"/>
      <c r="M49" s="218"/>
      <c r="N49" s="218"/>
      <c r="O49" s="219"/>
      <c r="P49" s="218"/>
      <c r="Q49" s="218"/>
      <c r="R49" s="219"/>
      <c r="S49" s="218"/>
      <c r="T49" s="218"/>
      <c r="U49" s="219"/>
      <c r="V49" s="218"/>
      <c r="W49" s="218"/>
      <c r="X49" s="219"/>
      <c r="Y49" s="218"/>
    </row>
    <row r="50" spans="1:25" ht="12.75">
      <c r="A50" s="217"/>
      <c r="B50" s="218"/>
      <c r="C50" s="219"/>
      <c r="D50" s="218"/>
      <c r="E50" s="218"/>
      <c r="F50" s="219"/>
      <c r="G50" s="218"/>
      <c r="H50" s="218"/>
      <c r="I50" s="219"/>
      <c r="J50" s="218"/>
      <c r="K50" s="218"/>
      <c r="L50" s="219"/>
      <c r="M50" s="218"/>
      <c r="N50" s="218"/>
      <c r="O50" s="219"/>
      <c r="P50" s="218"/>
      <c r="Q50" s="218"/>
      <c r="R50" s="219"/>
      <c r="S50" s="218"/>
      <c r="T50" s="218"/>
      <c r="U50" s="219"/>
      <c r="V50" s="218"/>
      <c r="W50" s="218"/>
      <c r="X50" s="219"/>
      <c r="Y50" s="218"/>
    </row>
    <row r="51" spans="1:25" ht="12.75">
      <c r="A51" s="217"/>
      <c r="B51" s="218"/>
      <c r="C51" s="219"/>
      <c r="D51" s="218"/>
      <c r="E51" s="218"/>
      <c r="F51" s="219"/>
      <c r="G51" s="218"/>
      <c r="H51" s="218"/>
      <c r="I51" s="219"/>
      <c r="J51" s="218"/>
      <c r="K51" s="218"/>
      <c r="L51" s="219"/>
      <c r="M51" s="218"/>
      <c r="N51" s="218"/>
      <c r="O51" s="219"/>
      <c r="P51" s="218"/>
      <c r="Q51" s="218"/>
      <c r="R51" s="219"/>
      <c r="S51" s="218"/>
      <c r="T51" s="218"/>
      <c r="U51" s="219"/>
      <c r="V51" s="218"/>
      <c r="W51" s="218"/>
      <c r="X51" s="219"/>
      <c r="Y51" s="218"/>
    </row>
    <row r="52" spans="1:25" ht="12.75">
      <c r="A52" s="217"/>
      <c r="B52" s="218"/>
      <c r="C52" s="219"/>
      <c r="D52" s="218"/>
      <c r="E52" s="218"/>
      <c r="F52" s="219"/>
      <c r="G52" s="218"/>
      <c r="H52" s="218"/>
      <c r="I52" s="219"/>
      <c r="J52" s="218"/>
      <c r="K52" s="218"/>
      <c r="L52" s="219"/>
      <c r="M52" s="218"/>
      <c r="N52" s="218"/>
      <c r="O52" s="219"/>
      <c r="P52" s="218"/>
      <c r="Q52" s="218"/>
      <c r="R52" s="219"/>
      <c r="S52" s="218"/>
      <c r="T52" s="218"/>
      <c r="U52" s="219"/>
      <c r="V52" s="218"/>
      <c r="W52" s="218"/>
      <c r="X52" s="219"/>
      <c r="Y52" s="218"/>
    </row>
    <row r="53" spans="1:25" ht="12.75">
      <c r="A53" s="217"/>
      <c r="B53" s="218"/>
      <c r="C53" s="219"/>
      <c r="D53" s="218"/>
      <c r="E53" s="218"/>
      <c r="F53" s="219"/>
      <c r="G53" s="218"/>
      <c r="H53" s="218"/>
      <c r="I53" s="219"/>
      <c r="J53" s="218"/>
      <c r="K53" s="218"/>
      <c r="L53" s="219"/>
      <c r="M53" s="218"/>
      <c r="N53" s="218"/>
      <c r="O53" s="219"/>
      <c r="P53" s="218"/>
      <c r="Q53" s="218"/>
      <c r="R53" s="219"/>
      <c r="S53" s="218"/>
      <c r="T53" s="218"/>
      <c r="U53" s="219"/>
      <c r="V53" s="218"/>
      <c r="W53" s="218"/>
      <c r="X53" s="219"/>
      <c r="Y53" s="218"/>
    </row>
    <row r="54" spans="1:25" ht="12.75">
      <c r="A54" s="217"/>
      <c r="B54" s="218"/>
      <c r="C54" s="219"/>
      <c r="D54" s="218"/>
      <c r="E54" s="218"/>
      <c r="F54" s="219"/>
      <c r="G54" s="218"/>
      <c r="H54" s="218"/>
      <c r="I54" s="219"/>
      <c r="J54" s="218"/>
      <c r="K54" s="218"/>
      <c r="L54" s="219"/>
      <c r="M54" s="218"/>
      <c r="N54" s="218"/>
      <c r="O54" s="219"/>
      <c r="P54" s="218"/>
      <c r="Q54" s="218"/>
      <c r="R54" s="219"/>
      <c r="S54" s="218"/>
      <c r="T54" s="218"/>
      <c r="U54" s="219"/>
      <c r="V54" s="218"/>
      <c r="W54" s="218"/>
      <c r="X54" s="219"/>
      <c r="Y54" s="218"/>
    </row>
    <row r="55" spans="1:25" ht="12.75">
      <c r="A55" s="217"/>
      <c r="B55" s="218"/>
      <c r="C55" s="219"/>
      <c r="D55" s="218"/>
      <c r="E55" s="218"/>
      <c r="F55" s="219"/>
      <c r="G55" s="218"/>
      <c r="H55" s="218"/>
      <c r="I55" s="219"/>
      <c r="J55" s="218"/>
      <c r="K55" s="218"/>
      <c r="L55" s="219"/>
      <c r="M55" s="218"/>
      <c r="N55" s="218"/>
      <c r="O55" s="219"/>
      <c r="P55" s="218"/>
      <c r="Q55" s="218"/>
      <c r="R55" s="219"/>
      <c r="S55" s="218"/>
      <c r="T55" s="218"/>
      <c r="U55" s="219"/>
      <c r="V55" s="218"/>
      <c r="W55" s="218"/>
      <c r="X55" s="219"/>
      <c r="Y55" s="218"/>
    </row>
    <row r="56" spans="1:25" ht="12.75">
      <c r="A56" s="217"/>
      <c r="B56" s="218"/>
      <c r="C56" s="219"/>
      <c r="D56" s="218"/>
      <c r="E56" s="218"/>
      <c r="F56" s="219"/>
      <c r="G56" s="218"/>
      <c r="H56" s="218"/>
      <c r="I56" s="219"/>
      <c r="J56" s="218"/>
      <c r="K56" s="218"/>
      <c r="L56" s="219"/>
      <c r="M56" s="218"/>
      <c r="N56" s="218"/>
      <c r="O56" s="219"/>
      <c r="P56" s="218"/>
      <c r="Q56" s="218"/>
      <c r="R56" s="219"/>
      <c r="S56" s="218"/>
      <c r="T56" s="218"/>
      <c r="U56" s="219"/>
      <c r="V56" s="218"/>
      <c r="W56" s="218"/>
      <c r="X56" s="219"/>
      <c r="Y56" s="218"/>
    </row>
    <row r="57" spans="1:25" ht="12.75">
      <c r="A57" s="217"/>
      <c r="B57" s="218"/>
      <c r="C57" s="219"/>
      <c r="D57" s="218"/>
      <c r="E57" s="218"/>
      <c r="F57" s="219"/>
      <c r="G57" s="218"/>
      <c r="H57" s="218"/>
      <c r="I57" s="219"/>
      <c r="J57" s="218"/>
      <c r="K57" s="218"/>
      <c r="L57" s="219"/>
      <c r="M57" s="218"/>
      <c r="N57" s="218"/>
      <c r="O57" s="219"/>
      <c r="P57" s="218"/>
      <c r="Q57" s="218"/>
      <c r="R57" s="219"/>
      <c r="S57" s="218"/>
      <c r="T57" s="218"/>
      <c r="U57" s="219"/>
      <c r="V57" s="218"/>
      <c r="W57" s="218"/>
      <c r="X57" s="219"/>
      <c r="Y57" s="218"/>
    </row>
    <row r="58" spans="1:25" ht="12.75">
      <c r="A58" s="217"/>
      <c r="B58" s="218"/>
      <c r="C58" s="219"/>
      <c r="D58" s="218"/>
      <c r="E58" s="218"/>
      <c r="F58" s="219"/>
      <c r="G58" s="218"/>
      <c r="H58" s="218"/>
      <c r="I58" s="219"/>
      <c r="J58" s="218"/>
      <c r="K58" s="218"/>
      <c r="L58" s="219"/>
      <c r="M58" s="218"/>
      <c r="N58" s="218"/>
      <c r="O58" s="219"/>
      <c r="P58" s="218"/>
      <c r="Q58" s="218"/>
      <c r="R58" s="219"/>
      <c r="S58" s="218"/>
      <c r="T58" s="218"/>
      <c r="U58" s="219"/>
      <c r="V58" s="218"/>
      <c r="W58" s="218"/>
      <c r="X58" s="219"/>
      <c r="Y58" s="218"/>
    </row>
    <row r="59" spans="1:25" ht="12.75">
      <c r="A59" s="217"/>
      <c r="B59" s="218"/>
      <c r="C59" s="219"/>
      <c r="D59" s="218"/>
      <c r="E59" s="218"/>
      <c r="F59" s="219"/>
      <c r="G59" s="218"/>
      <c r="H59" s="218"/>
      <c r="I59" s="219"/>
      <c r="J59" s="218"/>
      <c r="K59" s="218"/>
      <c r="L59" s="219"/>
      <c r="M59" s="218"/>
      <c r="N59" s="218"/>
      <c r="O59" s="219"/>
      <c r="P59" s="218"/>
      <c r="Q59" s="218"/>
      <c r="R59" s="219"/>
      <c r="S59" s="218"/>
      <c r="T59" s="218"/>
      <c r="U59" s="219"/>
      <c r="V59" s="218"/>
      <c r="W59" s="218"/>
      <c r="X59" s="219"/>
      <c r="Y59" s="218"/>
    </row>
    <row r="60" spans="1:25" ht="12.75">
      <c r="A60" s="217"/>
      <c r="B60" s="218"/>
      <c r="C60" s="219"/>
      <c r="D60" s="218"/>
      <c r="E60" s="218"/>
      <c r="F60" s="219"/>
      <c r="G60" s="218"/>
      <c r="H60" s="218"/>
      <c r="I60" s="219"/>
      <c r="J60" s="218"/>
      <c r="K60" s="218"/>
      <c r="L60" s="219"/>
      <c r="M60" s="218"/>
      <c r="N60" s="218"/>
      <c r="O60" s="219"/>
      <c r="P60" s="218"/>
      <c r="Q60" s="218"/>
      <c r="R60" s="219"/>
      <c r="S60" s="218"/>
      <c r="T60" s="218"/>
      <c r="U60" s="219"/>
      <c r="V60" s="218"/>
      <c r="W60" s="218"/>
      <c r="X60" s="219"/>
      <c r="Y60" s="218"/>
    </row>
    <row r="61" spans="1:25" ht="12.75">
      <c r="A61" s="217"/>
      <c r="B61" s="218"/>
      <c r="C61" s="219"/>
      <c r="D61" s="218"/>
      <c r="E61" s="218"/>
      <c r="F61" s="219"/>
      <c r="G61" s="218"/>
      <c r="H61" s="218"/>
      <c r="I61" s="219"/>
      <c r="J61" s="218"/>
      <c r="K61" s="218"/>
      <c r="L61" s="219"/>
      <c r="M61" s="218"/>
      <c r="N61" s="218"/>
      <c r="O61" s="219"/>
      <c r="P61" s="218"/>
      <c r="Q61" s="218"/>
      <c r="R61" s="219"/>
      <c r="S61" s="218"/>
      <c r="T61" s="218"/>
      <c r="U61" s="219"/>
      <c r="V61" s="218"/>
      <c r="W61" s="218"/>
      <c r="X61" s="219"/>
      <c r="Y61" s="218"/>
    </row>
    <row r="62" spans="1:25" ht="12.75">
      <c r="A62" s="217"/>
      <c r="B62" s="218"/>
      <c r="C62" s="219"/>
      <c r="D62" s="218"/>
      <c r="E62" s="218"/>
      <c r="F62" s="219"/>
      <c r="G62" s="218"/>
      <c r="H62" s="218"/>
      <c r="I62" s="219"/>
      <c r="J62" s="218"/>
      <c r="K62" s="218"/>
      <c r="L62" s="219"/>
      <c r="M62" s="218"/>
      <c r="N62" s="218"/>
      <c r="O62" s="219"/>
      <c r="P62" s="218"/>
      <c r="Q62" s="218"/>
      <c r="R62" s="219"/>
      <c r="S62" s="218"/>
      <c r="T62" s="218"/>
      <c r="U62" s="219"/>
      <c r="V62" s="218"/>
      <c r="W62" s="218"/>
      <c r="X62" s="219"/>
      <c r="Y62" s="218"/>
    </row>
    <row r="63" spans="1:25" ht="12.75">
      <c r="A63" s="217"/>
      <c r="B63" s="218"/>
      <c r="C63" s="219"/>
      <c r="D63" s="218"/>
      <c r="E63" s="218"/>
      <c r="F63" s="219"/>
      <c r="G63" s="218"/>
      <c r="H63" s="218"/>
      <c r="I63" s="219"/>
      <c r="J63" s="218"/>
      <c r="K63" s="218"/>
      <c r="L63" s="219"/>
      <c r="M63" s="218"/>
      <c r="N63" s="218"/>
      <c r="O63" s="219"/>
      <c r="P63" s="218"/>
      <c r="Q63" s="218"/>
      <c r="R63" s="219"/>
      <c r="S63" s="218"/>
      <c r="T63" s="218"/>
      <c r="U63" s="219"/>
      <c r="V63" s="218"/>
      <c r="W63" s="218"/>
      <c r="X63" s="219"/>
      <c r="Y63" s="218"/>
    </row>
    <row r="64" spans="1:25" ht="12.75">
      <c r="A64" s="217"/>
      <c r="B64" s="218"/>
      <c r="C64" s="219"/>
      <c r="D64" s="218"/>
      <c r="E64" s="218"/>
      <c r="F64" s="219"/>
      <c r="G64" s="218"/>
      <c r="H64" s="218"/>
      <c r="I64" s="219"/>
      <c r="J64" s="218"/>
      <c r="K64" s="218"/>
      <c r="L64" s="219"/>
      <c r="M64" s="218"/>
      <c r="N64" s="218"/>
      <c r="O64" s="219"/>
      <c r="P64" s="218"/>
      <c r="Q64" s="218"/>
      <c r="R64" s="219"/>
      <c r="S64" s="218"/>
      <c r="T64" s="218"/>
      <c r="U64" s="219"/>
      <c r="V64" s="218"/>
      <c r="W64" s="218"/>
      <c r="X64" s="219"/>
      <c r="Y64" s="218"/>
    </row>
    <row r="65" spans="1:25" ht="12.75">
      <c r="A65" s="217"/>
      <c r="B65" s="218"/>
      <c r="C65" s="219"/>
      <c r="D65" s="218"/>
      <c r="E65" s="218"/>
      <c r="F65" s="219"/>
      <c r="G65" s="218"/>
      <c r="H65" s="218"/>
      <c r="I65" s="219"/>
      <c r="J65" s="218"/>
      <c r="K65" s="218"/>
      <c r="L65" s="219"/>
      <c r="M65" s="218"/>
      <c r="N65" s="218"/>
      <c r="O65" s="219"/>
      <c r="P65" s="218"/>
      <c r="Q65" s="218"/>
      <c r="R65" s="219"/>
      <c r="S65" s="218"/>
      <c r="T65" s="218"/>
      <c r="U65" s="219"/>
      <c r="V65" s="218"/>
      <c r="W65" s="218"/>
      <c r="X65" s="219"/>
      <c r="Y65" s="218"/>
    </row>
    <row r="66" spans="4:25" ht="12.75">
      <c r="D66" s="218"/>
      <c r="E66" s="218"/>
      <c r="F66" s="219"/>
      <c r="G66" s="218"/>
      <c r="H66" s="218"/>
      <c r="I66" s="219"/>
      <c r="J66" s="218"/>
      <c r="K66" s="218"/>
      <c r="L66" s="219"/>
      <c r="M66" s="218"/>
      <c r="N66" s="218"/>
      <c r="O66" s="219"/>
      <c r="P66" s="218"/>
      <c r="Q66" s="218"/>
      <c r="R66" s="219"/>
      <c r="S66" s="218"/>
      <c r="T66" s="218"/>
      <c r="U66" s="219"/>
      <c r="V66" s="218"/>
      <c r="W66" s="218"/>
      <c r="X66" s="369" t="s">
        <v>145</v>
      </c>
      <c r="Y66" s="218"/>
    </row>
    <row r="67" spans="1:25" ht="12.75">
      <c r="A67" s="20"/>
      <c r="D67" s="218"/>
      <c r="E67" s="218"/>
      <c r="F67" s="219"/>
      <c r="G67" s="218"/>
      <c r="H67" s="218"/>
      <c r="I67" s="219"/>
      <c r="J67" s="218"/>
      <c r="K67" s="218"/>
      <c r="L67" s="219"/>
      <c r="M67" s="218"/>
      <c r="N67" s="218"/>
      <c r="O67" s="219"/>
      <c r="P67" s="218"/>
      <c r="Q67" s="218"/>
      <c r="R67" s="219"/>
      <c r="S67" s="218"/>
      <c r="T67" s="218"/>
      <c r="U67" s="219"/>
      <c r="V67" s="218"/>
      <c r="W67" s="218"/>
      <c r="X67" s="369" t="s">
        <v>143</v>
      </c>
      <c r="Y67" s="218"/>
    </row>
    <row r="68" spans="1:25" ht="15">
      <c r="A68" s="424" t="s">
        <v>27</v>
      </c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424"/>
      <c r="M68" s="424"/>
      <c r="N68" s="424"/>
      <c r="O68" s="424"/>
      <c r="P68" s="424"/>
      <c r="Q68" s="424"/>
      <c r="R68" s="424"/>
      <c r="S68" s="424"/>
      <c r="T68" s="424"/>
      <c r="U68" s="424"/>
      <c r="V68" s="424"/>
      <c r="W68" s="424"/>
      <c r="X68" s="424"/>
      <c r="Y68" s="218"/>
    </row>
    <row r="69" spans="1:24" ht="15">
      <c r="A69" s="424" t="s">
        <v>28</v>
      </c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424"/>
      <c r="M69" s="424"/>
      <c r="N69" s="424"/>
      <c r="O69" s="424"/>
      <c r="P69" s="424"/>
      <c r="Q69" s="424"/>
      <c r="R69" s="424"/>
      <c r="S69" s="424"/>
      <c r="T69" s="424"/>
      <c r="U69" s="424"/>
      <c r="V69" s="424"/>
      <c r="W69" s="424"/>
      <c r="X69" s="424"/>
    </row>
    <row r="70" ht="13.5" thickBot="1"/>
    <row r="71" spans="1:25" ht="13.5" thickBot="1">
      <c r="A71" s="279" t="s">
        <v>84</v>
      </c>
      <c r="B71" s="197" t="s">
        <v>83</v>
      </c>
      <c r="C71" s="204">
        <v>2013</v>
      </c>
      <c r="D71" s="201" t="s">
        <v>2</v>
      </c>
      <c r="E71" s="197" t="s">
        <v>83</v>
      </c>
      <c r="F71" s="204">
        <v>2014</v>
      </c>
      <c r="G71" s="201" t="s">
        <v>2</v>
      </c>
      <c r="H71" s="197" t="s">
        <v>83</v>
      </c>
      <c r="I71" s="204">
        <v>2015</v>
      </c>
      <c r="J71" s="201" t="s">
        <v>2</v>
      </c>
      <c r="K71" s="197" t="s">
        <v>83</v>
      </c>
      <c r="L71" s="204">
        <v>2016</v>
      </c>
      <c r="M71" s="201" t="s">
        <v>2</v>
      </c>
      <c r="N71" s="197" t="s">
        <v>83</v>
      </c>
      <c r="O71" s="204">
        <v>2017</v>
      </c>
      <c r="P71" s="201" t="s">
        <v>2</v>
      </c>
      <c r="Q71" s="197" t="s">
        <v>83</v>
      </c>
      <c r="R71" s="204">
        <v>2018</v>
      </c>
      <c r="S71" s="201" t="s">
        <v>2</v>
      </c>
      <c r="T71" s="197" t="s">
        <v>83</v>
      </c>
      <c r="U71" s="204">
        <v>2019</v>
      </c>
      <c r="V71" s="201" t="s">
        <v>2</v>
      </c>
      <c r="W71" s="197" t="s">
        <v>83</v>
      </c>
      <c r="X71" s="351">
        <v>2020</v>
      </c>
      <c r="Y71" s="200" t="s">
        <v>2</v>
      </c>
    </row>
    <row r="72" spans="1:28" ht="12.75">
      <c r="A72" s="295" t="s">
        <v>52</v>
      </c>
      <c r="B72" s="205">
        <v>1</v>
      </c>
      <c r="C72" s="296">
        <v>126506.275009915</v>
      </c>
      <c r="D72" s="310">
        <f>SUM(B72*C72)</f>
        <v>126506.275009915</v>
      </c>
      <c r="E72" s="205">
        <v>1</v>
      </c>
      <c r="F72" s="311">
        <v>134096.6515105099</v>
      </c>
      <c r="G72" s="310">
        <f>SUM(E72*F72)</f>
        <v>134096.6515105099</v>
      </c>
      <c r="H72" s="205">
        <v>1</v>
      </c>
      <c r="I72" s="296">
        <v>142142.4506011405</v>
      </c>
      <c r="J72" s="310">
        <f>SUM(H72*I72)</f>
        <v>142142.4506011405</v>
      </c>
      <c r="K72" s="205">
        <v>1</v>
      </c>
      <c r="L72" s="296">
        <v>150670.9976372089</v>
      </c>
      <c r="M72" s="310">
        <f>SUM(K72*L72)</f>
        <v>150670.9976372089</v>
      </c>
      <c r="N72" s="205">
        <v>1</v>
      </c>
      <c r="O72" s="311">
        <v>159711.25749544147</v>
      </c>
      <c r="P72" s="310">
        <f>SUM(N72*O72)</f>
        <v>159711.25749544147</v>
      </c>
      <c r="Q72" s="205">
        <v>1</v>
      </c>
      <c r="R72" s="311">
        <v>169293.93294516797</v>
      </c>
      <c r="S72" s="310">
        <f>SUM(Q72*R72)</f>
        <v>169293.93294516797</v>
      </c>
      <c r="T72" s="205">
        <v>1</v>
      </c>
      <c r="U72" s="311">
        <v>179451.56892187806</v>
      </c>
      <c r="V72" s="310">
        <f>SUM(T72*U72)</f>
        <v>179451.56892187806</v>
      </c>
      <c r="W72" s="205">
        <v>1</v>
      </c>
      <c r="X72" s="352">
        <v>190218.66305719077</v>
      </c>
      <c r="Y72" s="297">
        <f>SUM(W72*X72)</f>
        <v>190218.66305719077</v>
      </c>
      <c r="Z72" s="22"/>
      <c r="AA72" s="21"/>
      <c r="AB72" s="21"/>
    </row>
    <row r="73" spans="1:28" ht="12.75">
      <c r="A73" s="207" t="s">
        <v>51</v>
      </c>
      <c r="B73" s="208">
        <v>3</v>
      </c>
      <c r="C73" s="23">
        <v>116797.87204635135</v>
      </c>
      <c r="D73" s="280">
        <f>SUM(B73*C73)</f>
        <v>350393.61613905407</v>
      </c>
      <c r="E73" s="208">
        <v>3</v>
      </c>
      <c r="F73" s="282">
        <v>123805.74436913242</v>
      </c>
      <c r="G73" s="280">
        <f>SUM(E73*F73)</f>
        <v>371417.2331073972</v>
      </c>
      <c r="H73" s="208">
        <v>3</v>
      </c>
      <c r="I73" s="23">
        <v>131234.08903128037</v>
      </c>
      <c r="J73" s="280">
        <f>SUM(H73*I73)</f>
        <v>393702.2670938411</v>
      </c>
      <c r="K73" s="208">
        <v>3</v>
      </c>
      <c r="L73" s="23">
        <v>139108.13437315723</v>
      </c>
      <c r="M73" s="280">
        <f>SUM(K73*L73)</f>
        <v>417324.4031194717</v>
      </c>
      <c r="N73" s="208">
        <v>3</v>
      </c>
      <c r="O73" s="282">
        <v>147454.62243554665</v>
      </c>
      <c r="P73" s="280">
        <f>SUM(N73*O73)</f>
        <v>442363.86730663996</v>
      </c>
      <c r="Q73" s="208">
        <v>3</v>
      </c>
      <c r="R73" s="282">
        <v>156301.89978167944</v>
      </c>
      <c r="S73" s="280">
        <f>SUM(Q73*R73)</f>
        <v>468905.69934503833</v>
      </c>
      <c r="T73" s="208">
        <v>3</v>
      </c>
      <c r="U73" s="282">
        <v>165680.01376858022</v>
      </c>
      <c r="V73" s="280">
        <f>SUM(T73*U73)</f>
        <v>497040.04130574065</v>
      </c>
      <c r="W73" s="208">
        <v>3</v>
      </c>
      <c r="X73" s="353">
        <v>175620.81459469505</v>
      </c>
      <c r="Y73" s="26">
        <f>SUM(W73*X73)</f>
        <v>526862.4437840851</v>
      </c>
      <c r="Z73" s="22"/>
      <c r="AA73" s="21"/>
      <c r="AB73" s="21"/>
    </row>
    <row r="74" spans="1:28" ht="12.75">
      <c r="A74" s="207" t="s">
        <v>50</v>
      </c>
      <c r="B74" s="208">
        <v>11</v>
      </c>
      <c r="C74" s="23">
        <v>107808.61004305164</v>
      </c>
      <c r="D74" s="280">
        <f>SUM(B74*C74)</f>
        <v>1185894.710473568</v>
      </c>
      <c r="E74" s="208">
        <v>11</v>
      </c>
      <c r="F74" s="282">
        <v>114277.12664563474</v>
      </c>
      <c r="G74" s="280">
        <f>SUM(E74*F74)</f>
        <v>1257048.393101982</v>
      </c>
      <c r="H74" s="208">
        <v>11</v>
      </c>
      <c r="I74" s="23">
        <v>121133.75424437283</v>
      </c>
      <c r="J74" s="280">
        <f>SUM(H74*I74)</f>
        <v>1332471.2966881013</v>
      </c>
      <c r="K74" s="208">
        <v>11</v>
      </c>
      <c r="L74" s="23">
        <v>128401.77949903521</v>
      </c>
      <c r="M74" s="280">
        <f>SUM(K74*L74)</f>
        <v>1412419.5744893872</v>
      </c>
      <c r="N74" s="208">
        <v>11</v>
      </c>
      <c r="O74" s="282">
        <v>136105.8862689773</v>
      </c>
      <c r="P74" s="280">
        <f>SUM(N74*O74)</f>
        <v>1497164.7489587504</v>
      </c>
      <c r="Q74" s="208">
        <v>11</v>
      </c>
      <c r="R74" s="282">
        <v>144272.23944511596</v>
      </c>
      <c r="S74" s="280">
        <f>SUM(Q74*R74)</f>
        <v>1586994.6338962757</v>
      </c>
      <c r="T74" s="208">
        <v>11</v>
      </c>
      <c r="U74" s="282">
        <v>152928.57381182292</v>
      </c>
      <c r="V74" s="280">
        <f>SUM(T74*U74)</f>
        <v>1682214.311930052</v>
      </c>
      <c r="W74" s="208">
        <v>11</v>
      </c>
      <c r="X74" s="353">
        <v>162104.2882405323</v>
      </c>
      <c r="Y74" s="26">
        <f>SUM(W74*X74)</f>
        <v>1783147.1706458554</v>
      </c>
      <c r="Z74" s="22"/>
      <c r="AA74" s="21"/>
      <c r="AB74" s="21"/>
    </row>
    <row r="75" spans="1:28" ht="13.5" thickBot="1">
      <c r="A75" s="213" t="s">
        <v>49</v>
      </c>
      <c r="B75" s="210">
        <v>11</v>
      </c>
      <c r="C75" s="55">
        <v>98506.67805702846</v>
      </c>
      <c r="D75" s="281">
        <f>SUM(B75*C75)</f>
        <v>1083573.4586273131</v>
      </c>
      <c r="E75" s="210">
        <v>11</v>
      </c>
      <c r="F75" s="312">
        <v>104417.07874045018</v>
      </c>
      <c r="G75" s="281">
        <f>SUM(E75*F75)</f>
        <v>1148587.866144952</v>
      </c>
      <c r="H75" s="210">
        <v>11</v>
      </c>
      <c r="I75" s="55">
        <v>110682.10346487717</v>
      </c>
      <c r="J75" s="281">
        <f>SUM(H75*I75)</f>
        <v>1217503.1381136489</v>
      </c>
      <c r="K75" s="210">
        <v>11</v>
      </c>
      <c r="L75" s="55">
        <v>117323.02967276983</v>
      </c>
      <c r="M75" s="281">
        <f>SUM(K75*L75)</f>
        <v>1290553.3264004681</v>
      </c>
      <c r="N75" s="210">
        <v>11</v>
      </c>
      <c r="O75" s="312">
        <v>124362.41145313601</v>
      </c>
      <c r="P75" s="281">
        <f>SUM(N75*O75)</f>
        <v>1367986.525984496</v>
      </c>
      <c r="Q75" s="210">
        <v>11</v>
      </c>
      <c r="R75" s="312">
        <v>131824.1561403242</v>
      </c>
      <c r="S75" s="281">
        <f>SUM(Q75*R75)</f>
        <v>1450065.7175435661</v>
      </c>
      <c r="T75" s="210">
        <v>11</v>
      </c>
      <c r="U75" s="312">
        <v>139733.60550874364</v>
      </c>
      <c r="V75" s="281">
        <f>SUM(T75*U75)</f>
        <v>1537069.66059618</v>
      </c>
      <c r="W75" s="210">
        <v>11</v>
      </c>
      <c r="X75" s="354">
        <v>148117.62183926828</v>
      </c>
      <c r="Y75" s="195">
        <f>SUM(W75*X75)</f>
        <v>1629293.840231951</v>
      </c>
      <c r="Z75" s="21"/>
      <c r="AA75" s="21"/>
      <c r="AB75" s="21"/>
    </row>
    <row r="76" spans="1:28" ht="12.75">
      <c r="A76" s="302" t="s">
        <v>48</v>
      </c>
      <c r="B76" s="205">
        <v>119</v>
      </c>
      <c r="C76" s="296">
        <v>87250.55867898362</v>
      </c>
      <c r="D76" s="310">
        <f>SUM(B76*C76)</f>
        <v>10382816.482799051</v>
      </c>
      <c r="E76" s="205">
        <v>119</v>
      </c>
      <c r="F76" s="311">
        <v>92485.59219972265</v>
      </c>
      <c r="G76" s="310">
        <f>SUM(E76*F76)</f>
        <v>11005785.471766995</v>
      </c>
      <c r="H76" s="205">
        <v>119</v>
      </c>
      <c r="I76" s="296">
        <v>98034.727731706</v>
      </c>
      <c r="J76" s="310">
        <f>SUM(H76*I76)</f>
        <v>11666132.600073015</v>
      </c>
      <c r="K76" s="205">
        <v>119</v>
      </c>
      <c r="L76" s="296">
        <v>103916.81139560837</v>
      </c>
      <c r="M76" s="310">
        <f>SUM(K76*L76)</f>
        <v>12366100.556077396</v>
      </c>
      <c r="N76" s="205">
        <v>119</v>
      </c>
      <c r="O76" s="311">
        <v>110151.82007934488</v>
      </c>
      <c r="P76" s="310">
        <f>SUM(N76*O76)</f>
        <v>13108066.58944204</v>
      </c>
      <c r="Q76" s="205">
        <v>119</v>
      </c>
      <c r="R76" s="311">
        <v>116760.92928410557</v>
      </c>
      <c r="S76" s="310">
        <f>SUM(Q76*R76)</f>
        <v>13894550.584808564</v>
      </c>
      <c r="T76" s="205">
        <v>119</v>
      </c>
      <c r="U76" s="311">
        <v>123766.58504115192</v>
      </c>
      <c r="V76" s="310">
        <f>SUM(T76*U76)</f>
        <v>14728223.619897079</v>
      </c>
      <c r="W76" s="205">
        <v>119</v>
      </c>
      <c r="X76" s="352">
        <v>131192.58014362105</v>
      </c>
      <c r="Y76" s="297">
        <f>SUM(W76*X76)</f>
        <v>15611917.037090905</v>
      </c>
      <c r="Z76" s="21"/>
      <c r="AA76" s="21"/>
      <c r="AB76" s="21"/>
    </row>
    <row r="77" spans="1:28" ht="12.75">
      <c r="A77" s="212" t="s">
        <v>47</v>
      </c>
      <c r="B77" s="208">
        <v>362</v>
      </c>
      <c r="C77" s="23">
        <v>79214.94012299053</v>
      </c>
      <c r="D77" s="280">
        <f aca="true" t="shared" si="8" ref="D77:D94">SUM(B77*C77)</f>
        <v>28675808.324522574</v>
      </c>
      <c r="E77" s="208">
        <v>362</v>
      </c>
      <c r="F77" s="282">
        <v>83967.83653036997</v>
      </c>
      <c r="G77" s="280">
        <f aca="true" t="shared" si="9" ref="G77:G94">SUM(E77*F77)</f>
        <v>30396356.82399393</v>
      </c>
      <c r="H77" s="208">
        <v>362</v>
      </c>
      <c r="I77" s="23">
        <v>89005.90672219219</v>
      </c>
      <c r="J77" s="280">
        <f aca="true" t="shared" si="10" ref="J77:J94">SUM(H77*I77)</f>
        <v>32220138.23343357</v>
      </c>
      <c r="K77" s="208">
        <v>362</v>
      </c>
      <c r="L77" s="23">
        <v>94346.26112552371</v>
      </c>
      <c r="M77" s="280">
        <f aca="true" t="shared" si="11" ref="M77:M94">SUM(K77*L77)</f>
        <v>34153346.52743959</v>
      </c>
      <c r="N77" s="208">
        <v>362</v>
      </c>
      <c r="O77" s="282">
        <v>100007.03679305514</v>
      </c>
      <c r="P77" s="280">
        <f aca="true" t="shared" si="12" ref="P77:P94">SUM(N77*O77)</f>
        <v>36202547.31908596</v>
      </c>
      <c r="Q77" s="208">
        <v>362</v>
      </c>
      <c r="R77" s="282">
        <v>106007.45900063845</v>
      </c>
      <c r="S77" s="280">
        <f aca="true" t="shared" si="13" ref="S77:S94">SUM(Q77*R77)</f>
        <v>38374700.15823112</v>
      </c>
      <c r="T77" s="208">
        <v>362</v>
      </c>
      <c r="U77" s="282">
        <v>112367.90654067678</v>
      </c>
      <c r="V77" s="280">
        <f aca="true" t="shared" si="14" ref="V77:V94">SUM(T77*U77)</f>
        <v>40677182.167725</v>
      </c>
      <c r="W77" s="208">
        <v>362</v>
      </c>
      <c r="X77" s="353">
        <v>119109.98093311739</v>
      </c>
      <c r="Y77" s="26">
        <f aca="true" t="shared" si="15" ref="Y77:Y94">SUM(W77*X77)</f>
        <v>43117813.0977885</v>
      </c>
      <c r="Z77" s="21"/>
      <c r="AA77" s="21"/>
      <c r="AB77" s="21"/>
    </row>
    <row r="78" spans="1:28" ht="12.75">
      <c r="A78" s="207" t="s">
        <v>46</v>
      </c>
      <c r="B78" s="208">
        <v>676</v>
      </c>
      <c r="C78" s="23">
        <v>71476.3580505847</v>
      </c>
      <c r="D78" s="280">
        <f t="shared" si="8"/>
        <v>48318018.04219526</v>
      </c>
      <c r="E78" s="208">
        <v>676</v>
      </c>
      <c r="F78" s="282">
        <v>75764.93953361979</v>
      </c>
      <c r="G78" s="280">
        <f t="shared" si="9"/>
        <v>51217099.12472698</v>
      </c>
      <c r="H78" s="208">
        <v>676</v>
      </c>
      <c r="I78" s="23">
        <v>80310.83590563698</v>
      </c>
      <c r="J78" s="280">
        <f t="shared" si="10"/>
        <v>54290125.0722106</v>
      </c>
      <c r="K78" s="208">
        <v>676</v>
      </c>
      <c r="L78" s="23">
        <v>85129.4860599752</v>
      </c>
      <c r="M78" s="280">
        <f t="shared" si="11"/>
        <v>57547532.576543234</v>
      </c>
      <c r="N78" s="208">
        <v>676</v>
      </c>
      <c r="O78" s="282">
        <v>90237.25522357371</v>
      </c>
      <c r="P78" s="280">
        <f t="shared" si="12"/>
        <v>61000384.53113583</v>
      </c>
      <c r="Q78" s="208">
        <v>676</v>
      </c>
      <c r="R78" s="282">
        <v>95651.49053698813</v>
      </c>
      <c r="S78" s="280">
        <f t="shared" si="13"/>
        <v>64660407.60300398</v>
      </c>
      <c r="T78" s="208">
        <v>676</v>
      </c>
      <c r="U78" s="282">
        <v>101390.57996920744</v>
      </c>
      <c r="V78" s="280">
        <f t="shared" si="14"/>
        <v>68540032.05918422</v>
      </c>
      <c r="W78" s="208">
        <v>676</v>
      </c>
      <c r="X78" s="353">
        <v>107474.01476735988</v>
      </c>
      <c r="Y78" s="26">
        <f t="shared" si="15"/>
        <v>72652433.98273528</v>
      </c>
      <c r="Z78" s="21"/>
      <c r="AA78" s="21"/>
      <c r="AB78" s="21"/>
    </row>
    <row r="79" spans="1:28" ht="12.75">
      <c r="A79" s="207" t="s">
        <v>45</v>
      </c>
      <c r="B79" s="208">
        <v>1175</v>
      </c>
      <c r="C79" s="23">
        <v>62299.49405765092</v>
      </c>
      <c r="D79" s="280">
        <f t="shared" si="8"/>
        <v>73201905.51773983</v>
      </c>
      <c r="E79" s="208">
        <v>1175</v>
      </c>
      <c r="F79" s="282">
        <v>66037.46370110998</v>
      </c>
      <c r="G79" s="280">
        <f t="shared" si="9"/>
        <v>77594019.84880424</v>
      </c>
      <c r="H79" s="208">
        <v>1175</v>
      </c>
      <c r="I79" s="23">
        <v>69999.71152317658</v>
      </c>
      <c r="J79" s="280">
        <f t="shared" si="10"/>
        <v>82249661.03973249</v>
      </c>
      <c r="K79" s="208">
        <v>1175</v>
      </c>
      <c r="L79" s="23">
        <v>74199.69421456716</v>
      </c>
      <c r="M79" s="280">
        <f t="shared" si="11"/>
        <v>87184640.70211641</v>
      </c>
      <c r="N79" s="208">
        <v>1175</v>
      </c>
      <c r="O79" s="282">
        <v>78651.6758674412</v>
      </c>
      <c r="P79" s="280">
        <f t="shared" si="12"/>
        <v>92415719.1442434</v>
      </c>
      <c r="Q79" s="208">
        <v>1175</v>
      </c>
      <c r="R79" s="282">
        <v>83370.7764194877</v>
      </c>
      <c r="S79" s="280">
        <f t="shared" si="13"/>
        <v>97960662.29289804</v>
      </c>
      <c r="T79" s="208">
        <v>1175</v>
      </c>
      <c r="U79" s="282">
        <v>88373.02300465695</v>
      </c>
      <c r="V79" s="280">
        <f t="shared" si="14"/>
        <v>103838302.03047192</v>
      </c>
      <c r="W79" s="208">
        <v>1175</v>
      </c>
      <c r="X79" s="353">
        <v>93675.40438493638</v>
      </c>
      <c r="Y79" s="26">
        <f t="shared" si="15"/>
        <v>110068600.15230025</v>
      </c>
      <c r="Z79" s="21"/>
      <c r="AA79" s="21"/>
      <c r="AB79" s="21"/>
    </row>
    <row r="80" spans="1:28" ht="12.75">
      <c r="A80" s="212" t="s">
        <v>44</v>
      </c>
      <c r="B80" s="208">
        <v>1106</v>
      </c>
      <c r="C80" s="23">
        <v>52059.55212345735</v>
      </c>
      <c r="D80" s="280">
        <f t="shared" si="8"/>
        <v>57577864.648543835</v>
      </c>
      <c r="E80" s="208">
        <v>1106</v>
      </c>
      <c r="F80" s="282">
        <v>55183.1252508648</v>
      </c>
      <c r="G80" s="280">
        <f t="shared" si="9"/>
        <v>61032536.52745647</v>
      </c>
      <c r="H80" s="208">
        <v>1106</v>
      </c>
      <c r="I80" s="23">
        <v>58494.11276591669</v>
      </c>
      <c r="J80" s="280">
        <f t="shared" si="10"/>
        <v>64694488.71910386</v>
      </c>
      <c r="K80" s="208">
        <v>1106</v>
      </c>
      <c r="L80" s="23">
        <v>62003.75953187169</v>
      </c>
      <c r="M80" s="280">
        <f t="shared" si="11"/>
        <v>68576158.0422501</v>
      </c>
      <c r="N80" s="208">
        <v>1106</v>
      </c>
      <c r="O80" s="282">
        <v>65723.985103784</v>
      </c>
      <c r="P80" s="280">
        <f t="shared" si="12"/>
        <v>72690727.5247851</v>
      </c>
      <c r="Q80" s="208">
        <v>1106</v>
      </c>
      <c r="R80" s="282">
        <v>69667.42421001104</v>
      </c>
      <c r="S80" s="280">
        <f t="shared" si="13"/>
        <v>77052171.17627221</v>
      </c>
      <c r="T80" s="208">
        <v>1106</v>
      </c>
      <c r="U80" s="282">
        <v>73847.46966261171</v>
      </c>
      <c r="V80" s="280">
        <f t="shared" si="14"/>
        <v>81675301.44684854</v>
      </c>
      <c r="W80" s="208">
        <v>1106</v>
      </c>
      <c r="X80" s="353">
        <v>78278.31784236841</v>
      </c>
      <c r="Y80" s="26">
        <f t="shared" si="15"/>
        <v>86575819.53365947</v>
      </c>
      <c r="Z80" s="21"/>
      <c r="AA80" s="21"/>
      <c r="AB80" s="21"/>
    </row>
    <row r="81" spans="1:28" ht="13.5" thickBot="1">
      <c r="A81" s="213" t="s">
        <v>43</v>
      </c>
      <c r="B81" s="210">
        <v>714</v>
      </c>
      <c r="C81" s="55">
        <v>41991.578679761704</v>
      </c>
      <c r="D81" s="281">
        <f t="shared" si="8"/>
        <v>29981987.177349858</v>
      </c>
      <c r="E81" s="210">
        <v>714</v>
      </c>
      <c r="F81" s="312">
        <v>44511.073400547415</v>
      </c>
      <c r="G81" s="281">
        <f t="shared" si="9"/>
        <v>31780906.407990854</v>
      </c>
      <c r="H81" s="210">
        <v>714</v>
      </c>
      <c r="I81" s="55">
        <v>47181.73780458026</v>
      </c>
      <c r="J81" s="281">
        <f t="shared" si="10"/>
        <v>33687760.792470306</v>
      </c>
      <c r="K81" s="210">
        <v>714</v>
      </c>
      <c r="L81" s="55">
        <v>50012.64207285509</v>
      </c>
      <c r="M81" s="281">
        <f t="shared" si="11"/>
        <v>35709026.440018535</v>
      </c>
      <c r="N81" s="210">
        <v>714</v>
      </c>
      <c r="O81" s="312">
        <v>53013.40059722639</v>
      </c>
      <c r="P81" s="281">
        <f t="shared" si="12"/>
        <v>37851568.02641965</v>
      </c>
      <c r="Q81" s="210">
        <v>714</v>
      </c>
      <c r="R81" s="312">
        <v>56194.20463305998</v>
      </c>
      <c r="S81" s="281">
        <f t="shared" si="13"/>
        <v>40122662.10800482</v>
      </c>
      <c r="T81" s="210">
        <v>714</v>
      </c>
      <c r="U81" s="312">
        <v>59565.85691104358</v>
      </c>
      <c r="V81" s="281">
        <f t="shared" si="14"/>
        <v>42530021.83448511</v>
      </c>
      <c r="W81" s="210">
        <v>714</v>
      </c>
      <c r="X81" s="354">
        <v>63139.808325706195</v>
      </c>
      <c r="Y81" s="195">
        <f t="shared" si="15"/>
        <v>45081823.14455422</v>
      </c>
      <c r="Z81" s="21"/>
      <c r="AA81" s="21"/>
      <c r="AB81" s="21"/>
    </row>
    <row r="82" spans="1:28" ht="12.75">
      <c r="A82" s="303" t="s">
        <v>42</v>
      </c>
      <c r="B82" s="205">
        <v>13</v>
      </c>
      <c r="C82" s="296">
        <v>61126.98162243791</v>
      </c>
      <c r="D82" s="310">
        <f t="shared" si="8"/>
        <v>794650.7610916928</v>
      </c>
      <c r="E82" s="205">
        <v>13</v>
      </c>
      <c r="F82" s="311">
        <v>64794.60051978419</v>
      </c>
      <c r="G82" s="310">
        <f t="shared" si="9"/>
        <v>842329.8067571945</v>
      </c>
      <c r="H82" s="205">
        <v>13</v>
      </c>
      <c r="I82" s="296">
        <v>68682.27655097123</v>
      </c>
      <c r="J82" s="310">
        <f t="shared" si="10"/>
        <v>892869.595162626</v>
      </c>
      <c r="K82" s="205">
        <v>13</v>
      </c>
      <c r="L82" s="296">
        <v>72803.21314402952</v>
      </c>
      <c r="M82" s="310">
        <f t="shared" si="11"/>
        <v>946441.7708723837</v>
      </c>
      <c r="N82" s="205">
        <v>13</v>
      </c>
      <c r="O82" s="311">
        <v>77171.40593267127</v>
      </c>
      <c r="P82" s="310">
        <f t="shared" si="12"/>
        <v>1003228.2771247266</v>
      </c>
      <c r="Q82" s="205">
        <v>13</v>
      </c>
      <c r="R82" s="311">
        <v>81801.69028863157</v>
      </c>
      <c r="S82" s="310">
        <f t="shared" si="13"/>
        <v>1063421.9737522104</v>
      </c>
      <c r="T82" s="205">
        <v>13</v>
      </c>
      <c r="U82" s="311">
        <v>86709.79170594946</v>
      </c>
      <c r="V82" s="310">
        <f t="shared" si="14"/>
        <v>1127227.292177343</v>
      </c>
      <c r="W82" s="205">
        <v>13</v>
      </c>
      <c r="X82" s="352">
        <v>91912.37920830643</v>
      </c>
      <c r="Y82" s="297">
        <f t="shared" si="15"/>
        <v>1194860.9297079835</v>
      </c>
      <c r="Z82" s="21"/>
      <c r="AA82" s="21"/>
      <c r="AB82" s="21"/>
    </row>
    <row r="83" spans="1:28" ht="12.75">
      <c r="A83" s="207" t="s">
        <v>41</v>
      </c>
      <c r="B83" s="208">
        <v>107</v>
      </c>
      <c r="C83" s="23">
        <v>52434.75610272553</v>
      </c>
      <c r="D83" s="280">
        <f t="shared" si="8"/>
        <v>5610518.902991632</v>
      </c>
      <c r="E83" s="208">
        <v>107</v>
      </c>
      <c r="F83" s="282">
        <v>55580.84146888907</v>
      </c>
      <c r="G83" s="280">
        <f t="shared" si="9"/>
        <v>5947150.03717113</v>
      </c>
      <c r="H83" s="208">
        <v>107</v>
      </c>
      <c r="I83" s="23">
        <v>58915.69195702241</v>
      </c>
      <c r="J83" s="280">
        <f t="shared" si="10"/>
        <v>6303979.039401398</v>
      </c>
      <c r="K83" s="208">
        <v>107</v>
      </c>
      <c r="L83" s="23">
        <v>62450.63347444376</v>
      </c>
      <c r="M83" s="280">
        <f t="shared" si="11"/>
        <v>6682217.781765482</v>
      </c>
      <c r="N83" s="208">
        <v>107</v>
      </c>
      <c r="O83" s="282">
        <v>66197.67148291039</v>
      </c>
      <c r="P83" s="280">
        <f t="shared" si="12"/>
        <v>7083150.848671411</v>
      </c>
      <c r="Q83" s="208">
        <v>107</v>
      </c>
      <c r="R83" s="282">
        <v>70169.53177188503</v>
      </c>
      <c r="S83" s="280">
        <f t="shared" si="13"/>
        <v>7508139.899591698</v>
      </c>
      <c r="T83" s="208">
        <v>107</v>
      </c>
      <c r="U83" s="282">
        <v>74379.70367819813</v>
      </c>
      <c r="V83" s="280">
        <f t="shared" si="14"/>
        <v>7958628.2935672</v>
      </c>
      <c r="W83" s="208">
        <v>107</v>
      </c>
      <c r="X83" s="353">
        <v>78842.48589889002</v>
      </c>
      <c r="Y83" s="26">
        <f t="shared" si="15"/>
        <v>8436145.991181232</v>
      </c>
      <c r="Z83" s="21"/>
      <c r="AA83" s="21"/>
      <c r="AB83" s="21"/>
    </row>
    <row r="84" spans="1:28" ht="13.5" thickBot="1">
      <c r="A84" s="304" t="s">
        <v>40</v>
      </c>
      <c r="B84" s="210">
        <v>198</v>
      </c>
      <c r="C84" s="55">
        <v>45618.55047935393</v>
      </c>
      <c r="D84" s="281">
        <f t="shared" si="8"/>
        <v>9032472.994912079</v>
      </c>
      <c r="E84" s="210">
        <v>198</v>
      </c>
      <c r="F84" s="312">
        <v>48355.66350811516</v>
      </c>
      <c r="G84" s="281">
        <f t="shared" si="9"/>
        <v>9574421.374606801</v>
      </c>
      <c r="H84" s="210">
        <v>198</v>
      </c>
      <c r="I84" s="55">
        <v>51257.003318602074</v>
      </c>
      <c r="J84" s="281">
        <f t="shared" si="10"/>
        <v>10148886.657083211</v>
      </c>
      <c r="K84" s="210">
        <v>198</v>
      </c>
      <c r="L84" s="55">
        <v>54332.4235177182</v>
      </c>
      <c r="M84" s="281">
        <f t="shared" si="11"/>
        <v>10757819.856508203</v>
      </c>
      <c r="N84" s="210">
        <v>198</v>
      </c>
      <c r="O84" s="312">
        <v>57592.368928781296</v>
      </c>
      <c r="P84" s="281">
        <f t="shared" si="12"/>
        <v>11403289.047898697</v>
      </c>
      <c r="Q84" s="210">
        <v>198</v>
      </c>
      <c r="R84" s="312">
        <v>61047.911064508175</v>
      </c>
      <c r="S84" s="281">
        <f t="shared" si="13"/>
        <v>12087486.390772618</v>
      </c>
      <c r="T84" s="210">
        <v>198</v>
      </c>
      <c r="U84" s="312">
        <v>64710.785728378665</v>
      </c>
      <c r="V84" s="281">
        <f t="shared" si="14"/>
        <v>12812735.574218975</v>
      </c>
      <c r="W84" s="210">
        <v>198</v>
      </c>
      <c r="X84" s="354">
        <v>68593.43287208138</v>
      </c>
      <c r="Y84" s="195">
        <f t="shared" si="15"/>
        <v>13581499.708672114</v>
      </c>
      <c r="Z84" s="21"/>
      <c r="AA84" s="21"/>
      <c r="AB84" s="21"/>
    </row>
    <row r="85" spans="1:28" ht="12.75">
      <c r="A85" s="303" t="s">
        <v>39</v>
      </c>
      <c r="B85" s="205">
        <v>50</v>
      </c>
      <c r="C85" s="296">
        <v>54983.01646192178</v>
      </c>
      <c r="D85" s="310">
        <f t="shared" si="8"/>
        <v>2749150.823096089</v>
      </c>
      <c r="E85" s="205">
        <v>50</v>
      </c>
      <c r="F85" s="311">
        <v>58281.997449637085</v>
      </c>
      <c r="G85" s="310">
        <f t="shared" si="9"/>
        <v>2914099.872481854</v>
      </c>
      <c r="H85" s="205">
        <v>50</v>
      </c>
      <c r="I85" s="296">
        <v>61778.91729661532</v>
      </c>
      <c r="J85" s="310">
        <f t="shared" si="10"/>
        <v>3088945.864830766</v>
      </c>
      <c r="K85" s="205">
        <v>50</v>
      </c>
      <c r="L85" s="296">
        <v>65485.65233441225</v>
      </c>
      <c r="M85" s="310">
        <f t="shared" si="11"/>
        <v>3274282.616720612</v>
      </c>
      <c r="N85" s="205">
        <v>50</v>
      </c>
      <c r="O85" s="311">
        <v>69414.79147447698</v>
      </c>
      <c r="P85" s="310">
        <f t="shared" si="12"/>
        <v>3470739.573723849</v>
      </c>
      <c r="Q85" s="205">
        <v>50</v>
      </c>
      <c r="R85" s="311">
        <v>73579.67896294562</v>
      </c>
      <c r="S85" s="310">
        <f t="shared" si="13"/>
        <v>3678983.948147281</v>
      </c>
      <c r="T85" s="205">
        <v>50</v>
      </c>
      <c r="U85" s="311">
        <v>77994.45970072235</v>
      </c>
      <c r="V85" s="310">
        <f t="shared" si="14"/>
        <v>3899722.9850361175</v>
      </c>
      <c r="W85" s="205">
        <v>50</v>
      </c>
      <c r="X85" s="352">
        <v>82674.1272827657</v>
      </c>
      <c r="Y85" s="297">
        <f t="shared" si="15"/>
        <v>4133706.3641382847</v>
      </c>
      <c r="Z85" s="21"/>
      <c r="AA85" s="21"/>
      <c r="AB85" s="21"/>
    </row>
    <row r="86" spans="1:28" ht="12.75">
      <c r="A86" s="212" t="s">
        <v>38</v>
      </c>
      <c r="B86" s="208">
        <v>693</v>
      </c>
      <c r="C86" s="23">
        <v>49823.96174698457</v>
      </c>
      <c r="D86" s="280">
        <f t="shared" si="8"/>
        <v>34528005.49066031</v>
      </c>
      <c r="E86" s="208">
        <v>693</v>
      </c>
      <c r="F86" s="282">
        <v>52813.39945180365</v>
      </c>
      <c r="G86" s="280">
        <f t="shared" si="9"/>
        <v>36599685.82009993</v>
      </c>
      <c r="H86" s="208">
        <v>693</v>
      </c>
      <c r="I86" s="23">
        <v>55982.20341891187</v>
      </c>
      <c r="J86" s="280">
        <f t="shared" si="10"/>
        <v>38795666.969305925</v>
      </c>
      <c r="K86" s="208">
        <v>693</v>
      </c>
      <c r="L86" s="23">
        <v>59341.13562404658</v>
      </c>
      <c r="M86" s="280">
        <f t="shared" si="11"/>
        <v>41123406.98746428</v>
      </c>
      <c r="N86" s="208">
        <v>693</v>
      </c>
      <c r="O86" s="282">
        <v>62901.60376148938</v>
      </c>
      <c r="P86" s="280">
        <f t="shared" si="12"/>
        <v>43590811.40671214</v>
      </c>
      <c r="Q86" s="208">
        <v>693</v>
      </c>
      <c r="R86" s="282">
        <v>66675.69998717874</v>
      </c>
      <c r="S86" s="280">
        <f t="shared" si="13"/>
        <v>46206260.09111487</v>
      </c>
      <c r="T86" s="208">
        <v>693</v>
      </c>
      <c r="U86" s="282">
        <v>70676.24198640947</v>
      </c>
      <c r="V86" s="280">
        <f t="shared" si="14"/>
        <v>48978635.696581766</v>
      </c>
      <c r="W86" s="208">
        <v>693</v>
      </c>
      <c r="X86" s="353">
        <v>74916.81650559403</v>
      </c>
      <c r="Y86" s="26">
        <f t="shared" si="15"/>
        <v>51917353.83837666</v>
      </c>
      <c r="Z86" s="21"/>
      <c r="AA86" s="21"/>
      <c r="AB86" s="21"/>
    </row>
    <row r="87" spans="1:28" ht="12.75">
      <c r="A87" s="207" t="s">
        <v>37</v>
      </c>
      <c r="B87" s="208">
        <v>1280</v>
      </c>
      <c r="C87" s="23">
        <v>44289.70305277919</v>
      </c>
      <c r="D87" s="280">
        <f t="shared" si="8"/>
        <v>56690819.90755736</v>
      </c>
      <c r="E87" s="208">
        <v>1280</v>
      </c>
      <c r="F87" s="282">
        <v>46947.08523594594</v>
      </c>
      <c r="G87" s="280">
        <f t="shared" si="9"/>
        <v>60092269.1020108</v>
      </c>
      <c r="H87" s="208">
        <v>1280</v>
      </c>
      <c r="I87" s="23">
        <v>49763.9103501027</v>
      </c>
      <c r="J87" s="280">
        <f t="shared" si="10"/>
        <v>63697805.248131454</v>
      </c>
      <c r="K87" s="208">
        <v>1280</v>
      </c>
      <c r="L87" s="23">
        <v>52749.74497110887</v>
      </c>
      <c r="M87" s="280">
        <f t="shared" si="11"/>
        <v>67519673.56301935</v>
      </c>
      <c r="N87" s="208">
        <v>1280</v>
      </c>
      <c r="O87" s="282">
        <v>55914.7296693754</v>
      </c>
      <c r="P87" s="280">
        <f t="shared" si="12"/>
        <v>71570853.97680052</v>
      </c>
      <c r="Q87" s="208">
        <v>1280</v>
      </c>
      <c r="R87" s="282">
        <v>59269.61344953792</v>
      </c>
      <c r="S87" s="280">
        <f t="shared" si="13"/>
        <v>75865105.21540853</v>
      </c>
      <c r="T87" s="208">
        <v>1280</v>
      </c>
      <c r="U87" s="282">
        <v>62825.790256510205</v>
      </c>
      <c r="V87" s="280">
        <f t="shared" si="14"/>
        <v>80417011.52833307</v>
      </c>
      <c r="W87" s="208">
        <v>1280</v>
      </c>
      <c r="X87" s="353">
        <v>66595.33767190081</v>
      </c>
      <c r="Y87" s="26">
        <f t="shared" si="15"/>
        <v>85242032.22003303</v>
      </c>
      <c r="Z87" s="21"/>
      <c r="AA87" s="21"/>
      <c r="AB87" s="21"/>
    </row>
    <row r="88" spans="1:28" ht="12.75">
      <c r="A88" s="207" t="s">
        <v>36</v>
      </c>
      <c r="B88" s="208">
        <v>2295</v>
      </c>
      <c r="C88" s="23">
        <v>39146.28183697816</v>
      </c>
      <c r="D88" s="280">
        <f t="shared" si="8"/>
        <v>89840716.81586488</v>
      </c>
      <c r="E88" s="208">
        <v>2295</v>
      </c>
      <c r="F88" s="282">
        <v>41495.05874719685</v>
      </c>
      <c r="G88" s="280">
        <f t="shared" si="9"/>
        <v>95231159.82481676</v>
      </c>
      <c r="H88" s="208">
        <v>2295</v>
      </c>
      <c r="I88" s="23">
        <v>43984.76227202866</v>
      </c>
      <c r="J88" s="280">
        <f t="shared" si="10"/>
        <v>100945029.41430578</v>
      </c>
      <c r="K88" s="208">
        <v>2295</v>
      </c>
      <c r="L88" s="23">
        <v>46623.84800835038</v>
      </c>
      <c r="M88" s="280">
        <f t="shared" si="11"/>
        <v>107001731.17916413</v>
      </c>
      <c r="N88" s="208">
        <v>2295</v>
      </c>
      <c r="O88" s="282">
        <v>49421.27888885141</v>
      </c>
      <c r="P88" s="280">
        <f t="shared" si="12"/>
        <v>113421835.04991399</v>
      </c>
      <c r="Q88" s="208">
        <v>2295</v>
      </c>
      <c r="R88" s="282">
        <v>52386.555622182495</v>
      </c>
      <c r="S88" s="280">
        <f t="shared" si="13"/>
        <v>120227145.15290883</v>
      </c>
      <c r="T88" s="208">
        <v>2295</v>
      </c>
      <c r="U88" s="282">
        <v>55529.748959513454</v>
      </c>
      <c r="V88" s="280">
        <f t="shared" si="14"/>
        <v>127440773.86208338</v>
      </c>
      <c r="W88" s="208">
        <v>2295</v>
      </c>
      <c r="X88" s="353">
        <v>58861.533897084264</v>
      </c>
      <c r="Y88" s="26">
        <f t="shared" si="15"/>
        <v>135087220.2938084</v>
      </c>
      <c r="Z88" s="21"/>
      <c r="AA88" s="21"/>
      <c r="AB88" s="21"/>
    </row>
    <row r="89" spans="1:28" ht="13.5" thickBot="1">
      <c r="A89" s="213" t="s">
        <v>35</v>
      </c>
      <c r="B89" s="210">
        <v>1110</v>
      </c>
      <c r="C89" s="55">
        <v>33830.8921306792</v>
      </c>
      <c r="D89" s="281">
        <f t="shared" si="8"/>
        <v>37552290.26505391</v>
      </c>
      <c r="E89" s="210">
        <v>1110</v>
      </c>
      <c r="F89" s="312">
        <v>35860.745658519954</v>
      </c>
      <c r="G89" s="281">
        <f t="shared" si="9"/>
        <v>39805427.680957146</v>
      </c>
      <c r="H89" s="210">
        <v>1110</v>
      </c>
      <c r="I89" s="55">
        <v>38012.390398031144</v>
      </c>
      <c r="J89" s="281">
        <f t="shared" si="10"/>
        <v>42193753.34181457</v>
      </c>
      <c r="K89" s="210">
        <v>1110</v>
      </c>
      <c r="L89" s="55">
        <v>40293.13382191302</v>
      </c>
      <c r="M89" s="281">
        <f t="shared" si="11"/>
        <v>44725378.54232345</v>
      </c>
      <c r="N89" s="210">
        <v>1110</v>
      </c>
      <c r="O89" s="312">
        <v>42710.721851227805</v>
      </c>
      <c r="P89" s="281">
        <f t="shared" si="12"/>
        <v>47408901.25486286</v>
      </c>
      <c r="Q89" s="210">
        <v>1110</v>
      </c>
      <c r="R89" s="312">
        <v>45273.365162301474</v>
      </c>
      <c r="S89" s="281">
        <f t="shared" si="13"/>
        <v>50253435.330154635</v>
      </c>
      <c r="T89" s="210">
        <v>1110</v>
      </c>
      <c r="U89" s="312">
        <v>47989.76707203957</v>
      </c>
      <c r="V89" s="281">
        <f t="shared" si="14"/>
        <v>53268641.44996392</v>
      </c>
      <c r="W89" s="210">
        <v>1110</v>
      </c>
      <c r="X89" s="354">
        <v>50869.153096361944</v>
      </c>
      <c r="Y89" s="195">
        <f t="shared" si="15"/>
        <v>56464759.936961755</v>
      </c>
      <c r="Z89" s="21"/>
      <c r="AA89" s="21"/>
      <c r="AB89" s="21"/>
    </row>
    <row r="90" spans="1:28" ht="12.75">
      <c r="A90" s="302" t="s">
        <v>34</v>
      </c>
      <c r="B90" s="205">
        <v>1639</v>
      </c>
      <c r="C90" s="296">
        <v>30547.85731208279</v>
      </c>
      <c r="D90" s="310">
        <f t="shared" si="8"/>
        <v>50067938.13450369</v>
      </c>
      <c r="E90" s="205">
        <v>1639</v>
      </c>
      <c r="F90" s="311">
        <v>32380.72875080776</v>
      </c>
      <c r="G90" s="310">
        <f t="shared" si="9"/>
        <v>53072014.42257392</v>
      </c>
      <c r="H90" s="205">
        <v>1639</v>
      </c>
      <c r="I90" s="296">
        <v>34323.57247585623</v>
      </c>
      <c r="J90" s="310">
        <f t="shared" si="10"/>
        <v>56256335.28792836</v>
      </c>
      <c r="K90" s="205">
        <v>1639</v>
      </c>
      <c r="L90" s="296">
        <v>36382.986824407606</v>
      </c>
      <c r="M90" s="310">
        <f t="shared" si="11"/>
        <v>59631715.405204065</v>
      </c>
      <c r="N90" s="205">
        <v>1639</v>
      </c>
      <c r="O90" s="311">
        <v>38565.96603387206</v>
      </c>
      <c r="P90" s="310">
        <f t="shared" si="12"/>
        <v>63209618.3295163</v>
      </c>
      <c r="Q90" s="205">
        <v>1639</v>
      </c>
      <c r="R90" s="311">
        <v>40879.92399590439</v>
      </c>
      <c r="S90" s="310">
        <f t="shared" si="13"/>
        <v>67002195.4292873</v>
      </c>
      <c r="T90" s="205">
        <v>1639</v>
      </c>
      <c r="U90" s="311">
        <v>43332.719435658655</v>
      </c>
      <c r="V90" s="310">
        <f t="shared" si="14"/>
        <v>71022327.15504454</v>
      </c>
      <c r="W90" s="205">
        <v>1639</v>
      </c>
      <c r="X90" s="352">
        <v>45932.68260179818</v>
      </c>
      <c r="Y90" s="297">
        <f t="shared" si="15"/>
        <v>75283666.78434722</v>
      </c>
      <c r="Z90" s="21"/>
      <c r="AA90" s="21"/>
      <c r="AB90" s="21"/>
    </row>
    <row r="91" spans="1:28" ht="12.75">
      <c r="A91" s="207" t="s">
        <v>33</v>
      </c>
      <c r="B91" s="208">
        <v>3268</v>
      </c>
      <c r="C91" s="23">
        <v>27655.65997189071</v>
      </c>
      <c r="D91" s="280">
        <f t="shared" si="8"/>
        <v>90378696.78813884</v>
      </c>
      <c r="E91" s="208">
        <v>3268</v>
      </c>
      <c r="F91" s="282">
        <v>29314.999570204156</v>
      </c>
      <c r="G91" s="280">
        <f t="shared" si="9"/>
        <v>95801418.59542719</v>
      </c>
      <c r="H91" s="208">
        <v>3268</v>
      </c>
      <c r="I91" s="23">
        <v>31073.899544416403</v>
      </c>
      <c r="J91" s="280">
        <f t="shared" si="10"/>
        <v>101549503.7111528</v>
      </c>
      <c r="K91" s="208">
        <v>3268</v>
      </c>
      <c r="L91" s="23">
        <v>32938.333517081395</v>
      </c>
      <c r="M91" s="280">
        <f t="shared" si="11"/>
        <v>107642473.933822</v>
      </c>
      <c r="N91" s="208">
        <v>3268</v>
      </c>
      <c r="O91" s="282">
        <v>34914.63352810628</v>
      </c>
      <c r="P91" s="280">
        <f t="shared" si="12"/>
        <v>114101022.36985132</v>
      </c>
      <c r="Q91" s="208">
        <v>3268</v>
      </c>
      <c r="R91" s="282">
        <v>37009.51153979266</v>
      </c>
      <c r="S91" s="280">
        <f t="shared" si="13"/>
        <v>120947083.7120424</v>
      </c>
      <c r="T91" s="208">
        <v>3268</v>
      </c>
      <c r="U91" s="282">
        <v>39230.08223218021</v>
      </c>
      <c r="V91" s="280">
        <f t="shared" si="14"/>
        <v>128203908.73476493</v>
      </c>
      <c r="W91" s="208">
        <v>3268</v>
      </c>
      <c r="X91" s="353">
        <v>41583.88716611103</v>
      </c>
      <c r="Y91" s="26">
        <f t="shared" si="15"/>
        <v>135896143.25885084</v>
      </c>
      <c r="Z91" s="21"/>
      <c r="AA91" s="21"/>
      <c r="AB91" s="21"/>
    </row>
    <row r="92" spans="1:28" ht="12.75">
      <c r="A92" s="207" t="s">
        <v>32</v>
      </c>
      <c r="B92" s="208">
        <v>2338</v>
      </c>
      <c r="C92" s="23">
        <v>25732.739578141387</v>
      </c>
      <c r="D92" s="280">
        <f t="shared" si="8"/>
        <v>60163145.13369456</v>
      </c>
      <c r="E92" s="208">
        <v>2338</v>
      </c>
      <c r="F92" s="282">
        <v>27276.70395282987</v>
      </c>
      <c r="G92" s="280">
        <f t="shared" si="9"/>
        <v>63772933.84171624</v>
      </c>
      <c r="H92" s="208">
        <v>2338</v>
      </c>
      <c r="I92" s="23">
        <v>28913.30618999966</v>
      </c>
      <c r="J92" s="280">
        <f t="shared" si="10"/>
        <v>67599309.8722192</v>
      </c>
      <c r="K92" s="208">
        <v>2338</v>
      </c>
      <c r="L92" s="23">
        <v>30648.104561399643</v>
      </c>
      <c r="M92" s="280">
        <f t="shared" si="11"/>
        <v>71655268.46455237</v>
      </c>
      <c r="N92" s="208">
        <v>2338</v>
      </c>
      <c r="O92" s="282">
        <v>32486.990835083623</v>
      </c>
      <c r="P92" s="280">
        <f t="shared" si="12"/>
        <v>75954584.57242551</v>
      </c>
      <c r="Q92" s="208">
        <v>2338</v>
      </c>
      <c r="R92" s="282">
        <v>34436.210285188645</v>
      </c>
      <c r="S92" s="280">
        <f t="shared" si="13"/>
        <v>80511859.64677106</v>
      </c>
      <c r="T92" s="208">
        <v>2338</v>
      </c>
      <c r="U92" s="282">
        <v>36502.382902299956</v>
      </c>
      <c r="V92" s="280">
        <f t="shared" si="14"/>
        <v>85342571.2255773</v>
      </c>
      <c r="W92" s="208">
        <v>2338</v>
      </c>
      <c r="X92" s="353">
        <v>38692.525876437954</v>
      </c>
      <c r="Y92" s="26">
        <f t="shared" si="15"/>
        <v>90463125.49911194</v>
      </c>
      <c r="Z92" s="21"/>
      <c r="AA92" s="21"/>
      <c r="AB92" s="21"/>
    </row>
    <row r="93" spans="1:28" ht="13.5" thickBot="1">
      <c r="A93" s="213" t="s">
        <v>31</v>
      </c>
      <c r="B93" s="210">
        <v>160</v>
      </c>
      <c r="C93" s="55">
        <v>9759.978899966183</v>
      </c>
      <c r="D93" s="281">
        <f t="shared" si="8"/>
        <v>1561596.6239945893</v>
      </c>
      <c r="E93" s="210">
        <v>160</v>
      </c>
      <c r="F93" s="312">
        <v>10345.577633964156</v>
      </c>
      <c r="G93" s="281">
        <f t="shared" si="9"/>
        <v>1655292.421434265</v>
      </c>
      <c r="H93" s="210">
        <v>160</v>
      </c>
      <c r="I93" s="55">
        <v>10966.312292002005</v>
      </c>
      <c r="J93" s="281">
        <f t="shared" si="10"/>
        <v>1754609.9667203208</v>
      </c>
      <c r="K93" s="210">
        <v>160</v>
      </c>
      <c r="L93" s="55">
        <v>11624.291029522126</v>
      </c>
      <c r="M93" s="281">
        <f t="shared" si="11"/>
        <v>1859886.56472354</v>
      </c>
      <c r="N93" s="210">
        <v>160</v>
      </c>
      <c r="O93" s="312">
        <v>12321.748491293452</v>
      </c>
      <c r="P93" s="281">
        <f t="shared" si="12"/>
        <v>1971479.7586069524</v>
      </c>
      <c r="Q93" s="210">
        <v>160</v>
      </c>
      <c r="R93" s="312">
        <v>13061.053400771061</v>
      </c>
      <c r="S93" s="281">
        <f t="shared" si="13"/>
        <v>2089768.5441233697</v>
      </c>
      <c r="T93" s="210">
        <v>160</v>
      </c>
      <c r="U93" s="312">
        <v>13844.716604817326</v>
      </c>
      <c r="V93" s="281">
        <f t="shared" si="14"/>
        <v>2215154.6567707723</v>
      </c>
      <c r="W93" s="210">
        <v>160</v>
      </c>
      <c r="X93" s="354">
        <v>14675.399601106366</v>
      </c>
      <c r="Y93" s="195">
        <f t="shared" si="15"/>
        <v>2348063.9361770186</v>
      </c>
      <c r="Z93" s="21"/>
      <c r="AA93" s="21"/>
      <c r="AB93" s="21"/>
    </row>
    <row r="94" spans="1:28" ht="13.5" thickBot="1">
      <c r="A94" s="305" t="s">
        <v>109</v>
      </c>
      <c r="B94" s="313">
        <v>570</v>
      </c>
      <c r="C94" s="307">
        <f>SUM(C97)</f>
        <v>38852.335819505744</v>
      </c>
      <c r="D94" s="314">
        <f t="shared" si="8"/>
        <v>22145831.417118274</v>
      </c>
      <c r="E94" s="313">
        <v>570</v>
      </c>
      <c r="F94" s="307">
        <f>SUM(F97)</f>
        <v>41183.475971655775</v>
      </c>
      <c r="G94" s="314">
        <f t="shared" si="9"/>
        <v>23474581.303843793</v>
      </c>
      <c r="H94" s="313">
        <v>570</v>
      </c>
      <c r="I94" s="307">
        <f>SUM(I97)</f>
        <v>43654.48452893085</v>
      </c>
      <c r="J94" s="314">
        <f t="shared" si="10"/>
        <v>24883056.181490585</v>
      </c>
      <c r="K94" s="313">
        <v>570</v>
      </c>
      <c r="L94" s="307">
        <f>SUM(L97)</f>
        <v>46273.753598897514</v>
      </c>
      <c r="M94" s="314">
        <f t="shared" si="11"/>
        <v>26376039.55137158</v>
      </c>
      <c r="N94" s="313">
        <v>570</v>
      </c>
      <c r="O94" s="307">
        <f>SUM(O97)</f>
        <v>49050.178818183515</v>
      </c>
      <c r="P94" s="314">
        <f t="shared" si="12"/>
        <v>27958601.926364604</v>
      </c>
      <c r="Q94" s="313">
        <v>570</v>
      </c>
      <c r="R94" s="307">
        <f>SUM(R97)</f>
        <v>51993.18954503976</v>
      </c>
      <c r="S94" s="314">
        <f t="shared" si="13"/>
        <v>29636118.04067266</v>
      </c>
      <c r="T94" s="313">
        <v>570</v>
      </c>
      <c r="U94" s="307">
        <f>SUM(U97)</f>
        <v>55112.78091885953</v>
      </c>
      <c r="V94" s="314">
        <f t="shared" si="14"/>
        <v>31414285.12374993</v>
      </c>
      <c r="W94" s="313">
        <v>570</v>
      </c>
      <c r="X94" s="355">
        <f>SUM(X97)</f>
        <v>58419.54777268749</v>
      </c>
      <c r="Y94" s="308">
        <f t="shared" si="15"/>
        <v>33299142.23043187</v>
      </c>
      <c r="Z94" s="21"/>
      <c r="AA94" s="21"/>
      <c r="AB94" s="21"/>
    </row>
    <row r="95" spans="1:28" ht="13.5" thickBot="1">
      <c r="A95" s="256" t="s">
        <v>29</v>
      </c>
      <c r="B95" s="264">
        <f>SUM(B72:B94)</f>
        <v>17899</v>
      </c>
      <c r="C95" s="260">
        <v>17899</v>
      </c>
      <c r="D95" s="271">
        <f>SUM(D72:D94)</f>
        <v>712000602.3120782</v>
      </c>
      <c r="E95" s="264">
        <f>SUM(E72:E94)</f>
        <v>17899</v>
      </c>
      <c r="F95" s="260">
        <v>17899</v>
      </c>
      <c r="G95" s="271">
        <f>SUM(G72:G94)</f>
        <v>754720638.4525013</v>
      </c>
      <c r="H95" s="264">
        <f>SUM(H72:H94)</f>
        <v>17899</v>
      </c>
      <c r="I95" s="260">
        <v>17899</v>
      </c>
      <c r="J95" s="271">
        <f>SUM(J72:J94)</f>
        <v>800003876.7590675</v>
      </c>
      <c r="K95" s="264">
        <f>SUM(K72:K94)</f>
        <v>17899</v>
      </c>
      <c r="L95" s="260">
        <v>17899</v>
      </c>
      <c r="M95" s="271">
        <f>SUM(M72:M94)</f>
        <v>848004109.3636032</v>
      </c>
      <c r="N95" s="264">
        <f>SUM(N72:N94)</f>
        <v>17899</v>
      </c>
      <c r="O95" s="260">
        <v>17899</v>
      </c>
      <c r="P95" s="271">
        <f>SUM(P72:P94)</f>
        <v>898884355.9273301</v>
      </c>
      <c r="Q95" s="264">
        <f>SUM(Q72:Q94)</f>
        <v>17899</v>
      </c>
      <c r="R95" s="260">
        <v>17899</v>
      </c>
      <c r="S95" s="271">
        <f>SUM(S72:S94)</f>
        <v>952817417.2816964</v>
      </c>
      <c r="T95" s="264">
        <f>SUM(T72:T94)</f>
        <v>17899</v>
      </c>
      <c r="U95" s="260">
        <v>17899</v>
      </c>
      <c r="V95" s="271">
        <f>SUM(V72:V94)</f>
        <v>1009986462.3192352</v>
      </c>
      <c r="W95" s="264">
        <f>SUM(W72:W94)</f>
        <v>17899</v>
      </c>
      <c r="X95" s="356">
        <v>17899</v>
      </c>
      <c r="Y95" s="255">
        <f>SUM(Y72:Y94)</f>
        <v>1070585650.0576459</v>
      </c>
      <c r="Z95" s="21"/>
      <c r="AA95" s="21"/>
      <c r="AB95" s="21"/>
    </row>
    <row r="96" spans="1:28" ht="22.5">
      <c r="A96" s="257" t="s">
        <v>111</v>
      </c>
      <c r="B96" s="265"/>
      <c r="C96" s="276">
        <v>8345015506</v>
      </c>
      <c r="D96" s="272">
        <f>SUM(D95*12)</f>
        <v>8544007227.744939</v>
      </c>
      <c r="E96" s="265"/>
      <c r="F96" s="276">
        <v>8845716437</v>
      </c>
      <c r="G96" s="272">
        <f>SUM(G95*12)</f>
        <v>9056647661.430016</v>
      </c>
      <c r="H96" s="265"/>
      <c r="I96" s="276">
        <v>9376459423</v>
      </c>
      <c r="J96" s="272">
        <f>SUM(J95*12)</f>
        <v>9600046521.10881</v>
      </c>
      <c r="K96" s="265"/>
      <c r="L96" s="276">
        <v>9939046988</v>
      </c>
      <c r="M96" s="272">
        <f>SUM(M95*12)</f>
        <v>10176049312.36324</v>
      </c>
      <c r="N96" s="265"/>
      <c r="O96" s="276">
        <v>10535389808</v>
      </c>
      <c r="P96" s="272">
        <f>SUM(P95*12)</f>
        <v>10786612271.127962</v>
      </c>
      <c r="Q96" s="265"/>
      <c r="R96" s="276">
        <v>11167513196</v>
      </c>
      <c r="S96" s="272">
        <f>SUM(S95*12)</f>
        <v>11433809007.380358</v>
      </c>
      <c r="T96" s="265"/>
      <c r="U96" s="276">
        <v>11837563988</v>
      </c>
      <c r="V96" s="272">
        <f>SUM(V95*12)</f>
        <v>12119837547.830822</v>
      </c>
      <c r="W96" s="265"/>
      <c r="X96" s="357">
        <v>12547817827</v>
      </c>
      <c r="Y96" s="358">
        <f>SUM(Y95*12)</f>
        <v>12847027800.691751</v>
      </c>
      <c r="Z96" s="21"/>
      <c r="AA96" s="21"/>
      <c r="AB96" s="21"/>
    </row>
    <row r="97" spans="1:28" ht="12.75">
      <c r="A97" s="212" t="s">
        <v>30</v>
      </c>
      <c r="B97" s="266"/>
      <c r="C97" s="262">
        <f>SUM(C96/C95)/12</f>
        <v>38852.335819505744</v>
      </c>
      <c r="D97" s="273">
        <f>SUM(D95/B95)</f>
        <v>39778.79224046473</v>
      </c>
      <c r="E97" s="266"/>
      <c r="F97" s="262">
        <f>SUM(F96/F95)/12</f>
        <v>41183.475971655775</v>
      </c>
      <c r="G97" s="273">
        <f>SUM(G95/E95)</f>
        <v>42165.5197749875</v>
      </c>
      <c r="H97" s="266"/>
      <c r="I97" s="262">
        <f>SUM(I96/I95)/12</f>
        <v>43654.48452893085</v>
      </c>
      <c r="J97" s="273">
        <f>SUM(J95/H95)</f>
        <v>44695.45096145413</v>
      </c>
      <c r="K97" s="266"/>
      <c r="L97" s="262">
        <f>SUM(L96/L95)/12</f>
        <v>46273.753598897514</v>
      </c>
      <c r="M97" s="273">
        <f>SUM(M95/K95)</f>
        <v>47377.17801908505</v>
      </c>
      <c r="N97" s="266"/>
      <c r="O97" s="262">
        <f>SUM(O96/O95)/12</f>
        <v>49050.178818183515</v>
      </c>
      <c r="P97" s="273">
        <f>SUM(P95/N95)</f>
        <v>50219.8087003369</v>
      </c>
      <c r="Q97" s="266"/>
      <c r="R97" s="262">
        <f>SUM(R96/R95)/12</f>
        <v>51993.18954503976</v>
      </c>
      <c r="S97" s="273">
        <f>SUM(S95/Q95)</f>
        <v>53232.997222285965</v>
      </c>
      <c r="T97" s="266"/>
      <c r="U97" s="262">
        <f>SUM(U96/U95)/12</f>
        <v>55112.78091885953</v>
      </c>
      <c r="V97" s="273">
        <f>SUM(V95/T95)</f>
        <v>56426.97705565871</v>
      </c>
      <c r="W97" s="266"/>
      <c r="X97" s="359">
        <f>SUM(X96/X95)/12</f>
        <v>58419.54777268749</v>
      </c>
      <c r="Y97" s="360">
        <f>SUM(Y95/W95)</f>
        <v>59812.5956789567</v>
      </c>
      <c r="Z97" s="21"/>
      <c r="AA97" s="21"/>
      <c r="AB97" s="21"/>
    </row>
    <row r="98" spans="1:25" ht="12.75">
      <c r="A98" s="258" t="s">
        <v>112</v>
      </c>
      <c r="B98" s="267">
        <f>SUM(D98/12)/(D99)</f>
        <v>483.5073089766983</v>
      </c>
      <c r="C98" s="262">
        <v>200000000</v>
      </c>
      <c r="D98" s="273">
        <f>SUM(D96/Y31*Y33)</f>
        <v>462714207.4697086</v>
      </c>
      <c r="E98" s="267">
        <f>SUM(G98/12)/(G99)</f>
        <v>483.5073089777863</v>
      </c>
      <c r="F98" s="262">
        <v>200000000</v>
      </c>
      <c r="G98" s="273">
        <f>SUM(G96/D96)*D98</f>
        <v>490477059.91899484</v>
      </c>
      <c r="H98" s="267">
        <f>SUM(J98/12)/(J99)</f>
        <v>483.5073089774336</v>
      </c>
      <c r="I98" s="262">
        <v>200000000</v>
      </c>
      <c r="J98" s="273">
        <f>SUM(J96/G96)*G98</f>
        <v>519905683.51375514</v>
      </c>
      <c r="K98" s="267">
        <f>SUM(M98/12)/(M99)</f>
        <v>483.50730897685844</v>
      </c>
      <c r="L98" s="262">
        <v>200000000</v>
      </c>
      <c r="M98" s="273">
        <f>SUM(M96/J96)*J98</f>
        <v>551100024.5239251</v>
      </c>
      <c r="N98" s="267">
        <f>SUM(P98/12)/(P99)</f>
        <v>483.5073089778863</v>
      </c>
      <c r="O98" s="262">
        <v>200000000</v>
      </c>
      <c r="P98" s="273">
        <f>SUM(P96/M96)*M98</f>
        <v>584166025.9966023</v>
      </c>
      <c r="Q98" s="267">
        <f>SUM(S98/12)/(S99)</f>
        <v>483.5073089772399</v>
      </c>
      <c r="R98" s="262">
        <v>200000000</v>
      </c>
      <c r="S98" s="273">
        <f>SUM(S96/P96)*P98</f>
        <v>619215987.5555707</v>
      </c>
      <c r="T98" s="267">
        <f>SUM(V98/12)/(V99)</f>
        <v>483.50730897754477</v>
      </c>
      <c r="U98" s="262">
        <v>200000000</v>
      </c>
      <c r="V98" s="273">
        <f>SUM(V96/S96)*S98</f>
        <v>656368946.8093189</v>
      </c>
      <c r="W98" s="267">
        <f>SUM(Y98/12)/(Y99)</f>
        <v>483.50730897720905</v>
      </c>
      <c r="X98" s="359">
        <v>200000000</v>
      </c>
      <c r="Y98" s="360">
        <f>SUM(Y96/V96)*V98</f>
        <v>695751083.6173949</v>
      </c>
    </row>
    <row r="99" spans="1:25" ht="12.75">
      <c r="A99" s="212" t="s">
        <v>113</v>
      </c>
      <c r="B99" s="266"/>
      <c r="C99" s="262"/>
      <c r="D99" s="216">
        <f>SUM(C75:C79)/5</f>
        <v>79749.60579344766</v>
      </c>
      <c r="E99" s="266"/>
      <c r="F99" s="262"/>
      <c r="G99" s="216">
        <f>SUM(F75:F79)/5</f>
        <v>84534.58214105452</v>
      </c>
      <c r="H99" s="266"/>
      <c r="I99" s="262"/>
      <c r="J99" s="216">
        <f>SUM(I75:I79)/5</f>
        <v>89606.65706951778</v>
      </c>
      <c r="K99" s="266"/>
      <c r="L99" s="262"/>
      <c r="M99" s="216">
        <f>SUM(L75:L79)/5</f>
        <v>94983.05649368887</v>
      </c>
      <c r="N99" s="266"/>
      <c r="O99" s="262"/>
      <c r="P99" s="216">
        <f>SUM(O75:O79)/5</f>
        <v>100682.03988331018</v>
      </c>
      <c r="Q99" s="266"/>
      <c r="R99" s="262"/>
      <c r="S99" s="216">
        <f>SUM(R75:R79)/5</f>
        <v>106722.9622763088</v>
      </c>
      <c r="T99" s="266"/>
      <c r="U99" s="262"/>
      <c r="V99" s="216">
        <f>SUM(U75:U79)/5</f>
        <v>113126.34001288735</v>
      </c>
      <c r="W99" s="266"/>
      <c r="X99" s="359"/>
      <c r="Y99" s="361">
        <f>SUM(X75:X79)/5</f>
        <v>119913.92041366058</v>
      </c>
    </row>
    <row r="100" spans="1:25" ht="12.75">
      <c r="A100" s="212" t="s">
        <v>110</v>
      </c>
      <c r="B100" s="268">
        <f>SUM(B95+B98)</f>
        <v>18382.5073089767</v>
      </c>
      <c r="C100" s="262">
        <v>15389</v>
      </c>
      <c r="D100" s="274"/>
      <c r="E100" s="268">
        <f>SUM(E95+E98)</f>
        <v>18382.507308977787</v>
      </c>
      <c r="F100" s="262">
        <v>16057</v>
      </c>
      <c r="G100" s="274"/>
      <c r="H100" s="268">
        <f>SUM(H95+H98)</f>
        <v>18382.507308977434</v>
      </c>
      <c r="I100" s="262">
        <v>18161</v>
      </c>
      <c r="J100" s="274"/>
      <c r="K100" s="268">
        <f>SUM(K95+K98)</f>
        <v>18382.50730897686</v>
      </c>
      <c r="L100" s="262">
        <v>18044</v>
      </c>
      <c r="M100" s="274"/>
      <c r="N100" s="268">
        <f>SUM(N95+N98)</f>
        <v>18382.507308977885</v>
      </c>
      <c r="O100" s="262">
        <v>17883</v>
      </c>
      <c r="P100" s="274"/>
      <c r="Q100" s="268">
        <f>SUM(Q95+Q98)</f>
        <v>18382.50730897724</v>
      </c>
      <c r="R100" s="262">
        <v>17873</v>
      </c>
      <c r="S100" s="274"/>
      <c r="T100" s="268">
        <f>SUM(T95+T98)</f>
        <v>18382.507308977543</v>
      </c>
      <c r="U100" s="262">
        <v>17899</v>
      </c>
      <c r="V100" s="274"/>
      <c r="W100" s="268">
        <f>SUM(W95+W98)</f>
        <v>18382.50730897721</v>
      </c>
      <c r="X100" s="359">
        <v>17899</v>
      </c>
      <c r="Y100" s="362"/>
    </row>
    <row r="101" spans="1:25" ht="22.5">
      <c r="A101" s="258" t="s">
        <v>114</v>
      </c>
      <c r="B101" s="269"/>
      <c r="C101" s="262">
        <f>SUM(C96+C98)</f>
        <v>8545015506</v>
      </c>
      <c r="D101" s="273">
        <f>SUM(D96+D98)</f>
        <v>9006721435.214647</v>
      </c>
      <c r="E101" s="269"/>
      <c r="F101" s="262">
        <f>SUM(F96+F98)</f>
        <v>9045716437</v>
      </c>
      <c r="G101" s="273">
        <f>SUM(G96+G98)</f>
        <v>9547124721.34901</v>
      </c>
      <c r="H101" s="269"/>
      <c r="I101" s="262">
        <f>SUM(I96+I98)</f>
        <v>9576459423</v>
      </c>
      <c r="J101" s="273">
        <f>SUM(J96+J98)</f>
        <v>10119952204.622566</v>
      </c>
      <c r="K101" s="269"/>
      <c r="L101" s="262">
        <f>SUM(L96+L98)</f>
        <v>10139046988</v>
      </c>
      <c r="M101" s="273">
        <f>SUM(M96+M98)</f>
        <v>10727149336.887165</v>
      </c>
      <c r="N101" s="269"/>
      <c r="O101" s="262">
        <f>SUM(O96+O98)</f>
        <v>10735389808</v>
      </c>
      <c r="P101" s="273">
        <f>SUM(P96+P98)</f>
        <v>11370778297.124565</v>
      </c>
      <c r="Q101" s="269"/>
      <c r="R101" s="262">
        <f>SUM(R96+R98)</f>
        <v>11367513196</v>
      </c>
      <c r="S101" s="273">
        <f>SUM(S96+S98)</f>
        <v>12053024994.935928</v>
      </c>
      <c r="T101" s="269"/>
      <c r="U101" s="262">
        <f>SUM(U96+U98)</f>
        <v>12037563988</v>
      </c>
      <c r="V101" s="273">
        <f>SUM(V96+V98)</f>
        <v>12776206494.64014</v>
      </c>
      <c r="W101" s="269"/>
      <c r="X101" s="359">
        <f>SUM(X96+X98)</f>
        <v>12747817827</v>
      </c>
      <c r="Y101" s="360">
        <f>SUM(Y96+Y98)</f>
        <v>13542778884.309147</v>
      </c>
    </row>
    <row r="102" spans="1:25" ht="13.5" thickBot="1">
      <c r="A102" s="283" t="s">
        <v>30</v>
      </c>
      <c r="B102" s="284"/>
      <c r="C102" s="285">
        <f>SUM(C101/C95)/12</f>
        <v>39783.486535560645</v>
      </c>
      <c r="D102" s="286">
        <f>SUM(D101/B100)/12</f>
        <v>40830.127630886396</v>
      </c>
      <c r="E102" s="284"/>
      <c r="F102" s="285">
        <f>SUM(F101/F95)/12</f>
        <v>42114.626687710675</v>
      </c>
      <c r="G102" s="286">
        <f>SUM(G101/E100)/12</f>
        <v>43279.93528883441</v>
      </c>
      <c r="H102" s="284"/>
      <c r="I102" s="285">
        <f>SUM(I101/I95)/12</f>
        <v>44585.63524498575</v>
      </c>
      <c r="J102" s="286">
        <f>SUM(J101/H100)/12</f>
        <v>45876.731406131876</v>
      </c>
      <c r="K102" s="284"/>
      <c r="L102" s="285">
        <f>SUM(L101/L95)/12</f>
        <v>47204.904314952415</v>
      </c>
      <c r="M102" s="286">
        <f>SUM(M101/K100)/12</f>
        <v>48629.335290443494</v>
      </c>
      <c r="N102" s="284"/>
      <c r="O102" s="285">
        <f>SUM(O101/O95)/12</f>
        <v>49981.32953423841</v>
      </c>
      <c r="P102" s="286">
        <f>SUM(P101/N100)/12</f>
        <v>51547.09540797679</v>
      </c>
      <c r="Q102" s="284"/>
      <c r="R102" s="285">
        <f>SUM(R101/R95)/12</f>
        <v>52924.34026109466</v>
      </c>
      <c r="S102" s="286">
        <f>SUM(S101/Q100)/12</f>
        <v>54639.921132384276</v>
      </c>
      <c r="T102" s="284"/>
      <c r="U102" s="285">
        <f>SUM(U101/U95)/12</f>
        <v>56043.93163491443</v>
      </c>
      <c r="V102" s="286">
        <f>SUM(V101/T100)/12</f>
        <v>57918.316400362906</v>
      </c>
      <c r="W102" s="284"/>
      <c r="X102" s="363">
        <f>SUM(X101/X95)/12</f>
        <v>59350.69848874238</v>
      </c>
      <c r="Y102" s="364">
        <f>SUM(Y101/W100)/12</f>
        <v>61393.41538434318</v>
      </c>
    </row>
    <row r="103" spans="1:25" ht="13.5" thickBot="1">
      <c r="A103" s="287" t="s">
        <v>87</v>
      </c>
      <c r="B103" s="288">
        <v>31.6</v>
      </c>
      <c r="C103" s="289"/>
      <c r="D103" s="290">
        <f>SUM((D101*31.6))/100</f>
        <v>2846123973.527828</v>
      </c>
      <c r="E103" s="291"/>
      <c r="F103" s="292"/>
      <c r="G103" s="290">
        <f>SUM((G101*31.6))/100</f>
        <v>3016891411.946287</v>
      </c>
      <c r="H103" s="291"/>
      <c r="I103" s="292"/>
      <c r="J103" s="290">
        <f>SUM((J101*31.6))/100</f>
        <v>3197904896.6607313</v>
      </c>
      <c r="K103" s="291"/>
      <c r="L103" s="292"/>
      <c r="M103" s="290">
        <f>SUM((M101*31.6))/100</f>
        <v>3389779190.4563446</v>
      </c>
      <c r="N103" s="291"/>
      <c r="O103" s="292"/>
      <c r="P103" s="290">
        <f>SUM((P101*31.6))/100</f>
        <v>3593165941.891363</v>
      </c>
      <c r="Q103" s="291"/>
      <c r="R103" s="292"/>
      <c r="S103" s="290">
        <f>SUM((S101*31.6))/100</f>
        <v>3808755898.3997536</v>
      </c>
      <c r="T103" s="291"/>
      <c r="U103" s="292"/>
      <c r="V103" s="290">
        <f>SUM((V101*31.6))/100</f>
        <v>4037281252.306285</v>
      </c>
      <c r="W103" s="291"/>
      <c r="X103" s="365"/>
      <c r="Y103" s="293">
        <f>SUM((Y101*31.6))/100</f>
        <v>4279518127.4416904</v>
      </c>
    </row>
    <row r="104" spans="1:25" ht="13.5" thickBot="1">
      <c r="A104" s="259" t="s">
        <v>98</v>
      </c>
      <c r="B104" s="270">
        <v>1.5</v>
      </c>
      <c r="C104" s="202"/>
      <c r="D104" s="275">
        <f>SUM((D101*1.5))/100</f>
        <v>135100821.52821973</v>
      </c>
      <c r="E104" s="278"/>
      <c r="F104" s="277"/>
      <c r="G104" s="275">
        <f>SUM((G101*1.5))/100</f>
        <v>143206870.82023516</v>
      </c>
      <c r="H104" s="278"/>
      <c r="I104" s="277"/>
      <c r="J104" s="275">
        <f>SUM((J101*1.5))/100</f>
        <v>151799283.0693385</v>
      </c>
      <c r="K104" s="278"/>
      <c r="L104" s="277"/>
      <c r="M104" s="275">
        <f>SUM((M101*1.5))/100</f>
        <v>160907240.05330747</v>
      </c>
      <c r="N104" s="278"/>
      <c r="O104" s="277"/>
      <c r="P104" s="275">
        <f>SUM((P101*1.5))/100</f>
        <v>170561674.45686847</v>
      </c>
      <c r="Q104" s="278"/>
      <c r="R104" s="277"/>
      <c r="S104" s="275">
        <f>SUM((S101*1.5))/100</f>
        <v>180795374.92403892</v>
      </c>
      <c r="T104" s="278"/>
      <c r="U104" s="203"/>
      <c r="V104" s="275">
        <f>SUM((V101*1.5))/100</f>
        <v>191643097.41960213</v>
      </c>
      <c r="W104" s="278"/>
      <c r="X104" s="366"/>
      <c r="Y104" s="203">
        <f>SUM((Y101*1.5))/100</f>
        <v>203141683.26463723</v>
      </c>
    </row>
    <row r="105" spans="1:25" ht="13.5" thickBot="1">
      <c r="A105" s="259" t="s">
        <v>99</v>
      </c>
      <c r="B105" s="270">
        <v>0.135</v>
      </c>
      <c r="C105" s="202"/>
      <c r="D105" s="275">
        <f>SUM((D101*0.135))/100</f>
        <v>12159073.937539775</v>
      </c>
      <c r="E105" s="278"/>
      <c r="F105" s="277"/>
      <c r="G105" s="275">
        <f>SUM((G101*0.135))/100</f>
        <v>12888618.373821165</v>
      </c>
      <c r="H105" s="278"/>
      <c r="I105" s="277"/>
      <c r="J105" s="275">
        <f>SUM((J101*0.135))/100</f>
        <v>13661935.476240465</v>
      </c>
      <c r="K105" s="278"/>
      <c r="L105" s="277"/>
      <c r="M105" s="275">
        <f>SUM((M101*0.135))/100</f>
        <v>14481651.604797672</v>
      </c>
      <c r="N105" s="278"/>
      <c r="O105" s="277"/>
      <c r="P105" s="275">
        <f>SUM((P101*0.135))/100</f>
        <v>15350550.701118164</v>
      </c>
      <c r="Q105" s="278"/>
      <c r="R105" s="277"/>
      <c r="S105" s="275">
        <f>SUM((S101*0.135))/100</f>
        <v>16271583.743163504</v>
      </c>
      <c r="T105" s="278"/>
      <c r="U105" s="277"/>
      <c r="V105" s="275">
        <f>SUM((V101*0.135))/100</f>
        <v>17247878.767764192</v>
      </c>
      <c r="W105" s="278"/>
      <c r="X105" s="366"/>
      <c r="Y105" s="203">
        <f>SUM((Y101*0.135))/100</f>
        <v>18282751.493817348</v>
      </c>
    </row>
    <row r="106" spans="1:25" ht="13.5" thickBot="1">
      <c r="A106" s="259" t="s">
        <v>105</v>
      </c>
      <c r="B106" s="270"/>
      <c r="C106" s="202"/>
      <c r="D106" s="275">
        <f>SUM((D103/12)+35700000)</f>
        <v>272876997.7939857</v>
      </c>
      <c r="E106" s="278"/>
      <c r="F106" s="277"/>
      <c r="G106" s="275">
        <f>SUM((G103/12)+35700000)</f>
        <v>287107617.66219056</v>
      </c>
      <c r="H106" s="278"/>
      <c r="I106" s="277"/>
      <c r="J106" s="275">
        <f>SUM((J103/12)+35700000)</f>
        <v>302192074.7217276</v>
      </c>
      <c r="K106" s="278"/>
      <c r="L106" s="277"/>
      <c r="M106" s="275">
        <f>SUM((M103/12)+35700000)</f>
        <v>318181599.2046954</v>
      </c>
      <c r="N106" s="278"/>
      <c r="O106" s="277"/>
      <c r="P106" s="275">
        <f>SUM((P103/12)+35700000)</f>
        <v>335130495.1576136</v>
      </c>
      <c r="Q106" s="278"/>
      <c r="R106" s="277"/>
      <c r="S106" s="275">
        <f>SUM((S103/12)+35700000)</f>
        <v>353096324.8666461</v>
      </c>
      <c r="T106" s="278"/>
      <c r="U106" s="277"/>
      <c r="V106" s="275">
        <f>SUM((V103/12)+35700000)</f>
        <v>372140104.3588571</v>
      </c>
      <c r="W106" s="278"/>
      <c r="X106" s="366"/>
      <c r="Y106" s="203">
        <f>SUM((Y103/12)+35700000)</f>
        <v>392326510.62014085</v>
      </c>
    </row>
  </sheetData>
  <mergeCells count="4">
    <mergeCell ref="A68:X68"/>
    <mergeCell ref="A69:X69"/>
    <mergeCell ref="A3:X3"/>
    <mergeCell ref="A4:X4"/>
  </mergeCells>
  <printOptions/>
  <pageMargins left="0.3937007874015748" right="0" top="0.984251968503937" bottom="0.984251968503937" header="0.5118110236220472" footer="0.5118110236220472"/>
  <pageSetup orientation="landscape" paperSize="9" scale="50" r:id="rId2"/>
  <rowBreaks count="1" manualBreakCount="1">
    <brk id="6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15"/>
  <sheetViews>
    <sheetView zoomScale="75" zoomScaleNormal="75" workbookViewId="0" topLeftCell="A1">
      <selection activeCell="A76" sqref="A76"/>
      <selection activeCell="A1" sqref="A1"/>
    </sheetView>
  </sheetViews>
  <sheetFormatPr defaultColWidth="9.140625" defaultRowHeight="12.75"/>
  <cols>
    <col min="1" max="1" width="9.28125" style="220" customWidth="1"/>
    <col min="2" max="2" width="7.00390625" style="220" customWidth="1"/>
    <col min="3" max="3" width="4.28125" style="220" customWidth="1"/>
    <col min="4" max="5" width="5.00390625" style="220" customWidth="1"/>
    <col min="6" max="6" width="5.57421875" style="220" customWidth="1"/>
    <col min="7" max="9" width="5.00390625" style="220" customWidth="1"/>
    <col min="10" max="10" width="5.7109375" style="220" customWidth="1"/>
    <col min="11" max="13" width="5.00390625" style="220" customWidth="1"/>
    <col min="14" max="14" width="5.7109375" style="220" customWidth="1"/>
    <col min="15" max="17" width="5.00390625" style="220" customWidth="1"/>
    <col min="18" max="18" width="5.421875" style="220" customWidth="1"/>
    <col min="19" max="19" width="4.28125" style="220" customWidth="1"/>
    <col min="20" max="20" width="5.00390625" style="220" customWidth="1"/>
    <col min="21" max="21" width="4.28125" style="220" customWidth="1"/>
    <col min="22" max="22" width="5.7109375" style="220" customWidth="1"/>
    <col min="23" max="23" width="4.421875" style="220" customWidth="1"/>
    <col min="24" max="24" width="5.00390625" style="220" customWidth="1"/>
    <col min="25" max="25" width="4.421875" style="220" customWidth="1"/>
    <col min="26" max="26" width="5.57421875" style="220" customWidth="1"/>
    <col min="27" max="27" width="4.421875" style="220" customWidth="1"/>
    <col min="28" max="28" width="5.00390625" style="220" customWidth="1"/>
    <col min="29" max="29" width="4.57421875" style="220" customWidth="1"/>
    <col min="30" max="30" width="5.57421875" style="220" customWidth="1"/>
    <col min="31" max="31" width="4.28125" style="220" customWidth="1"/>
    <col min="32" max="32" width="5.00390625" style="220" customWidth="1"/>
    <col min="33" max="33" width="4.421875" style="220" customWidth="1"/>
    <col min="34" max="34" width="5.57421875" style="220" customWidth="1"/>
    <col min="35" max="37" width="5.00390625" style="220" customWidth="1"/>
    <col min="38" max="38" width="5.57421875" style="220" customWidth="1"/>
    <col min="39" max="41" width="5.00390625" style="220" customWidth="1"/>
    <col min="42" max="42" width="5.421875" style="220" customWidth="1"/>
    <col min="43" max="45" width="5.00390625" style="220" customWidth="1"/>
    <col min="46" max="46" width="5.421875" style="220" customWidth="1"/>
    <col min="47" max="49" width="5.00390625" style="220" customWidth="1"/>
    <col min="50" max="50" width="5.421875" style="220" customWidth="1"/>
    <col min="51" max="53" width="5.00390625" style="220" customWidth="1"/>
    <col min="54" max="54" width="5.57421875" style="220" customWidth="1"/>
    <col min="55" max="57" width="5.00390625" style="220" customWidth="1"/>
    <col min="58" max="58" width="5.57421875" style="220" customWidth="1"/>
    <col min="59" max="59" width="4.57421875" style="220" customWidth="1"/>
    <col min="60" max="60" width="5.00390625" style="220" customWidth="1"/>
    <col min="61" max="61" width="4.28125" style="220" customWidth="1"/>
    <col min="62" max="62" width="5.57421875" style="220" customWidth="1"/>
    <col min="63" max="63" width="4.421875" style="220" customWidth="1"/>
    <col min="64" max="64" width="5.00390625" style="220" customWidth="1"/>
    <col min="65" max="65" width="4.421875" style="220" customWidth="1"/>
    <col min="66" max="66" width="5.57421875" style="220" customWidth="1"/>
    <col min="67" max="16384" width="9.140625" style="220" customWidth="1"/>
  </cols>
  <sheetData>
    <row r="1" spans="1:30" ht="12.75">
      <c r="A1" s="294"/>
      <c r="B1" s="294"/>
      <c r="C1" s="294"/>
      <c r="D1" s="294"/>
      <c r="AD1" s="368" t="s">
        <v>142</v>
      </c>
    </row>
    <row r="2" spans="1:30" ht="12.75">
      <c r="A2" s="425"/>
      <c r="B2" s="425"/>
      <c r="C2" s="425"/>
      <c r="D2" s="425"/>
      <c r="AD2" s="368" t="s">
        <v>143</v>
      </c>
    </row>
    <row r="3" spans="1:4" ht="12.75">
      <c r="A3" s="20"/>
      <c r="B3" s="20"/>
      <c r="C3" s="20"/>
      <c r="D3" s="20"/>
    </row>
    <row r="4" spans="1:4" ht="12.75">
      <c r="A4" s="20"/>
      <c r="B4" s="20"/>
      <c r="C4" s="20"/>
      <c r="D4" s="20"/>
    </row>
    <row r="5" spans="1:4" ht="12.75">
      <c r="A5" s="427"/>
      <c r="B5" s="427"/>
      <c r="C5" s="427"/>
      <c r="D5" s="427"/>
    </row>
    <row r="6" spans="1:4" ht="12.75">
      <c r="A6" s="425"/>
      <c r="B6" s="425"/>
      <c r="C6" s="425"/>
      <c r="D6" s="425"/>
    </row>
    <row r="7" spans="1:4" ht="12.75">
      <c r="A7" s="27" t="s">
        <v>146</v>
      </c>
      <c r="B7" s="20"/>
      <c r="C7" s="20"/>
      <c r="D7" s="20"/>
    </row>
    <row r="8" spans="1:4" ht="12" thickBot="1">
      <c r="A8" s="27"/>
      <c r="B8" s="27"/>
      <c r="C8" s="27"/>
      <c r="D8" s="27"/>
    </row>
    <row r="9" spans="3:34" ht="12" thickBot="1">
      <c r="C9" s="426">
        <v>2005</v>
      </c>
      <c r="D9" s="426"/>
      <c r="E9" s="426"/>
      <c r="F9" s="426"/>
      <c r="G9" s="426">
        <v>2006</v>
      </c>
      <c r="H9" s="426"/>
      <c r="I9" s="426"/>
      <c r="J9" s="426"/>
      <c r="K9" s="426">
        <v>2007</v>
      </c>
      <c r="L9" s="426"/>
      <c r="M9" s="426"/>
      <c r="N9" s="426"/>
      <c r="O9" s="426">
        <v>2008</v>
      </c>
      <c r="P9" s="426"/>
      <c r="Q9" s="426"/>
      <c r="R9" s="426"/>
      <c r="S9" s="426">
        <v>2009</v>
      </c>
      <c r="T9" s="426"/>
      <c r="U9" s="426"/>
      <c r="V9" s="426"/>
      <c r="W9" s="426">
        <v>2010</v>
      </c>
      <c r="X9" s="426"/>
      <c r="Y9" s="426"/>
      <c r="Z9" s="426"/>
      <c r="AA9" s="426">
        <v>2011</v>
      </c>
      <c r="AB9" s="426"/>
      <c r="AC9" s="426"/>
      <c r="AD9" s="426"/>
      <c r="AE9" s="426">
        <v>2012</v>
      </c>
      <c r="AF9" s="426"/>
      <c r="AG9" s="426"/>
      <c r="AH9" s="426"/>
    </row>
    <row r="10" spans="2:34" ht="12" thickBot="1">
      <c r="B10" s="221" t="s">
        <v>53</v>
      </c>
      <c r="C10" s="222" t="s">
        <v>54</v>
      </c>
      <c r="D10" s="222" t="s">
        <v>55</v>
      </c>
      <c r="E10" s="222" t="s">
        <v>56</v>
      </c>
      <c r="F10" s="223" t="s">
        <v>115</v>
      </c>
      <c r="G10" s="222" t="s">
        <v>54</v>
      </c>
      <c r="H10" s="222" t="s">
        <v>55</v>
      </c>
      <c r="I10" s="222" t="s">
        <v>56</v>
      </c>
      <c r="J10" s="223" t="s">
        <v>115</v>
      </c>
      <c r="K10" s="222" t="s">
        <v>54</v>
      </c>
      <c r="L10" s="222" t="s">
        <v>55</v>
      </c>
      <c r="M10" s="222" t="s">
        <v>56</v>
      </c>
      <c r="N10" s="223" t="s">
        <v>115</v>
      </c>
      <c r="O10" s="222" t="s">
        <v>54</v>
      </c>
      <c r="P10" s="222" t="s">
        <v>55</v>
      </c>
      <c r="Q10" s="222" t="s">
        <v>56</v>
      </c>
      <c r="R10" s="223" t="s">
        <v>115</v>
      </c>
      <c r="S10" s="222" t="s">
        <v>54</v>
      </c>
      <c r="T10" s="222" t="s">
        <v>55</v>
      </c>
      <c r="U10" s="222" t="s">
        <v>56</v>
      </c>
      <c r="V10" s="223" t="s">
        <v>115</v>
      </c>
      <c r="W10" s="222" t="s">
        <v>54</v>
      </c>
      <c r="X10" s="222" t="s">
        <v>55</v>
      </c>
      <c r="Y10" s="222" t="s">
        <v>56</v>
      </c>
      <c r="Z10" s="223" t="s">
        <v>115</v>
      </c>
      <c r="AA10" s="222" t="s">
        <v>54</v>
      </c>
      <c r="AB10" s="222" t="s">
        <v>55</v>
      </c>
      <c r="AC10" s="222" t="s">
        <v>56</v>
      </c>
      <c r="AD10" s="223" t="s">
        <v>115</v>
      </c>
      <c r="AE10" s="222" t="s">
        <v>54</v>
      </c>
      <c r="AF10" s="222" t="s">
        <v>55</v>
      </c>
      <c r="AG10" s="222" t="s">
        <v>56</v>
      </c>
      <c r="AH10" s="223" t="s">
        <v>115</v>
      </c>
    </row>
    <row r="11" spans="1:34" ht="11.25">
      <c r="A11" s="224" t="s">
        <v>116</v>
      </c>
      <c r="B11" s="225">
        <v>0</v>
      </c>
      <c r="C11" s="226"/>
      <c r="D11" s="226"/>
      <c r="E11" s="226"/>
      <c r="F11" s="206">
        <v>1</v>
      </c>
      <c r="G11" s="226"/>
      <c r="H11" s="227"/>
      <c r="I11" s="227"/>
      <c r="J11" s="206">
        <v>1</v>
      </c>
      <c r="K11" s="226"/>
      <c r="L11" s="227"/>
      <c r="M11" s="227"/>
      <c r="N11" s="206">
        <v>1</v>
      </c>
      <c r="O11" s="226"/>
      <c r="P11" s="227"/>
      <c r="Q11" s="227"/>
      <c r="R11" s="206">
        <v>1</v>
      </c>
      <c r="S11" s="226"/>
      <c r="T11" s="227"/>
      <c r="U11" s="227">
        <v>1</v>
      </c>
      <c r="V11" s="206">
        <v>1</v>
      </c>
      <c r="W11" s="226"/>
      <c r="X11" s="227"/>
      <c r="Y11" s="227"/>
      <c r="Z11" s="206">
        <v>1</v>
      </c>
      <c r="AA11" s="226"/>
      <c r="AB11" s="227"/>
      <c r="AC11" s="227"/>
      <c r="AD11" s="206">
        <v>1</v>
      </c>
      <c r="AE11" s="226"/>
      <c r="AF11" s="227"/>
      <c r="AG11" s="227"/>
      <c r="AH11" s="206">
        <v>1</v>
      </c>
    </row>
    <row r="12" spans="1:34" ht="11.25">
      <c r="A12" s="228" t="s">
        <v>117</v>
      </c>
      <c r="B12" s="229">
        <v>0</v>
      </c>
      <c r="C12" s="230"/>
      <c r="D12" s="231"/>
      <c r="E12" s="231"/>
      <c r="F12" s="209">
        <v>3</v>
      </c>
      <c r="G12" s="230"/>
      <c r="H12" s="231"/>
      <c r="I12" s="231"/>
      <c r="J12" s="209">
        <v>3</v>
      </c>
      <c r="K12" s="230"/>
      <c r="L12" s="231"/>
      <c r="M12" s="231">
        <v>1</v>
      </c>
      <c r="N12" s="209">
        <v>3</v>
      </c>
      <c r="O12" s="230"/>
      <c r="P12" s="231"/>
      <c r="Q12" s="231"/>
      <c r="R12" s="209">
        <v>3</v>
      </c>
      <c r="S12" s="230"/>
      <c r="T12" s="231"/>
      <c r="U12" s="231"/>
      <c r="V12" s="209">
        <v>3</v>
      </c>
      <c r="W12" s="230"/>
      <c r="X12" s="231"/>
      <c r="Y12" s="231"/>
      <c r="Z12" s="209">
        <v>3</v>
      </c>
      <c r="AA12" s="230"/>
      <c r="AB12" s="231"/>
      <c r="AC12" s="231">
        <v>1</v>
      </c>
      <c r="AD12" s="209">
        <v>3</v>
      </c>
      <c r="AE12" s="230"/>
      <c r="AF12" s="231"/>
      <c r="AG12" s="231"/>
      <c r="AH12" s="209">
        <v>3</v>
      </c>
    </row>
    <row r="13" spans="1:34" ht="11.25">
      <c r="A13" s="228" t="s">
        <v>118</v>
      </c>
      <c r="B13" s="229">
        <v>3</v>
      </c>
      <c r="C13" s="230"/>
      <c r="D13" s="231"/>
      <c r="E13" s="231"/>
      <c r="F13" s="209">
        <v>11</v>
      </c>
      <c r="G13" s="230"/>
      <c r="H13" s="231"/>
      <c r="I13" s="231">
        <v>1</v>
      </c>
      <c r="J13" s="209">
        <v>11</v>
      </c>
      <c r="K13" s="230"/>
      <c r="L13" s="231"/>
      <c r="M13" s="231"/>
      <c r="N13" s="209">
        <v>11</v>
      </c>
      <c r="O13" s="230"/>
      <c r="P13" s="231"/>
      <c r="Q13" s="231">
        <v>1</v>
      </c>
      <c r="R13" s="209">
        <v>11</v>
      </c>
      <c r="S13" s="230"/>
      <c r="T13" s="231"/>
      <c r="U13" s="231"/>
      <c r="V13" s="209">
        <v>11</v>
      </c>
      <c r="W13" s="230"/>
      <c r="X13" s="231"/>
      <c r="Y13" s="231">
        <v>1</v>
      </c>
      <c r="Z13" s="209">
        <v>11</v>
      </c>
      <c r="AA13" s="230"/>
      <c r="AB13" s="231"/>
      <c r="AC13" s="231"/>
      <c r="AD13" s="209">
        <v>11</v>
      </c>
      <c r="AE13" s="230"/>
      <c r="AF13" s="231"/>
      <c r="AG13" s="231">
        <v>1</v>
      </c>
      <c r="AH13" s="209">
        <v>11</v>
      </c>
    </row>
    <row r="14" spans="1:34" ht="12" thickBot="1">
      <c r="A14" s="232" t="s">
        <v>119</v>
      </c>
      <c r="B14" s="233">
        <v>12</v>
      </c>
      <c r="C14" s="234"/>
      <c r="D14" s="235"/>
      <c r="E14" s="235">
        <v>1</v>
      </c>
      <c r="F14" s="211">
        <v>11</v>
      </c>
      <c r="G14" s="234"/>
      <c r="H14" s="235"/>
      <c r="I14" s="235"/>
      <c r="J14" s="211">
        <v>11</v>
      </c>
      <c r="K14" s="234"/>
      <c r="L14" s="235"/>
      <c r="M14" s="235">
        <v>1</v>
      </c>
      <c r="N14" s="211">
        <v>11</v>
      </c>
      <c r="O14" s="234"/>
      <c r="P14" s="235"/>
      <c r="Q14" s="235"/>
      <c r="R14" s="211">
        <v>11</v>
      </c>
      <c r="S14" s="234"/>
      <c r="T14" s="235"/>
      <c r="U14" s="235">
        <v>1</v>
      </c>
      <c r="V14" s="211">
        <v>11</v>
      </c>
      <c r="W14" s="234"/>
      <c r="X14" s="235"/>
      <c r="Y14" s="235"/>
      <c r="Z14" s="211">
        <v>11</v>
      </c>
      <c r="AA14" s="234"/>
      <c r="AB14" s="235"/>
      <c r="AC14" s="235">
        <v>1</v>
      </c>
      <c r="AD14" s="211">
        <v>11</v>
      </c>
      <c r="AE14" s="234"/>
      <c r="AF14" s="235"/>
      <c r="AG14" s="235"/>
      <c r="AH14" s="211">
        <v>11</v>
      </c>
    </row>
    <row r="15" spans="1:34" ht="12" thickBot="1">
      <c r="A15" s="236" t="s">
        <v>120</v>
      </c>
      <c r="B15" s="237">
        <f>SUM(B11:B14)</f>
        <v>15</v>
      </c>
      <c r="C15" s="237">
        <f aca="true" t="shared" si="0" ref="C15:AD15">SUM(C11:C14)</f>
        <v>0</v>
      </c>
      <c r="D15" s="237">
        <f t="shared" si="0"/>
        <v>0</v>
      </c>
      <c r="E15" s="237">
        <f t="shared" si="0"/>
        <v>1</v>
      </c>
      <c r="F15" s="237">
        <f t="shared" si="0"/>
        <v>26</v>
      </c>
      <c r="G15" s="237">
        <f t="shared" si="0"/>
        <v>0</v>
      </c>
      <c r="H15" s="237">
        <f t="shared" si="0"/>
        <v>0</v>
      </c>
      <c r="I15" s="237">
        <f t="shared" si="0"/>
        <v>1</v>
      </c>
      <c r="J15" s="237">
        <f t="shared" si="0"/>
        <v>26</v>
      </c>
      <c r="K15" s="237">
        <f t="shared" si="0"/>
        <v>0</v>
      </c>
      <c r="L15" s="237">
        <f t="shared" si="0"/>
        <v>0</v>
      </c>
      <c r="M15" s="237">
        <f t="shared" si="0"/>
        <v>2</v>
      </c>
      <c r="N15" s="237">
        <f t="shared" si="0"/>
        <v>26</v>
      </c>
      <c r="O15" s="237">
        <f t="shared" si="0"/>
        <v>0</v>
      </c>
      <c r="P15" s="237">
        <f t="shared" si="0"/>
        <v>0</v>
      </c>
      <c r="Q15" s="237">
        <f t="shared" si="0"/>
        <v>1</v>
      </c>
      <c r="R15" s="237">
        <f t="shared" si="0"/>
        <v>26</v>
      </c>
      <c r="S15" s="237">
        <f t="shared" si="0"/>
        <v>0</v>
      </c>
      <c r="T15" s="237">
        <f t="shared" si="0"/>
        <v>0</v>
      </c>
      <c r="U15" s="237">
        <f t="shared" si="0"/>
        <v>2</v>
      </c>
      <c r="V15" s="237">
        <f t="shared" si="0"/>
        <v>26</v>
      </c>
      <c r="W15" s="237">
        <f t="shared" si="0"/>
        <v>0</v>
      </c>
      <c r="X15" s="237">
        <f t="shared" si="0"/>
        <v>0</v>
      </c>
      <c r="Y15" s="237">
        <f t="shared" si="0"/>
        <v>1</v>
      </c>
      <c r="Z15" s="237">
        <f t="shared" si="0"/>
        <v>26</v>
      </c>
      <c r="AA15" s="237">
        <f t="shared" si="0"/>
        <v>0</v>
      </c>
      <c r="AB15" s="237">
        <f t="shared" si="0"/>
        <v>0</v>
      </c>
      <c r="AC15" s="237">
        <f t="shared" si="0"/>
        <v>2</v>
      </c>
      <c r="AD15" s="237">
        <f t="shared" si="0"/>
        <v>26</v>
      </c>
      <c r="AE15" s="237">
        <f>SUM(AE11:AE14)</f>
        <v>0</v>
      </c>
      <c r="AF15" s="237">
        <f>SUM(AF11:AF14)</f>
        <v>0</v>
      </c>
      <c r="AG15" s="237">
        <f>SUM(AG11:AG14)</f>
        <v>1</v>
      </c>
      <c r="AH15" s="237">
        <f>SUM(AH11:AH14)</f>
        <v>26</v>
      </c>
    </row>
    <row r="16" spans="1:34" ht="11.25">
      <c r="A16" s="224" t="s">
        <v>57</v>
      </c>
      <c r="B16" s="225">
        <v>139</v>
      </c>
      <c r="C16" s="226"/>
      <c r="D16" s="227"/>
      <c r="E16" s="227">
        <v>13.9</v>
      </c>
      <c r="F16" s="206">
        <v>154.31</v>
      </c>
      <c r="G16" s="226"/>
      <c r="H16" s="227"/>
      <c r="I16" s="227">
        <v>46.293</v>
      </c>
      <c r="J16" s="206">
        <v>127</v>
      </c>
      <c r="K16" s="226"/>
      <c r="L16" s="227"/>
      <c r="M16" s="227">
        <v>63.300489</v>
      </c>
      <c r="N16" s="206">
        <v>119</v>
      </c>
      <c r="O16" s="226"/>
      <c r="P16" s="227"/>
      <c r="Q16" s="227">
        <v>10.1785013225</v>
      </c>
      <c r="R16" s="206">
        <v>119</v>
      </c>
      <c r="S16" s="226"/>
      <c r="T16" s="227"/>
      <c r="U16" s="227">
        <v>14.652559645</v>
      </c>
      <c r="V16" s="206">
        <v>119</v>
      </c>
      <c r="W16" s="226"/>
      <c r="X16" s="227"/>
      <c r="Y16" s="227">
        <v>13.642542456975</v>
      </c>
      <c r="Z16" s="206">
        <v>119</v>
      </c>
      <c r="AA16" s="226"/>
      <c r="AB16" s="227"/>
      <c r="AC16" s="227">
        <v>24.768606739929925</v>
      </c>
      <c r="AD16" s="206">
        <v>119</v>
      </c>
      <c r="AE16" s="226"/>
      <c r="AF16" s="227"/>
      <c r="AG16" s="227">
        <v>24.927274367194002</v>
      </c>
      <c r="AH16" s="206">
        <v>119</v>
      </c>
    </row>
    <row r="17" spans="1:34" ht="11.25">
      <c r="A17" s="228" t="s">
        <v>58</v>
      </c>
      <c r="B17" s="229">
        <v>340</v>
      </c>
      <c r="C17" s="230"/>
      <c r="D17" s="231"/>
      <c r="E17" s="231">
        <v>44.2</v>
      </c>
      <c r="F17" s="209">
        <v>362.25</v>
      </c>
      <c r="G17" s="230"/>
      <c r="H17" s="231"/>
      <c r="I17" s="231">
        <v>47.0925</v>
      </c>
      <c r="J17" s="209">
        <v>376</v>
      </c>
      <c r="K17" s="230"/>
      <c r="L17" s="231"/>
      <c r="M17" s="231">
        <v>58.745778</v>
      </c>
      <c r="N17" s="209">
        <v>362</v>
      </c>
      <c r="O17" s="230"/>
      <c r="P17" s="231"/>
      <c r="Q17" s="231">
        <v>38.25302292</v>
      </c>
      <c r="R17" s="209">
        <v>362</v>
      </c>
      <c r="S17" s="230"/>
      <c r="T17" s="231"/>
      <c r="U17" s="231">
        <v>29.646433931800004</v>
      </c>
      <c r="V17" s="209">
        <v>362</v>
      </c>
      <c r="W17" s="230"/>
      <c r="X17" s="231"/>
      <c r="Y17" s="231">
        <v>32.16214322092101</v>
      </c>
      <c r="Z17" s="209">
        <v>362</v>
      </c>
      <c r="AA17" s="230"/>
      <c r="AB17" s="231"/>
      <c r="AC17" s="231">
        <v>59.168020885081425</v>
      </c>
      <c r="AD17" s="209">
        <v>362</v>
      </c>
      <c r="AE17" s="230"/>
      <c r="AF17" s="231"/>
      <c r="AG17" s="231">
        <v>39.175775469933626</v>
      </c>
      <c r="AH17" s="209">
        <v>362</v>
      </c>
    </row>
    <row r="18" spans="1:34" ht="11.25">
      <c r="A18" s="228" t="s">
        <v>59</v>
      </c>
      <c r="B18" s="229">
        <v>647</v>
      </c>
      <c r="C18" s="230"/>
      <c r="D18" s="231"/>
      <c r="E18" s="231">
        <v>51.76</v>
      </c>
      <c r="F18" s="209">
        <v>621.39</v>
      </c>
      <c r="G18" s="230"/>
      <c r="H18" s="231"/>
      <c r="I18" s="231">
        <v>37.28340000000001</v>
      </c>
      <c r="J18" s="209">
        <v>654</v>
      </c>
      <c r="K18" s="230"/>
      <c r="L18" s="231"/>
      <c r="M18" s="231">
        <v>96.299203</v>
      </c>
      <c r="N18" s="209">
        <v>676</v>
      </c>
      <c r="O18" s="230"/>
      <c r="P18" s="231"/>
      <c r="Q18" s="231">
        <v>14.847278189999999</v>
      </c>
      <c r="R18" s="209">
        <v>676</v>
      </c>
      <c r="S18" s="230"/>
      <c r="T18" s="231"/>
      <c r="U18" s="231">
        <v>10.2071955646</v>
      </c>
      <c r="V18" s="209">
        <v>676</v>
      </c>
      <c r="W18" s="230"/>
      <c r="X18" s="231"/>
      <c r="Y18" s="231">
        <v>5.135549344263</v>
      </c>
      <c r="Z18" s="209">
        <v>676</v>
      </c>
      <c r="AA18" s="230"/>
      <c r="AB18" s="231"/>
      <c r="AC18" s="231">
        <v>35.8745208414369</v>
      </c>
      <c r="AD18" s="209">
        <v>676</v>
      </c>
      <c r="AE18" s="230"/>
      <c r="AF18" s="231"/>
      <c r="AG18" s="231">
        <v>35.7762877566491</v>
      </c>
      <c r="AH18" s="209">
        <v>676</v>
      </c>
    </row>
    <row r="19" spans="1:34" ht="11.25">
      <c r="A19" s="228" t="s">
        <v>60</v>
      </c>
      <c r="B19" s="229">
        <v>1232</v>
      </c>
      <c r="C19" s="230"/>
      <c r="D19" s="231"/>
      <c r="E19" s="231">
        <v>73.92</v>
      </c>
      <c r="F19" s="209">
        <v>1250.48</v>
      </c>
      <c r="G19" s="230"/>
      <c r="H19" s="231"/>
      <c r="I19" s="231">
        <v>100.03840000000001</v>
      </c>
      <c r="J19" s="209">
        <v>1173</v>
      </c>
      <c r="K19" s="230"/>
      <c r="L19" s="231"/>
      <c r="M19" s="231">
        <v>207.67881599999998</v>
      </c>
      <c r="N19" s="209">
        <v>1173</v>
      </c>
      <c r="O19" s="230"/>
      <c r="P19" s="231"/>
      <c r="Q19" s="231">
        <v>19.94717768</v>
      </c>
      <c r="R19" s="209">
        <v>1173</v>
      </c>
      <c r="S19" s="230"/>
      <c r="T19" s="231"/>
      <c r="U19" s="231">
        <v>20.032702812</v>
      </c>
      <c r="V19" s="209">
        <v>1176</v>
      </c>
      <c r="W19" s="230"/>
      <c r="X19" s="231"/>
      <c r="Y19" s="231">
        <v>10.0587427788</v>
      </c>
      <c r="Z19" s="209">
        <v>1176</v>
      </c>
      <c r="AA19" s="230"/>
      <c r="AB19" s="231"/>
      <c r="AC19" s="231">
        <v>20.219060238570236</v>
      </c>
      <c r="AD19" s="209">
        <v>1175</v>
      </c>
      <c r="AE19" s="230"/>
      <c r="AF19" s="231"/>
      <c r="AG19" s="231">
        <v>20.027408923727602</v>
      </c>
      <c r="AH19" s="209">
        <v>1175</v>
      </c>
    </row>
    <row r="20" spans="1:34" ht="11.25">
      <c r="A20" s="228" t="s">
        <v>61</v>
      </c>
      <c r="B20" s="229">
        <v>1078</v>
      </c>
      <c r="C20" s="230"/>
      <c r="D20" s="231"/>
      <c r="E20" s="231">
        <v>97.02</v>
      </c>
      <c r="F20" s="209">
        <v>829.46</v>
      </c>
      <c r="G20" s="230"/>
      <c r="H20" s="231"/>
      <c r="I20" s="231">
        <v>41.473000000000006</v>
      </c>
      <c r="J20" s="209">
        <v>1002</v>
      </c>
      <c r="K20" s="230"/>
      <c r="L20" s="231"/>
      <c r="M20" s="231">
        <v>30.298840000000002</v>
      </c>
      <c r="N20" s="209">
        <v>1109</v>
      </c>
      <c r="O20" s="230"/>
      <c r="P20" s="231"/>
      <c r="Q20" s="231">
        <v>13.868285999999998</v>
      </c>
      <c r="R20" s="209">
        <v>1108</v>
      </c>
      <c r="S20" s="230"/>
      <c r="T20" s="231"/>
      <c r="U20" s="231">
        <v>12.443535415199998</v>
      </c>
      <c r="V20" s="209">
        <v>1108</v>
      </c>
      <c r="W20" s="230"/>
      <c r="X20" s="231"/>
      <c r="Y20" s="231">
        <v>5.452599226775999</v>
      </c>
      <c r="Z20" s="209">
        <v>1108</v>
      </c>
      <c r="AA20" s="230"/>
      <c r="AB20" s="231"/>
      <c r="AC20" s="231">
        <v>12.414643965476639</v>
      </c>
      <c r="AD20" s="209">
        <v>1106</v>
      </c>
      <c r="AE20" s="230"/>
      <c r="AF20" s="231"/>
      <c r="AG20" s="231">
        <v>12.633129379638913</v>
      </c>
      <c r="AH20" s="209">
        <v>1106</v>
      </c>
    </row>
    <row r="21" spans="1:34" ht="12" thickBot="1">
      <c r="A21" s="232" t="s">
        <v>62</v>
      </c>
      <c r="B21" s="233">
        <v>712</v>
      </c>
      <c r="C21" s="234"/>
      <c r="D21" s="235"/>
      <c r="E21" s="235">
        <v>121.04</v>
      </c>
      <c r="F21" s="211">
        <v>676.88</v>
      </c>
      <c r="G21" s="234"/>
      <c r="H21" s="235"/>
      <c r="I21" s="235">
        <v>27.0752</v>
      </c>
      <c r="J21" s="211">
        <v>717</v>
      </c>
      <c r="K21" s="234"/>
      <c r="L21" s="235"/>
      <c r="M21" s="235">
        <v>13.288576</v>
      </c>
      <c r="N21" s="211">
        <v>715</v>
      </c>
      <c r="O21" s="234"/>
      <c r="P21" s="235"/>
      <c r="Q21" s="235">
        <v>10.36508928</v>
      </c>
      <c r="R21" s="211">
        <v>715</v>
      </c>
      <c r="S21" s="234"/>
      <c r="T21" s="235"/>
      <c r="U21" s="235">
        <v>9.2249294592</v>
      </c>
      <c r="V21" s="211">
        <v>715</v>
      </c>
      <c r="W21" s="234"/>
      <c r="X21" s="235"/>
      <c r="Y21" s="235">
        <v>5.42059502016</v>
      </c>
      <c r="Z21" s="211">
        <v>715</v>
      </c>
      <c r="AA21" s="234"/>
      <c r="AB21" s="235"/>
      <c r="AC21" s="235">
        <v>10.805656829030399</v>
      </c>
      <c r="AD21" s="211">
        <v>714</v>
      </c>
      <c r="AE21" s="234"/>
      <c r="AF21" s="235"/>
      <c r="AG21" s="235">
        <v>10.888129485192191</v>
      </c>
      <c r="AH21" s="211">
        <v>714</v>
      </c>
    </row>
    <row r="22" spans="1:34" ht="12" thickBot="1">
      <c r="A22" s="236" t="s">
        <v>121</v>
      </c>
      <c r="B22" s="237">
        <f>SUM(B16:B21)</f>
        <v>4148</v>
      </c>
      <c r="C22" s="237">
        <f aca="true" t="shared" si="1" ref="C22:AD22">SUM(C16:C21)</f>
        <v>0</v>
      </c>
      <c r="D22" s="237">
        <f t="shared" si="1"/>
        <v>0</v>
      </c>
      <c r="E22" s="237">
        <f t="shared" si="1"/>
        <v>401.84000000000003</v>
      </c>
      <c r="F22" s="237">
        <f t="shared" si="1"/>
        <v>3894.77</v>
      </c>
      <c r="G22" s="237">
        <f t="shared" si="1"/>
        <v>0</v>
      </c>
      <c r="H22" s="237">
        <f t="shared" si="1"/>
        <v>0</v>
      </c>
      <c r="I22" s="237">
        <f t="shared" si="1"/>
        <v>299.25550000000004</v>
      </c>
      <c r="J22" s="237">
        <f t="shared" si="1"/>
        <v>4049</v>
      </c>
      <c r="K22" s="237">
        <f t="shared" si="1"/>
        <v>0</v>
      </c>
      <c r="L22" s="237">
        <f t="shared" si="1"/>
        <v>0</v>
      </c>
      <c r="M22" s="237">
        <f t="shared" si="1"/>
        <v>469.6117019999999</v>
      </c>
      <c r="N22" s="237">
        <f t="shared" si="1"/>
        <v>4154</v>
      </c>
      <c r="O22" s="237">
        <f t="shared" si="1"/>
        <v>0</v>
      </c>
      <c r="P22" s="237">
        <f t="shared" si="1"/>
        <v>0</v>
      </c>
      <c r="Q22" s="237">
        <f t="shared" si="1"/>
        <v>107.45935539249999</v>
      </c>
      <c r="R22" s="237">
        <f t="shared" si="1"/>
        <v>4153</v>
      </c>
      <c r="S22" s="237">
        <f t="shared" si="1"/>
        <v>0</v>
      </c>
      <c r="T22" s="237">
        <f t="shared" si="1"/>
        <v>0</v>
      </c>
      <c r="U22" s="237">
        <f t="shared" si="1"/>
        <v>96.2073568278</v>
      </c>
      <c r="V22" s="237">
        <f t="shared" si="1"/>
        <v>4156</v>
      </c>
      <c r="W22" s="237">
        <f t="shared" si="1"/>
        <v>0</v>
      </c>
      <c r="X22" s="237">
        <f t="shared" si="1"/>
        <v>0</v>
      </c>
      <c r="Y22" s="237">
        <f t="shared" si="1"/>
        <v>71.87217204789502</v>
      </c>
      <c r="Z22" s="237">
        <f t="shared" si="1"/>
        <v>4156</v>
      </c>
      <c r="AA22" s="237">
        <f t="shared" si="1"/>
        <v>0</v>
      </c>
      <c r="AB22" s="237">
        <f t="shared" si="1"/>
        <v>0</v>
      </c>
      <c r="AC22" s="237">
        <f t="shared" si="1"/>
        <v>163.25050949952552</v>
      </c>
      <c r="AD22" s="237">
        <f t="shared" si="1"/>
        <v>4152</v>
      </c>
      <c r="AE22" s="237">
        <f>SUM(AE16:AE21)</f>
        <v>0</v>
      </c>
      <c r="AF22" s="237">
        <f>SUM(AF16:AF21)</f>
        <v>0</v>
      </c>
      <c r="AG22" s="237">
        <f>SUM(AG16:AG21)</f>
        <v>143.42800538233544</v>
      </c>
      <c r="AH22" s="237">
        <f>SUM(AH16:AH21)</f>
        <v>4152</v>
      </c>
    </row>
    <row r="23" spans="1:34" ht="11.25">
      <c r="A23" s="224" t="s">
        <v>64</v>
      </c>
      <c r="B23" s="225">
        <v>21</v>
      </c>
      <c r="C23" s="226"/>
      <c r="D23" s="227"/>
      <c r="E23" s="227">
        <v>3.36</v>
      </c>
      <c r="F23" s="206">
        <v>38.43</v>
      </c>
      <c r="G23" s="226"/>
      <c r="H23" s="227"/>
      <c r="I23" s="227">
        <v>13.0662</v>
      </c>
      <c r="J23" s="206">
        <v>12</v>
      </c>
      <c r="K23" s="226"/>
      <c r="L23" s="227"/>
      <c r="M23" s="227">
        <v>15.888011999999996</v>
      </c>
      <c r="N23" s="206">
        <v>13</v>
      </c>
      <c r="O23" s="226"/>
      <c r="P23" s="227"/>
      <c r="Q23" s="227">
        <v>7.647507590000001</v>
      </c>
      <c r="R23" s="206">
        <v>13</v>
      </c>
      <c r="S23" s="226"/>
      <c r="T23" s="227"/>
      <c r="U23" s="227">
        <v>5.775131975200002</v>
      </c>
      <c r="V23" s="206">
        <v>13</v>
      </c>
      <c r="W23" s="226"/>
      <c r="X23" s="227"/>
      <c r="Y23" s="227">
        <v>5.673318506312801</v>
      </c>
      <c r="Z23" s="206">
        <v>13</v>
      </c>
      <c r="AA23" s="226"/>
      <c r="AB23" s="227"/>
      <c r="AC23" s="227">
        <v>2.1952248747266325</v>
      </c>
      <c r="AD23" s="206">
        <v>13</v>
      </c>
      <c r="AE23" s="226"/>
      <c r="AF23" s="227"/>
      <c r="AG23" s="227">
        <v>2.2192090198717125</v>
      </c>
      <c r="AH23" s="206">
        <v>13</v>
      </c>
    </row>
    <row r="24" spans="1:34" ht="11.25">
      <c r="A24" s="228" t="s">
        <v>65</v>
      </c>
      <c r="B24" s="229">
        <v>189</v>
      </c>
      <c r="C24" s="230"/>
      <c r="D24" s="231"/>
      <c r="E24" s="231">
        <v>37.8</v>
      </c>
      <c r="F24" s="209">
        <v>155.81</v>
      </c>
      <c r="G24" s="230"/>
      <c r="H24" s="231"/>
      <c r="I24" s="231">
        <v>42.06870000000001</v>
      </c>
      <c r="J24" s="209">
        <v>119</v>
      </c>
      <c r="K24" s="230"/>
      <c r="L24" s="231"/>
      <c r="M24" s="231">
        <v>12.566050000000002</v>
      </c>
      <c r="N24" s="209">
        <v>110</v>
      </c>
      <c r="O24" s="230"/>
      <c r="P24" s="231"/>
      <c r="Q24" s="231">
        <v>11.955484500000003</v>
      </c>
      <c r="R24" s="209">
        <v>107</v>
      </c>
      <c r="S24" s="230"/>
      <c r="T24" s="231"/>
      <c r="U24" s="231">
        <v>9.058401129820002</v>
      </c>
      <c r="V24" s="209">
        <v>107</v>
      </c>
      <c r="W24" s="230"/>
      <c r="X24" s="231"/>
      <c r="Y24" s="231">
        <v>10.983636173131202</v>
      </c>
      <c r="Z24" s="209">
        <v>107</v>
      </c>
      <c r="AA24" s="230"/>
      <c r="AB24" s="231"/>
      <c r="AC24" s="231">
        <v>10.151422078625393</v>
      </c>
      <c r="AD24" s="209">
        <v>107</v>
      </c>
      <c r="AE24" s="230"/>
      <c r="AF24" s="231"/>
      <c r="AG24" s="231">
        <v>9.948578287330067</v>
      </c>
      <c r="AH24" s="209">
        <v>107</v>
      </c>
    </row>
    <row r="25" spans="1:34" ht="12" thickBot="1">
      <c r="A25" s="232" t="s">
        <v>66</v>
      </c>
      <c r="B25" s="233">
        <v>508</v>
      </c>
      <c r="C25" s="234"/>
      <c r="D25" s="235"/>
      <c r="E25" s="235">
        <v>177.8</v>
      </c>
      <c r="F25" s="211">
        <v>304.8</v>
      </c>
      <c r="G25" s="234"/>
      <c r="H25" s="235"/>
      <c r="I25" s="235">
        <v>118.87200000000003</v>
      </c>
      <c r="J25" s="211">
        <v>204</v>
      </c>
      <c r="K25" s="234"/>
      <c r="L25" s="235"/>
      <c r="M25" s="235">
        <v>32.30880000000001</v>
      </c>
      <c r="N25" s="211">
        <v>197</v>
      </c>
      <c r="O25" s="234"/>
      <c r="P25" s="235"/>
      <c r="Q25" s="235">
        <v>13.119656120000002</v>
      </c>
      <c r="R25" s="211">
        <v>197</v>
      </c>
      <c r="S25" s="234"/>
      <c r="T25" s="235"/>
      <c r="U25" s="235">
        <v>9.617022582356002</v>
      </c>
      <c r="V25" s="211">
        <v>198</v>
      </c>
      <c r="W25" s="234"/>
      <c r="X25" s="235"/>
      <c r="Y25" s="235">
        <v>21.1219908141439</v>
      </c>
      <c r="Z25" s="211">
        <v>198</v>
      </c>
      <c r="AA25" s="234"/>
      <c r="AB25" s="235"/>
      <c r="AC25" s="235">
        <v>18.856927527453184</v>
      </c>
      <c r="AD25" s="211">
        <v>198</v>
      </c>
      <c r="AE25" s="234"/>
      <c r="AF25" s="235"/>
      <c r="AG25" s="235">
        <v>27.30192903488444</v>
      </c>
      <c r="AH25" s="211">
        <v>198</v>
      </c>
    </row>
    <row r="26" spans="1:34" ht="12" thickBot="1">
      <c r="A26" s="236" t="s">
        <v>122</v>
      </c>
      <c r="B26" s="237">
        <f>SUM(B23:B25)</f>
        <v>718</v>
      </c>
      <c r="C26" s="237">
        <f aca="true" t="shared" si="2" ref="C26:AD26">SUM(C23:C25)</f>
        <v>0</v>
      </c>
      <c r="D26" s="237">
        <f t="shared" si="2"/>
        <v>0</v>
      </c>
      <c r="E26" s="237">
        <f t="shared" si="2"/>
        <v>218.96</v>
      </c>
      <c r="F26" s="237">
        <f t="shared" si="2"/>
        <v>499.04</v>
      </c>
      <c r="G26" s="237">
        <f t="shared" si="2"/>
        <v>0</v>
      </c>
      <c r="H26" s="237">
        <f t="shared" si="2"/>
        <v>0</v>
      </c>
      <c r="I26" s="237">
        <f t="shared" si="2"/>
        <v>174.00690000000003</v>
      </c>
      <c r="J26" s="237">
        <f t="shared" si="2"/>
        <v>335</v>
      </c>
      <c r="K26" s="237">
        <f t="shared" si="2"/>
        <v>0</v>
      </c>
      <c r="L26" s="237">
        <f t="shared" si="2"/>
        <v>0</v>
      </c>
      <c r="M26" s="237">
        <f t="shared" si="2"/>
        <v>60.76286200000001</v>
      </c>
      <c r="N26" s="237">
        <f t="shared" si="2"/>
        <v>320</v>
      </c>
      <c r="O26" s="237">
        <f t="shared" si="2"/>
        <v>0</v>
      </c>
      <c r="P26" s="237">
        <f t="shared" si="2"/>
        <v>0</v>
      </c>
      <c r="Q26" s="237">
        <f t="shared" si="2"/>
        <v>32.72264821</v>
      </c>
      <c r="R26" s="237">
        <f t="shared" si="2"/>
        <v>317</v>
      </c>
      <c r="S26" s="237">
        <f t="shared" si="2"/>
        <v>0</v>
      </c>
      <c r="T26" s="237">
        <f t="shared" si="2"/>
        <v>0</v>
      </c>
      <c r="U26" s="237">
        <f t="shared" si="2"/>
        <v>24.450555687376003</v>
      </c>
      <c r="V26" s="237">
        <f t="shared" si="2"/>
        <v>318</v>
      </c>
      <c r="W26" s="237">
        <f t="shared" si="2"/>
        <v>0</v>
      </c>
      <c r="X26" s="237">
        <f t="shared" si="2"/>
        <v>0</v>
      </c>
      <c r="Y26" s="237">
        <f t="shared" si="2"/>
        <v>37.7789454935879</v>
      </c>
      <c r="Z26" s="237">
        <f t="shared" si="2"/>
        <v>318</v>
      </c>
      <c r="AA26" s="237">
        <f t="shared" si="2"/>
        <v>0</v>
      </c>
      <c r="AB26" s="237">
        <f t="shared" si="2"/>
        <v>0</v>
      </c>
      <c r="AC26" s="237">
        <f t="shared" si="2"/>
        <v>31.20357448080521</v>
      </c>
      <c r="AD26" s="237">
        <f t="shared" si="2"/>
        <v>318</v>
      </c>
      <c r="AE26" s="237">
        <f>SUM(AE23:AE25)</f>
        <v>0</v>
      </c>
      <c r="AF26" s="237">
        <f>SUM(AF23:AF25)</f>
        <v>0</v>
      </c>
      <c r="AG26" s="237">
        <f>SUM(AG23:AG25)</f>
        <v>39.46971634208622</v>
      </c>
      <c r="AH26" s="237">
        <f>SUM(AH23:AH25)</f>
        <v>318</v>
      </c>
    </row>
    <row r="27" spans="1:34" ht="11.25">
      <c r="A27" s="224" t="s">
        <v>67</v>
      </c>
      <c r="B27" s="225">
        <v>28</v>
      </c>
      <c r="C27" s="226"/>
      <c r="D27" s="227"/>
      <c r="E27" s="227">
        <v>4.48</v>
      </c>
      <c r="F27" s="206">
        <v>50.14</v>
      </c>
      <c r="G27" s="226"/>
      <c r="H27" s="227"/>
      <c r="I27" s="227">
        <v>0</v>
      </c>
      <c r="J27" s="206">
        <v>50</v>
      </c>
      <c r="K27" s="226"/>
      <c r="L27" s="227"/>
      <c r="M27" s="227">
        <v>0</v>
      </c>
      <c r="N27" s="206">
        <v>50</v>
      </c>
      <c r="O27" s="226"/>
      <c r="P27" s="227"/>
      <c r="Q27" s="227">
        <v>0</v>
      </c>
      <c r="R27" s="206">
        <v>50</v>
      </c>
      <c r="S27" s="226"/>
      <c r="T27" s="227"/>
      <c r="U27" s="227">
        <v>3</v>
      </c>
      <c r="V27" s="206">
        <v>50</v>
      </c>
      <c r="W27" s="226"/>
      <c r="X27" s="227"/>
      <c r="Y27" s="227">
        <v>2</v>
      </c>
      <c r="Z27" s="206">
        <v>50</v>
      </c>
      <c r="AA27" s="226"/>
      <c r="AB27" s="227"/>
      <c r="AC27" s="227">
        <v>3</v>
      </c>
      <c r="AD27" s="206">
        <v>50</v>
      </c>
      <c r="AE27" s="226"/>
      <c r="AF27" s="227"/>
      <c r="AG27" s="227">
        <v>3</v>
      </c>
      <c r="AH27" s="206">
        <v>50</v>
      </c>
    </row>
    <row r="28" spans="1:34" ht="11.25">
      <c r="A28" s="228" t="s">
        <v>68</v>
      </c>
      <c r="B28" s="229">
        <v>1331</v>
      </c>
      <c r="C28" s="230"/>
      <c r="D28" s="231"/>
      <c r="E28" s="231">
        <v>359.37</v>
      </c>
      <c r="F28" s="209">
        <v>986.31</v>
      </c>
      <c r="G28" s="230"/>
      <c r="H28" s="231"/>
      <c r="I28" s="231">
        <v>0</v>
      </c>
      <c r="J28" s="209">
        <v>722</v>
      </c>
      <c r="K28" s="230"/>
      <c r="L28" s="231"/>
      <c r="M28" s="231">
        <v>0</v>
      </c>
      <c r="N28" s="209">
        <v>693</v>
      </c>
      <c r="O28" s="230"/>
      <c r="P28" s="231"/>
      <c r="Q28" s="231">
        <v>0</v>
      </c>
      <c r="R28" s="209">
        <v>693</v>
      </c>
      <c r="S28" s="230"/>
      <c r="T28" s="231"/>
      <c r="U28" s="231">
        <v>21</v>
      </c>
      <c r="V28" s="209">
        <v>693</v>
      </c>
      <c r="W28" s="230"/>
      <c r="X28" s="231"/>
      <c r="Y28" s="231">
        <v>15</v>
      </c>
      <c r="Z28" s="209">
        <v>693</v>
      </c>
      <c r="AA28" s="230"/>
      <c r="AB28" s="231"/>
      <c r="AC28" s="231">
        <v>18</v>
      </c>
      <c r="AD28" s="209">
        <v>693</v>
      </c>
      <c r="AE28" s="230"/>
      <c r="AF28" s="231"/>
      <c r="AG28" s="231">
        <v>18</v>
      </c>
      <c r="AH28" s="209">
        <v>693</v>
      </c>
    </row>
    <row r="29" spans="1:34" ht="11.25">
      <c r="A29" s="228" t="s">
        <v>69</v>
      </c>
      <c r="B29" s="229">
        <v>826</v>
      </c>
      <c r="C29" s="230"/>
      <c r="D29" s="231"/>
      <c r="E29" s="231">
        <v>33.04</v>
      </c>
      <c r="F29" s="209">
        <v>844.54</v>
      </c>
      <c r="G29" s="230"/>
      <c r="H29" s="231"/>
      <c r="I29" s="231">
        <v>0</v>
      </c>
      <c r="J29" s="209">
        <v>1126</v>
      </c>
      <c r="K29" s="230"/>
      <c r="L29" s="231"/>
      <c r="M29" s="231">
        <v>0</v>
      </c>
      <c r="N29" s="209">
        <v>1251</v>
      </c>
      <c r="O29" s="230"/>
      <c r="P29" s="231"/>
      <c r="Q29" s="231">
        <v>0</v>
      </c>
      <c r="R29" s="209">
        <v>1280</v>
      </c>
      <c r="S29" s="230"/>
      <c r="T29" s="231"/>
      <c r="U29" s="231">
        <v>18</v>
      </c>
      <c r="V29" s="209">
        <v>1280</v>
      </c>
      <c r="W29" s="230"/>
      <c r="X29" s="231"/>
      <c r="Y29" s="231">
        <v>9</v>
      </c>
      <c r="Z29" s="209">
        <v>1280</v>
      </c>
      <c r="AA29" s="230"/>
      <c r="AB29" s="231"/>
      <c r="AC29" s="231">
        <v>32</v>
      </c>
      <c r="AD29" s="209">
        <v>1280</v>
      </c>
      <c r="AE29" s="230"/>
      <c r="AF29" s="231"/>
      <c r="AG29" s="231">
        <v>32</v>
      </c>
      <c r="AH29" s="209">
        <v>1280</v>
      </c>
    </row>
    <row r="30" spans="1:34" ht="11.25">
      <c r="A30" s="228" t="s">
        <v>70</v>
      </c>
      <c r="B30" s="229">
        <v>1548</v>
      </c>
      <c r="C30" s="230"/>
      <c r="D30" s="231"/>
      <c r="E30" s="231">
        <v>61.92</v>
      </c>
      <c r="F30" s="209">
        <v>1645.2</v>
      </c>
      <c r="G30" s="230"/>
      <c r="H30" s="231"/>
      <c r="I30" s="231">
        <v>0</v>
      </c>
      <c r="J30" s="209">
        <v>1894</v>
      </c>
      <c r="K30" s="230"/>
      <c r="L30" s="231"/>
      <c r="M30" s="231">
        <v>0</v>
      </c>
      <c r="N30" s="209">
        <v>2318</v>
      </c>
      <c r="O30" s="230"/>
      <c r="P30" s="231"/>
      <c r="Q30" s="231">
        <v>0</v>
      </c>
      <c r="R30" s="209">
        <v>2318</v>
      </c>
      <c r="S30" s="230"/>
      <c r="T30" s="231"/>
      <c r="U30" s="231">
        <v>69</v>
      </c>
      <c r="V30" s="209">
        <v>2298</v>
      </c>
      <c r="W30" s="230"/>
      <c r="X30" s="231"/>
      <c r="Y30" s="231">
        <v>32</v>
      </c>
      <c r="Z30" s="209">
        <v>2298</v>
      </c>
      <c r="AA30" s="230"/>
      <c r="AB30" s="231"/>
      <c r="AC30" s="231">
        <v>60</v>
      </c>
      <c r="AD30" s="209">
        <v>2295</v>
      </c>
      <c r="AE30" s="230"/>
      <c r="AF30" s="231"/>
      <c r="AG30" s="231">
        <v>60</v>
      </c>
      <c r="AH30" s="209">
        <v>2295</v>
      </c>
    </row>
    <row r="31" spans="1:34" ht="12" thickBot="1">
      <c r="A31" s="232" t="s">
        <v>71</v>
      </c>
      <c r="B31" s="233">
        <v>1050</v>
      </c>
      <c r="C31" s="234"/>
      <c r="D31" s="235"/>
      <c r="E31" s="235">
        <v>63</v>
      </c>
      <c r="F31" s="211">
        <v>1682.36</v>
      </c>
      <c r="G31" s="234"/>
      <c r="H31" s="235"/>
      <c r="I31" s="235">
        <v>0</v>
      </c>
      <c r="J31" s="211">
        <v>999</v>
      </c>
      <c r="K31" s="234"/>
      <c r="L31" s="235"/>
      <c r="M31" s="235">
        <v>0</v>
      </c>
      <c r="N31" s="211">
        <v>1108</v>
      </c>
      <c r="O31" s="234"/>
      <c r="P31" s="235"/>
      <c r="Q31" s="235">
        <v>0</v>
      </c>
      <c r="R31" s="211">
        <v>1110</v>
      </c>
      <c r="S31" s="234"/>
      <c r="T31" s="235"/>
      <c r="U31" s="235">
        <v>107</v>
      </c>
      <c r="V31" s="211">
        <v>1110</v>
      </c>
      <c r="W31" s="234"/>
      <c r="X31" s="235"/>
      <c r="Y31" s="235">
        <v>78</v>
      </c>
      <c r="Z31" s="211">
        <v>1110</v>
      </c>
      <c r="AA31" s="234"/>
      <c r="AB31" s="235"/>
      <c r="AC31" s="235">
        <v>46</v>
      </c>
      <c r="AD31" s="211">
        <v>1110</v>
      </c>
      <c r="AE31" s="234"/>
      <c r="AF31" s="235"/>
      <c r="AG31" s="235">
        <v>45</v>
      </c>
      <c r="AH31" s="211">
        <v>1110</v>
      </c>
    </row>
    <row r="32" spans="1:34" ht="12" thickBot="1">
      <c r="A32" s="236" t="s">
        <v>123</v>
      </c>
      <c r="B32" s="237">
        <f>SUM(B27:B31)</f>
        <v>4783</v>
      </c>
      <c r="C32" s="237">
        <f aca="true" t="shared" si="3" ref="C32:AD32">SUM(C27:C31)</f>
        <v>0</v>
      </c>
      <c r="D32" s="237">
        <f t="shared" si="3"/>
        <v>0</v>
      </c>
      <c r="E32" s="237">
        <f t="shared" si="3"/>
        <v>521.8100000000001</v>
      </c>
      <c r="F32" s="237">
        <f t="shared" si="3"/>
        <v>5208.55</v>
      </c>
      <c r="G32" s="237">
        <f t="shared" si="3"/>
        <v>0</v>
      </c>
      <c r="H32" s="237">
        <f t="shared" si="3"/>
        <v>0</v>
      </c>
      <c r="I32" s="237">
        <f t="shared" si="3"/>
        <v>0</v>
      </c>
      <c r="J32" s="237">
        <f t="shared" si="3"/>
        <v>4791</v>
      </c>
      <c r="K32" s="237">
        <f t="shared" si="3"/>
        <v>0</v>
      </c>
      <c r="L32" s="237">
        <f t="shared" si="3"/>
        <v>0</v>
      </c>
      <c r="M32" s="237">
        <f t="shared" si="3"/>
        <v>0</v>
      </c>
      <c r="N32" s="237">
        <f t="shared" si="3"/>
        <v>5420</v>
      </c>
      <c r="O32" s="237">
        <f t="shared" si="3"/>
        <v>0</v>
      </c>
      <c r="P32" s="237">
        <f t="shared" si="3"/>
        <v>0</v>
      </c>
      <c r="Q32" s="237">
        <f t="shared" si="3"/>
        <v>0</v>
      </c>
      <c r="R32" s="237">
        <f t="shared" si="3"/>
        <v>5451</v>
      </c>
      <c r="S32" s="237">
        <f t="shared" si="3"/>
        <v>0</v>
      </c>
      <c r="T32" s="237">
        <f t="shared" si="3"/>
        <v>0</v>
      </c>
      <c r="U32" s="237">
        <f t="shared" si="3"/>
        <v>218</v>
      </c>
      <c r="V32" s="237">
        <f t="shared" si="3"/>
        <v>5431</v>
      </c>
      <c r="W32" s="237">
        <f t="shared" si="3"/>
        <v>0</v>
      </c>
      <c r="X32" s="237">
        <f t="shared" si="3"/>
        <v>0</v>
      </c>
      <c r="Y32" s="237">
        <f t="shared" si="3"/>
        <v>136</v>
      </c>
      <c r="Z32" s="237">
        <f t="shared" si="3"/>
        <v>5431</v>
      </c>
      <c r="AA32" s="237">
        <f t="shared" si="3"/>
        <v>0</v>
      </c>
      <c r="AB32" s="237">
        <f t="shared" si="3"/>
        <v>0</v>
      </c>
      <c r="AC32" s="237">
        <f t="shared" si="3"/>
        <v>159</v>
      </c>
      <c r="AD32" s="237">
        <f t="shared" si="3"/>
        <v>5428</v>
      </c>
      <c r="AE32" s="237">
        <f>SUM(AE27:AE31)</f>
        <v>0</v>
      </c>
      <c r="AF32" s="237">
        <f>SUM(AF27:AF31)</f>
        <v>0</v>
      </c>
      <c r="AG32" s="237">
        <f>SUM(AG27:AG31)</f>
        <v>158</v>
      </c>
      <c r="AH32" s="237">
        <f>SUM(AH27:AH31)</f>
        <v>5428</v>
      </c>
    </row>
    <row r="33" spans="1:34" ht="11.25">
      <c r="A33" s="224" t="s">
        <v>72</v>
      </c>
      <c r="B33" s="225">
        <v>1528</v>
      </c>
      <c r="C33" s="226"/>
      <c r="D33" s="227"/>
      <c r="E33" s="227">
        <v>76.4</v>
      </c>
      <c r="F33" s="206">
        <v>1982.78</v>
      </c>
      <c r="G33" s="226"/>
      <c r="H33" s="227"/>
      <c r="I33" s="227">
        <v>99.13900000000001</v>
      </c>
      <c r="J33" s="206">
        <v>1449</v>
      </c>
      <c r="K33" s="226"/>
      <c r="L33" s="227"/>
      <c r="M33" s="227">
        <v>19.93972</v>
      </c>
      <c r="N33" s="206">
        <v>1641</v>
      </c>
      <c r="O33" s="226"/>
      <c r="P33" s="227"/>
      <c r="Q33" s="227">
        <v>150.48065025000002</v>
      </c>
      <c r="R33" s="206">
        <v>1641</v>
      </c>
      <c r="S33" s="226"/>
      <c r="T33" s="227"/>
      <c r="U33" s="227">
        <v>154.26513589500004</v>
      </c>
      <c r="V33" s="206">
        <v>1641</v>
      </c>
      <c r="W33" s="226"/>
      <c r="X33" s="227"/>
      <c r="Y33" s="227">
        <v>155.06707379940005</v>
      </c>
      <c r="Z33" s="206">
        <v>1641</v>
      </c>
      <c r="AA33" s="226"/>
      <c r="AB33" s="227"/>
      <c r="AC33" s="227">
        <v>185.59496560915082</v>
      </c>
      <c r="AD33" s="206">
        <v>1639</v>
      </c>
      <c r="AE33" s="226"/>
      <c r="AF33" s="227"/>
      <c r="AG33" s="227">
        <v>186.93951668940977</v>
      </c>
      <c r="AH33" s="206">
        <v>1639</v>
      </c>
    </row>
    <row r="34" spans="1:34" ht="11.25">
      <c r="A34" s="228" t="s">
        <v>73</v>
      </c>
      <c r="B34" s="229">
        <v>2506</v>
      </c>
      <c r="C34" s="230"/>
      <c r="D34" s="231"/>
      <c r="E34" s="231">
        <v>125.3</v>
      </c>
      <c r="F34" s="209">
        <v>1996.77</v>
      </c>
      <c r="G34" s="230"/>
      <c r="H34" s="231"/>
      <c r="I34" s="231">
        <v>59.9031</v>
      </c>
      <c r="J34" s="209">
        <v>2749</v>
      </c>
      <c r="K34" s="230"/>
      <c r="L34" s="231"/>
      <c r="M34" s="231">
        <v>61.600455</v>
      </c>
      <c r="N34" s="209">
        <v>3314</v>
      </c>
      <c r="O34" s="230"/>
      <c r="P34" s="231"/>
      <c r="Q34" s="231">
        <v>104.10357600000003</v>
      </c>
      <c r="R34" s="209">
        <v>3268</v>
      </c>
      <c r="S34" s="230"/>
      <c r="T34" s="231"/>
      <c r="U34" s="231">
        <v>164.49471648000002</v>
      </c>
      <c r="V34" s="209">
        <v>3268</v>
      </c>
      <c r="W34" s="230"/>
      <c r="X34" s="231"/>
      <c r="Y34" s="231">
        <v>162.7526883936</v>
      </c>
      <c r="Z34" s="209">
        <v>3268</v>
      </c>
      <c r="AA34" s="230"/>
      <c r="AB34" s="231"/>
      <c r="AC34" s="231">
        <v>202.44980025062407</v>
      </c>
      <c r="AD34" s="209">
        <v>3268</v>
      </c>
      <c r="AE34" s="230"/>
      <c r="AF34" s="231"/>
      <c r="AG34" s="231">
        <v>203.3067913203994</v>
      </c>
      <c r="AH34" s="209">
        <v>3268</v>
      </c>
    </row>
    <row r="35" spans="1:34" ht="11.25">
      <c r="A35" s="228" t="s">
        <v>74</v>
      </c>
      <c r="B35" s="229">
        <v>1177</v>
      </c>
      <c r="C35" s="230"/>
      <c r="D35" s="231"/>
      <c r="E35" s="231">
        <v>47.08</v>
      </c>
      <c r="F35" s="209">
        <v>1785.31</v>
      </c>
      <c r="G35" s="230"/>
      <c r="H35" s="231"/>
      <c r="I35" s="231">
        <v>71.4124</v>
      </c>
      <c r="J35" s="209">
        <v>1948</v>
      </c>
      <c r="K35" s="230"/>
      <c r="L35" s="231"/>
      <c r="M35" s="231">
        <v>30</v>
      </c>
      <c r="N35" s="209">
        <v>2326</v>
      </c>
      <c r="O35" s="230"/>
      <c r="P35" s="231"/>
      <c r="Q35" s="231">
        <v>101.8</v>
      </c>
      <c r="R35" s="209">
        <v>2338</v>
      </c>
      <c r="S35" s="230"/>
      <c r="T35" s="231"/>
      <c r="U35" s="231">
        <v>67.308</v>
      </c>
      <c r="V35" s="209">
        <v>2338</v>
      </c>
      <c r="W35" s="230"/>
      <c r="X35" s="231"/>
      <c r="Y35" s="231">
        <v>84.27890000000002</v>
      </c>
      <c r="Z35" s="209">
        <v>2338</v>
      </c>
      <c r="AA35" s="230"/>
      <c r="AB35" s="231"/>
      <c r="AC35" s="231">
        <v>62.226935999999995</v>
      </c>
      <c r="AD35" s="209">
        <v>2338</v>
      </c>
      <c r="AE35" s="230"/>
      <c r="AF35" s="231"/>
      <c r="AG35" s="231">
        <v>62.57857911999999</v>
      </c>
      <c r="AH35" s="209">
        <v>2338</v>
      </c>
    </row>
    <row r="36" spans="1:34" ht="12" thickBot="1">
      <c r="A36" s="232" t="s">
        <v>75</v>
      </c>
      <c r="B36" s="233">
        <v>0</v>
      </c>
      <c r="C36" s="234"/>
      <c r="D36" s="235"/>
      <c r="E36" s="235">
        <v>0</v>
      </c>
      <c r="F36" s="211">
        <v>0</v>
      </c>
      <c r="G36" s="234"/>
      <c r="H36" s="235"/>
      <c r="I36" s="235">
        <v>0</v>
      </c>
      <c r="J36" s="211">
        <v>250</v>
      </c>
      <c r="K36" s="234"/>
      <c r="L36" s="235"/>
      <c r="M36" s="235">
        <v>0</v>
      </c>
      <c r="N36" s="211">
        <v>550</v>
      </c>
      <c r="O36" s="234"/>
      <c r="P36" s="235"/>
      <c r="Q36" s="235">
        <v>0</v>
      </c>
      <c r="R36" s="211">
        <v>300</v>
      </c>
      <c r="S36" s="234"/>
      <c r="T36" s="235"/>
      <c r="U36" s="235">
        <v>0</v>
      </c>
      <c r="V36" s="211">
        <v>145</v>
      </c>
      <c r="W36" s="234"/>
      <c r="X36" s="235"/>
      <c r="Y36" s="235">
        <v>0</v>
      </c>
      <c r="Z36" s="211">
        <v>125</v>
      </c>
      <c r="AA36" s="234"/>
      <c r="AB36" s="235"/>
      <c r="AC36" s="235">
        <v>0</v>
      </c>
      <c r="AD36" s="211">
        <v>160</v>
      </c>
      <c r="AE36" s="234"/>
      <c r="AF36" s="235"/>
      <c r="AG36" s="235">
        <v>0</v>
      </c>
      <c r="AH36" s="211">
        <v>160</v>
      </c>
    </row>
    <row r="37" spans="1:34" ht="12" thickBot="1">
      <c r="A37" s="236" t="s">
        <v>124</v>
      </c>
      <c r="B37" s="237">
        <f>SUM(B33:B36)</f>
        <v>5211</v>
      </c>
      <c r="C37" s="237">
        <f aca="true" t="shared" si="4" ref="C37:AD37">SUM(C33:C36)</f>
        <v>0</v>
      </c>
      <c r="D37" s="237">
        <f t="shared" si="4"/>
        <v>0</v>
      </c>
      <c r="E37" s="237">
        <f t="shared" si="4"/>
        <v>248.77999999999997</v>
      </c>
      <c r="F37" s="237">
        <f t="shared" si="4"/>
        <v>5764.860000000001</v>
      </c>
      <c r="G37" s="237">
        <f t="shared" si="4"/>
        <v>0</v>
      </c>
      <c r="H37" s="237">
        <f t="shared" si="4"/>
        <v>0</v>
      </c>
      <c r="I37" s="237">
        <f t="shared" si="4"/>
        <v>230.4545</v>
      </c>
      <c r="J37" s="237">
        <f t="shared" si="4"/>
        <v>6396</v>
      </c>
      <c r="K37" s="237">
        <f t="shared" si="4"/>
        <v>0</v>
      </c>
      <c r="L37" s="237">
        <f t="shared" si="4"/>
        <v>0</v>
      </c>
      <c r="M37" s="237">
        <f t="shared" si="4"/>
        <v>111.540175</v>
      </c>
      <c r="N37" s="237">
        <f t="shared" si="4"/>
        <v>7831</v>
      </c>
      <c r="O37" s="237">
        <f t="shared" si="4"/>
        <v>0</v>
      </c>
      <c r="P37" s="237">
        <f t="shared" si="4"/>
        <v>0</v>
      </c>
      <c r="Q37" s="237">
        <f t="shared" si="4"/>
        <v>356.38422625000004</v>
      </c>
      <c r="R37" s="237">
        <f t="shared" si="4"/>
        <v>7547</v>
      </c>
      <c r="S37" s="237">
        <f t="shared" si="4"/>
        <v>0</v>
      </c>
      <c r="T37" s="237">
        <f t="shared" si="4"/>
        <v>0</v>
      </c>
      <c r="U37" s="237">
        <f t="shared" si="4"/>
        <v>386.06785237500003</v>
      </c>
      <c r="V37" s="237">
        <f t="shared" si="4"/>
        <v>7392</v>
      </c>
      <c r="W37" s="237">
        <f t="shared" si="4"/>
        <v>0</v>
      </c>
      <c r="X37" s="237">
        <f t="shared" si="4"/>
        <v>0</v>
      </c>
      <c r="Y37" s="237">
        <f t="shared" si="4"/>
        <v>402.0986621930001</v>
      </c>
      <c r="Z37" s="237">
        <f t="shared" si="4"/>
        <v>7372</v>
      </c>
      <c r="AA37" s="237">
        <f t="shared" si="4"/>
        <v>0</v>
      </c>
      <c r="AB37" s="237">
        <f t="shared" si="4"/>
        <v>0</v>
      </c>
      <c r="AC37" s="237">
        <f t="shared" si="4"/>
        <v>450.2717018597749</v>
      </c>
      <c r="AD37" s="237">
        <f t="shared" si="4"/>
        <v>7405</v>
      </c>
      <c r="AE37" s="237">
        <f>SUM(AE33:AE36)</f>
        <v>0</v>
      </c>
      <c r="AF37" s="237">
        <f>SUM(AF33:AF36)</f>
        <v>0</v>
      </c>
      <c r="AG37" s="237">
        <f>SUM(AG33:AG36)</f>
        <v>452.82488712980916</v>
      </c>
      <c r="AH37" s="237">
        <f>SUM(AH33:AH36)</f>
        <v>7405</v>
      </c>
    </row>
    <row r="38" spans="1:34" s="242" customFormat="1" ht="12" thickBot="1">
      <c r="A38" s="238" t="s">
        <v>109</v>
      </c>
      <c r="B38" s="239"/>
      <c r="C38" s="240"/>
      <c r="D38" s="241"/>
      <c r="E38" s="241"/>
      <c r="F38" s="215">
        <v>0</v>
      </c>
      <c r="G38" s="240"/>
      <c r="H38" s="241"/>
      <c r="I38" s="241"/>
      <c r="J38" s="215">
        <v>460</v>
      </c>
      <c r="K38" s="240"/>
      <c r="L38" s="241"/>
      <c r="M38" s="241"/>
      <c r="N38" s="215">
        <v>410</v>
      </c>
      <c r="O38" s="240"/>
      <c r="P38" s="241"/>
      <c r="Q38" s="241"/>
      <c r="R38" s="215">
        <v>550</v>
      </c>
      <c r="S38" s="240"/>
      <c r="T38" s="241"/>
      <c r="U38" s="241"/>
      <c r="V38" s="215">
        <v>560</v>
      </c>
      <c r="W38" s="240"/>
      <c r="X38" s="241"/>
      <c r="Y38" s="241"/>
      <c r="Z38" s="215">
        <v>570</v>
      </c>
      <c r="AA38" s="240"/>
      <c r="AB38" s="241"/>
      <c r="AC38" s="241"/>
      <c r="AD38" s="215">
        <v>570</v>
      </c>
      <c r="AE38" s="240"/>
      <c r="AF38" s="241"/>
      <c r="AG38" s="241"/>
      <c r="AH38" s="215">
        <v>570</v>
      </c>
    </row>
    <row r="39" spans="1:34" ht="12" thickBot="1">
      <c r="A39" s="236" t="s">
        <v>63</v>
      </c>
      <c r="B39" s="237">
        <f>SUM(B37,B32,B26,B22,B15)+B38</f>
        <v>14875</v>
      </c>
      <c r="C39" s="237">
        <f aca="true" t="shared" si="5" ref="C39:AD39">SUM(C37,C32,C26,C22,C15)+C38</f>
        <v>0</v>
      </c>
      <c r="D39" s="237">
        <f t="shared" si="5"/>
        <v>0</v>
      </c>
      <c r="E39" s="237">
        <f t="shared" si="5"/>
        <v>1392.39</v>
      </c>
      <c r="F39" s="237">
        <f t="shared" si="5"/>
        <v>15393.220000000001</v>
      </c>
      <c r="G39" s="237">
        <f t="shared" si="5"/>
        <v>0</v>
      </c>
      <c r="H39" s="237">
        <f t="shared" si="5"/>
        <v>0</v>
      </c>
      <c r="I39" s="237">
        <f t="shared" si="5"/>
        <v>704.7169000000001</v>
      </c>
      <c r="J39" s="237">
        <f t="shared" si="5"/>
        <v>16057</v>
      </c>
      <c r="K39" s="237">
        <f t="shared" si="5"/>
        <v>0</v>
      </c>
      <c r="L39" s="237">
        <f t="shared" si="5"/>
        <v>0</v>
      </c>
      <c r="M39" s="237">
        <f t="shared" si="5"/>
        <v>643.9147389999999</v>
      </c>
      <c r="N39" s="237">
        <f t="shared" si="5"/>
        <v>18161</v>
      </c>
      <c r="O39" s="237">
        <f t="shared" si="5"/>
        <v>0</v>
      </c>
      <c r="P39" s="237">
        <f t="shared" si="5"/>
        <v>0</v>
      </c>
      <c r="Q39" s="237">
        <f t="shared" si="5"/>
        <v>497.5662298525</v>
      </c>
      <c r="R39" s="237">
        <f t="shared" si="5"/>
        <v>18044</v>
      </c>
      <c r="S39" s="237">
        <f t="shared" si="5"/>
        <v>0</v>
      </c>
      <c r="T39" s="237">
        <f t="shared" si="5"/>
        <v>0</v>
      </c>
      <c r="U39" s="237">
        <f t="shared" si="5"/>
        <v>726.725764890176</v>
      </c>
      <c r="V39" s="237">
        <f t="shared" si="5"/>
        <v>17883</v>
      </c>
      <c r="W39" s="237">
        <f t="shared" si="5"/>
        <v>0</v>
      </c>
      <c r="X39" s="237">
        <f t="shared" si="5"/>
        <v>0</v>
      </c>
      <c r="Y39" s="237">
        <f t="shared" si="5"/>
        <v>648.749779734483</v>
      </c>
      <c r="Z39" s="237">
        <f t="shared" si="5"/>
        <v>17873</v>
      </c>
      <c r="AA39" s="237">
        <f t="shared" si="5"/>
        <v>0</v>
      </c>
      <c r="AB39" s="237">
        <f t="shared" si="5"/>
        <v>0</v>
      </c>
      <c r="AC39" s="237">
        <f t="shared" si="5"/>
        <v>805.7257858401056</v>
      </c>
      <c r="AD39" s="237">
        <f t="shared" si="5"/>
        <v>17899</v>
      </c>
      <c r="AE39" s="237">
        <f>SUM(AE37,AE32,AE26,AE22,AE15)+AE38</f>
        <v>0</v>
      </c>
      <c r="AF39" s="237">
        <f>SUM(AF37,AF32,AF26,AF22,AF15)+AF38</f>
        <v>0</v>
      </c>
      <c r="AG39" s="237">
        <f>SUM(AG37,AG32,AG26,AG22,AG15)+AG38</f>
        <v>794.7226088542309</v>
      </c>
      <c r="AH39" s="237">
        <f>SUM(AH37,AH32,AH26,AH22,AH15)+AH38</f>
        <v>17899</v>
      </c>
    </row>
    <row r="40" spans="1:34" s="242" customFormat="1" ht="12" hidden="1" thickBot="1">
      <c r="A40" s="243"/>
      <c r="B40" s="244" t="s">
        <v>76</v>
      </c>
      <c r="C40" s="244"/>
      <c r="D40" s="245">
        <v>150</v>
      </c>
      <c r="E40" s="243"/>
      <c r="F40" s="243"/>
      <c r="G40" s="243"/>
      <c r="H40" s="245">
        <v>150</v>
      </c>
      <c r="I40" s="243"/>
      <c r="J40" s="243"/>
      <c r="K40" s="243"/>
      <c r="L40" s="245">
        <v>0</v>
      </c>
      <c r="M40" s="243"/>
      <c r="N40" s="243"/>
      <c r="O40" s="243"/>
      <c r="P40" s="245">
        <v>0</v>
      </c>
      <c r="Q40" s="243"/>
      <c r="R40" s="243"/>
      <c r="S40" s="243"/>
      <c r="T40" s="245">
        <v>150</v>
      </c>
      <c r="U40" s="243"/>
      <c r="V40" s="243"/>
      <c r="W40" s="243"/>
      <c r="X40" s="245">
        <v>150</v>
      </c>
      <c r="Y40" s="243"/>
      <c r="Z40" s="243"/>
      <c r="AA40" s="243"/>
      <c r="AB40" s="245">
        <v>150</v>
      </c>
      <c r="AC40" s="243"/>
      <c r="AD40" s="243"/>
      <c r="AE40" s="243"/>
      <c r="AF40" s="245">
        <v>150</v>
      </c>
      <c r="AG40" s="243"/>
      <c r="AH40" s="243"/>
    </row>
    <row r="41" spans="1:34" s="242" customFormat="1" ht="12" hidden="1" thickBot="1">
      <c r="A41" s="243"/>
      <c r="B41" s="243"/>
      <c r="C41" s="243"/>
      <c r="D41" s="246">
        <v>1750</v>
      </c>
      <c r="E41" s="247" t="s">
        <v>77</v>
      </c>
      <c r="F41" s="243"/>
      <c r="G41" s="243"/>
      <c r="H41" s="246">
        <v>1500</v>
      </c>
      <c r="I41" s="247" t="s">
        <v>77</v>
      </c>
      <c r="J41" s="243"/>
      <c r="K41" s="243"/>
      <c r="L41" s="246">
        <v>2500</v>
      </c>
      <c r="M41" s="247" t="s">
        <v>77</v>
      </c>
      <c r="N41" s="243"/>
      <c r="O41" s="243"/>
      <c r="P41" s="246">
        <v>1530</v>
      </c>
      <c r="Q41" s="247" t="s">
        <v>77</v>
      </c>
      <c r="R41" s="243"/>
      <c r="S41" s="243"/>
      <c r="T41" s="246">
        <v>1450</v>
      </c>
      <c r="U41" s="247" t="s">
        <v>77</v>
      </c>
      <c r="V41" s="243"/>
      <c r="W41" s="243"/>
      <c r="X41" s="246">
        <v>1050</v>
      </c>
      <c r="Y41" s="247" t="s">
        <v>77</v>
      </c>
      <c r="Z41" s="243"/>
      <c r="AA41" s="243"/>
      <c r="AB41" s="246">
        <v>1300</v>
      </c>
      <c r="AC41" s="247" t="s">
        <v>77</v>
      </c>
      <c r="AD41" s="243"/>
      <c r="AE41" s="243"/>
      <c r="AF41" s="246">
        <v>1300</v>
      </c>
      <c r="AG41" s="247" t="s">
        <v>77</v>
      </c>
      <c r="AH41" s="243"/>
    </row>
    <row r="42" spans="1:34" s="242" customFormat="1" ht="11.25" hidden="1">
      <c r="A42" s="243"/>
      <c r="B42" s="248" t="s">
        <v>78</v>
      </c>
      <c r="C42" s="249">
        <v>0</v>
      </c>
      <c r="D42" s="250">
        <v>0</v>
      </c>
      <c r="E42" s="243"/>
      <c r="F42" s="243"/>
      <c r="G42" s="249">
        <v>0</v>
      </c>
      <c r="H42" s="250">
        <v>0</v>
      </c>
      <c r="I42" s="243"/>
      <c r="J42" s="243"/>
      <c r="K42" s="249">
        <v>0.05</v>
      </c>
      <c r="L42" s="250">
        <v>14.6761812</v>
      </c>
      <c r="M42" s="243"/>
      <c r="N42" s="243"/>
      <c r="O42" s="249">
        <v>0.1</v>
      </c>
      <c r="P42" s="250">
        <v>36.40713111000001</v>
      </c>
      <c r="Q42" s="243"/>
      <c r="R42" s="243"/>
      <c r="S42" s="249">
        <v>0.05</v>
      </c>
      <c r="T42" s="250">
        <v>30.703223131665005</v>
      </c>
      <c r="U42" s="243"/>
      <c r="V42" s="243"/>
      <c r="W42" s="249">
        <v>0.05</v>
      </c>
      <c r="X42" s="250">
        <v>16.260424252498126</v>
      </c>
      <c r="Y42" s="243"/>
      <c r="Z42" s="243"/>
      <c r="AA42" s="249">
        <v>0.05</v>
      </c>
      <c r="AB42" s="250">
        <v>30.635971567526436</v>
      </c>
      <c r="AC42" s="243"/>
      <c r="AD42" s="243"/>
      <c r="AE42" s="249">
        <v>0.05</v>
      </c>
      <c r="AF42" s="250">
        <v>30.17703916191855</v>
      </c>
      <c r="AG42" s="243"/>
      <c r="AH42" s="243"/>
    </row>
    <row r="43" spans="1:34" s="242" customFormat="1" ht="11.25" hidden="1">
      <c r="A43" s="243"/>
      <c r="B43" s="243" t="s">
        <v>79</v>
      </c>
      <c r="C43" s="249">
        <v>0</v>
      </c>
      <c r="D43" s="250">
        <v>0</v>
      </c>
      <c r="E43" s="243"/>
      <c r="F43" s="243"/>
      <c r="G43" s="249">
        <v>0</v>
      </c>
      <c r="H43" s="250">
        <v>0</v>
      </c>
      <c r="I43" s="243"/>
      <c r="J43" s="243"/>
      <c r="K43" s="249">
        <v>0.05</v>
      </c>
      <c r="L43" s="250">
        <v>5.05502</v>
      </c>
      <c r="M43" s="243"/>
      <c r="N43" s="243"/>
      <c r="O43" s="249">
        <v>0.1</v>
      </c>
      <c r="P43" s="250">
        <v>13.077209776799998</v>
      </c>
      <c r="Q43" s="243"/>
      <c r="R43" s="243"/>
      <c r="S43" s="249">
        <v>0.05</v>
      </c>
      <c r="T43" s="250">
        <v>10.873916820922501</v>
      </c>
      <c r="U43" s="243"/>
      <c r="V43" s="243"/>
      <c r="W43" s="249">
        <v>0.05</v>
      </c>
      <c r="X43" s="250">
        <v>6.935225107850056</v>
      </c>
      <c r="Y43" s="243"/>
      <c r="Z43" s="243"/>
      <c r="AA43" s="249">
        <v>0.05</v>
      </c>
      <c r="AB43" s="250">
        <v>13.92098005244388</v>
      </c>
      <c r="AC43" s="243"/>
      <c r="AD43" s="243"/>
      <c r="AE43" s="249">
        <v>0.05</v>
      </c>
      <c r="AF43" s="250">
        <v>13.933235798030925</v>
      </c>
      <c r="AG43" s="243"/>
      <c r="AH43" s="243"/>
    </row>
    <row r="44" spans="1:34" ht="11.25" hidden="1">
      <c r="A44" s="251" t="s">
        <v>80</v>
      </c>
      <c r="B44" s="251"/>
      <c r="C44" s="251"/>
      <c r="D44" s="251"/>
      <c r="E44" s="251">
        <v>175</v>
      </c>
      <c r="F44" s="251"/>
      <c r="G44" s="251"/>
      <c r="H44" s="251"/>
      <c r="I44" s="251">
        <v>175</v>
      </c>
      <c r="J44" s="251"/>
      <c r="K44" s="251"/>
      <c r="L44" s="251"/>
      <c r="M44" s="251">
        <v>175</v>
      </c>
      <c r="N44" s="251"/>
      <c r="O44" s="251"/>
      <c r="P44" s="251"/>
      <c r="Q44" s="251">
        <v>175</v>
      </c>
      <c r="R44" s="251"/>
      <c r="S44" s="251"/>
      <c r="T44" s="251"/>
      <c r="U44" s="251">
        <v>175</v>
      </c>
      <c r="V44" s="251"/>
      <c r="W44" s="251"/>
      <c r="X44" s="251"/>
      <c r="Y44" s="251">
        <v>175</v>
      </c>
      <c r="Z44" s="251"/>
      <c r="AA44" s="251"/>
      <c r="AB44" s="251"/>
      <c r="AC44" s="251">
        <v>175</v>
      </c>
      <c r="AD44" s="251"/>
      <c r="AE44" s="251"/>
      <c r="AF44" s="251"/>
      <c r="AG44" s="251">
        <v>175</v>
      </c>
      <c r="AH44" s="251"/>
    </row>
    <row r="45" spans="1:34" ht="11.25" hidden="1">
      <c r="A45" s="251" t="s">
        <v>81</v>
      </c>
      <c r="B45" s="251"/>
      <c r="C45" s="251"/>
      <c r="D45" s="251"/>
      <c r="E45" s="251">
        <v>1750</v>
      </c>
      <c r="F45" s="251"/>
      <c r="G45" s="251"/>
      <c r="H45" s="251"/>
      <c r="I45" s="251">
        <v>1500</v>
      </c>
      <c r="J45" s="251"/>
      <c r="K45" s="251"/>
      <c r="L45" s="251"/>
      <c r="M45" s="251">
        <v>2500</v>
      </c>
      <c r="N45" s="251"/>
      <c r="O45" s="251"/>
      <c r="P45" s="251"/>
      <c r="Q45" s="251">
        <v>1530</v>
      </c>
      <c r="R45" s="251"/>
      <c r="S45" s="251"/>
      <c r="T45" s="251"/>
      <c r="U45" s="251">
        <v>1450</v>
      </c>
      <c r="V45" s="251"/>
      <c r="W45" s="251"/>
      <c r="X45" s="251"/>
      <c r="Y45" s="251">
        <v>1050</v>
      </c>
      <c r="Z45" s="251"/>
      <c r="AA45" s="251"/>
      <c r="AB45" s="251"/>
      <c r="AC45" s="251">
        <v>1300</v>
      </c>
      <c r="AD45" s="251"/>
      <c r="AE45" s="251"/>
      <c r="AF45" s="251"/>
      <c r="AG45" s="251">
        <v>1300</v>
      </c>
      <c r="AH45" s="251"/>
    </row>
    <row r="46" spans="1:34" ht="11.25">
      <c r="A46" s="251" t="s">
        <v>81</v>
      </c>
      <c r="B46" s="251"/>
      <c r="C46" s="251"/>
      <c r="D46" s="251"/>
      <c r="E46" s="252">
        <v>1228.19</v>
      </c>
      <c r="F46" s="251"/>
      <c r="G46" s="251"/>
      <c r="H46" s="251"/>
      <c r="I46" s="252">
        <v>997.1879999999999</v>
      </c>
      <c r="J46" s="251"/>
      <c r="K46" s="251"/>
      <c r="L46" s="251"/>
      <c r="M46" s="251">
        <v>2209.723203</v>
      </c>
      <c r="N46" s="251"/>
      <c r="O46" s="251"/>
      <c r="P46" s="251"/>
      <c r="Q46" s="251">
        <v>1215.302706168</v>
      </c>
      <c r="R46" s="251"/>
      <c r="S46" s="251"/>
      <c r="T46" s="251"/>
      <c r="U46" s="251">
        <v>581.085305359523</v>
      </c>
      <c r="V46" s="251"/>
      <c r="W46" s="251"/>
      <c r="X46" s="251"/>
      <c r="Y46" s="251">
        <v>502.74152721547557</v>
      </c>
      <c r="Z46" s="251"/>
      <c r="AA46" s="251"/>
      <c r="AB46" s="251"/>
      <c r="AC46" s="251">
        <v>665.8529704526222</v>
      </c>
      <c r="AD46" s="251"/>
      <c r="AE46" s="251"/>
      <c r="AF46" s="251"/>
      <c r="AG46" s="251">
        <v>668.0260548101783</v>
      </c>
      <c r="AH46" s="251"/>
    </row>
    <row r="47" spans="1:66" ht="11.25" hidden="1">
      <c r="A47" s="251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</row>
    <row r="48" ht="11.25">
      <c r="A48" s="253" t="s">
        <v>125</v>
      </c>
    </row>
    <row r="49" ht="11.25">
      <c r="A49" s="253"/>
    </row>
    <row r="50" ht="11.25">
      <c r="A50" s="253"/>
    </row>
    <row r="51" ht="11.25">
      <c r="A51" s="253"/>
    </row>
    <row r="52" ht="11.25">
      <c r="A52" s="253"/>
    </row>
    <row r="53" ht="11.25">
      <c r="A53" s="253"/>
    </row>
    <row r="54" ht="11.25">
      <c r="A54" s="253"/>
    </row>
    <row r="55" ht="11.25">
      <c r="A55" s="253"/>
    </row>
    <row r="56" ht="11.25">
      <c r="A56" s="253"/>
    </row>
    <row r="57" ht="11.25">
      <c r="A57" s="253"/>
    </row>
    <row r="58" ht="11.25">
      <c r="A58" s="253"/>
    </row>
    <row r="59" ht="11.25">
      <c r="A59" s="253"/>
    </row>
    <row r="60" ht="11.25">
      <c r="A60" s="253"/>
    </row>
    <row r="61" ht="11.25">
      <c r="A61" s="253"/>
    </row>
    <row r="62" ht="11.25">
      <c r="A62" s="253"/>
    </row>
    <row r="63" ht="11.25">
      <c r="A63" s="253"/>
    </row>
    <row r="64" ht="11.25">
      <c r="A64" s="253"/>
    </row>
    <row r="65" ht="11.25">
      <c r="A65" s="253"/>
    </row>
    <row r="66" ht="11.25">
      <c r="A66" s="253"/>
    </row>
    <row r="67" ht="11.25">
      <c r="A67" s="253"/>
    </row>
    <row r="68" ht="11.25">
      <c r="A68" s="253"/>
    </row>
    <row r="69" ht="11.25">
      <c r="A69" s="253"/>
    </row>
    <row r="70" spans="1:30" ht="12.75">
      <c r="A70" s="294"/>
      <c r="B70" s="294"/>
      <c r="C70" s="294"/>
      <c r="D70" s="294"/>
      <c r="AD70" s="368" t="s">
        <v>142</v>
      </c>
    </row>
    <row r="71" spans="1:30" ht="12.75">
      <c r="A71" s="425"/>
      <c r="B71" s="425"/>
      <c r="C71" s="425"/>
      <c r="D71" s="425"/>
      <c r="AD71" s="368" t="s">
        <v>144</v>
      </c>
    </row>
    <row r="72" spans="1:4" ht="12.75">
      <c r="A72" s="20"/>
      <c r="B72" s="20"/>
      <c r="C72" s="20"/>
      <c r="D72" s="20"/>
    </row>
    <row r="73" spans="1:4" ht="12.75">
      <c r="A73" s="20"/>
      <c r="B73" s="20"/>
      <c r="C73" s="20"/>
      <c r="D73" s="20"/>
    </row>
    <row r="74" spans="1:4" ht="12.75">
      <c r="A74" s="20"/>
      <c r="B74" s="20"/>
      <c r="C74" s="20"/>
      <c r="D74" s="20"/>
    </row>
    <row r="75" spans="1:4" ht="12.75">
      <c r="A75" s="20"/>
      <c r="B75" s="20"/>
      <c r="C75" s="20"/>
      <c r="D75" s="20"/>
    </row>
    <row r="76" spans="1:4" ht="12.75">
      <c r="A76" s="27" t="s">
        <v>146</v>
      </c>
      <c r="B76" s="20"/>
      <c r="C76" s="20"/>
      <c r="D76" s="20"/>
    </row>
    <row r="77" ht="12" thickBot="1"/>
    <row r="78" spans="3:34" ht="12" thickBot="1">
      <c r="C78" s="426">
        <v>2013</v>
      </c>
      <c r="D78" s="426"/>
      <c r="E78" s="426"/>
      <c r="F78" s="426"/>
      <c r="G78" s="426">
        <v>2014</v>
      </c>
      <c r="H78" s="426"/>
      <c r="I78" s="426"/>
      <c r="J78" s="426"/>
      <c r="K78" s="426">
        <v>2015</v>
      </c>
      <c r="L78" s="426"/>
      <c r="M78" s="426"/>
      <c r="N78" s="426"/>
      <c r="O78" s="426">
        <v>2016</v>
      </c>
      <c r="P78" s="426"/>
      <c r="Q78" s="426"/>
      <c r="R78" s="426"/>
      <c r="S78" s="426">
        <v>2017</v>
      </c>
      <c r="T78" s="426"/>
      <c r="U78" s="426"/>
      <c r="V78" s="426"/>
      <c r="W78" s="426">
        <v>2018</v>
      </c>
      <c r="X78" s="426"/>
      <c r="Y78" s="426"/>
      <c r="Z78" s="426"/>
      <c r="AA78" s="426">
        <v>2019</v>
      </c>
      <c r="AB78" s="426"/>
      <c r="AC78" s="426"/>
      <c r="AD78" s="426"/>
      <c r="AE78" s="426">
        <v>2020</v>
      </c>
      <c r="AF78" s="426"/>
      <c r="AG78" s="426"/>
      <c r="AH78" s="426"/>
    </row>
    <row r="79" spans="2:34" ht="12" thickBot="1">
      <c r="B79" s="221"/>
      <c r="C79" s="222" t="s">
        <v>54</v>
      </c>
      <c r="D79" s="222" t="s">
        <v>55</v>
      </c>
      <c r="E79" s="222" t="s">
        <v>56</v>
      </c>
      <c r="F79" s="223" t="s">
        <v>115</v>
      </c>
      <c r="G79" s="222" t="s">
        <v>54</v>
      </c>
      <c r="H79" s="222" t="s">
        <v>55</v>
      </c>
      <c r="I79" s="222" t="s">
        <v>56</v>
      </c>
      <c r="J79" s="223" t="s">
        <v>115</v>
      </c>
      <c r="K79" s="222" t="s">
        <v>54</v>
      </c>
      <c r="L79" s="222" t="s">
        <v>55</v>
      </c>
      <c r="M79" s="222" t="s">
        <v>56</v>
      </c>
      <c r="N79" s="223" t="s">
        <v>115</v>
      </c>
      <c r="O79" s="222" t="s">
        <v>54</v>
      </c>
      <c r="P79" s="222" t="s">
        <v>55</v>
      </c>
      <c r="Q79" s="222" t="s">
        <v>56</v>
      </c>
      <c r="R79" s="223" t="s">
        <v>115</v>
      </c>
      <c r="S79" s="222" t="s">
        <v>54</v>
      </c>
      <c r="T79" s="222" t="s">
        <v>55</v>
      </c>
      <c r="U79" s="222" t="s">
        <v>56</v>
      </c>
      <c r="V79" s="223" t="s">
        <v>115</v>
      </c>
      <c r="W79" s="222" t="s">
        <v>54</v>
      </c>
      <c r="X79" s="222" t="s">
        <v>55</v>
      </c>
      <c r="Y79" s="222" t="s">
        <v>56</v>
      </c>
      <c r="Z79" s="223" t="s">
        <v>115</v>
      </c>
      <c r="AA79" s="222" t="s">
        <v>54</v>
      </c>
      <c r="AB79" s="222" t="s">
        <v>55</v>
      </c>
      <c r="AC79" s="222" t="s">
        <v>56</v>
      </c>
      <c r="AD79" s="223" t="s">
        <v>115</v>
      </c>
      <c r="AE79" s="222" t="s">
        <v>54</v>
      </c>
      <c r="AF79" s="222" t="s">
        <v>55</v>
      </c>
      <c r="AG79" s="222" t="s">
        <v>56</v>
      </c>
      <c r="AH79" s="254" t="s">
        <v>115</v>
      </c>
    </row>
    <row r="80" spans="1:34" ht="11.25">
      <c r="A80" s="224" t="s">
        <v>116</v>
      </c>
      <c r="B80" s="225"/>
      <c r="C80" s="226"/>
      <c r="D80" s="227"/>
      <c r="E80" s="227">
        <v>1</v>
      </c>
      <c r="F80" s="206">
        <v>1</v>
      </c>
      <c r="G80" s="226"/>
      <c r="H80" s="227"/>
      <c r="I80" s="227"/>
      <c r="J80" s="206">
        <v>1</v>
      </c>
      <c r="K80" s="226"/>
      <c r="L80" s="227"/>
      <c r="M80" s="227"/>
      <c r="N80" s="206">
        <v>1</v>
      </c>
      <c r="O80" s="226"/>
      <c r="P80" s="227"/>
      <c r="Q80" s="227"/>
      <c r="R80" s="206">
        <v>1</v>
      </c>
      <c r="S80" s="226"/>
      <c r="T80" s="227"/>
      <c r="U80" s="227">
        <v>1</v>
      </c>
      <c r="V80" s="206">
        <v>1</v>
      </c>
      <c r="W80" s="226"/>
      <c r="X80" s="227"/>
      <c r="Y80" s="227"/>
      <c r="Z80" s="206">
        <v>1</v>
      </c>
      <c r="AA80" s="226"/>
      <c r="AB80" s="227"/>
      <c r="AC80" s="227"/>
      <c r="AD80" s="206">
        <v>1</v>
      </c>
      <c r="AE80" s="226"/>
      <c r="AF80" s="227"/>
      <c r="AG80" s="227"/>
      <c r="AH80" s="206">
        <v>1</v>
      </c>
    </row>
    <row r="81" spans="1:34" ht="11.25">
      <c r="A81" s="228" t="s">
        <v>117</v>
      </c>
      <c r="B81" s="229"/>
      <c r="C81" s="230"/>
      <c r="D81" s="231"/>
      <c r="E81" s="231"/>
      <c r="F81" s="209">
        <v>3</v>
      </c>
      <c r="G81" s="230"/>
      <c r="H81" s="231"/>
      <c r="I81" s="231"/>
      <c r="J81" s="209">
        <v>3</v>
      </c>
      <c r="K81" s="230"/>
      <c r="L81" s="231"/>
      <c r="M81" s="231">
        <v>1</v>
      </c>
      <c r="N81" s="209">
        <v>3</v>
      </c>
      <c r="O81" s="230"/>
      <c r="P81" s="231"/>
      <c r="Q81" s="231"/>
      <c r="R81" s="209">
        <v>3</v>
      </c>
      <c r="S81" s="230"/>
      <c r="T81" s="231"/>
      <c r="U81" s="231"/>
      <c r="V81" s="209">
        <v>3</v>
      </c>
      <c r="W81" s="230"/>
      <c r="X81" s="231"/>
      <c r="Y81" s="231"/>
      <c r="Z81" s="209">
        <v>3</v>
      </c>
      <c r="AA81" s="230"/>
      <c r="AB81" s="231"/>
      <c r="AC81" s="231">
        <v>1</v>
      </c>
      <c r="AD81" s="209">
        <v>3</v>
      </c>
      <c r="AE81" s="230"/>
      <c r="AF81" s="231"/>
      <c r="AG81" s="231"/>
      <c r="AH81" s="209">
        <v>3</v>
      </c>
    </row>
    <row r="82" spans="1:34" ht="11.25">
      <c r="A82" s="228" t="s">
        <v>118</v>
      </c>
      <c r="B82" s="229"/>
      <c r="C82" s="230"/>
      <c r="D82" s="231"/>
      <c r="E82" s="231"/>
      <c r="F82" s="209">
        <v>11</v>
      </c>
      <c r="G82" s="230"/>
      <c r="H82" s="231"/>
      <c r="I82" s="231">
        <v>1</v>
      </c>
      <c r="J82" s="209">
        <v>11</v>
      </c>
      <c r="K82" s="230"/>
      <c r="L82" s="231"/>
      <c r="M82" s="231"/>
      <c r="N82" s="209">
        <v>11</v>
      </c>
      <c r="O82" s="230"/>
      <c r="P82" s="231"/>
      <c r="Q82" s="231">
        <v>1</v>
      </c>
      <c r="R82" s="209">
        <v>11</v>
      </c>
      <c r="S82" s="230"/>
      <c r="T82" s="231"/>
      <c r="U82" s="231"/>
      <c r="V82" s="209">
        <v>11</v>
      </c>
      <c r="W82" s="230"/>
      <c r="X82" s="231"/>
      <c r="Y82" s="231">
        <v>1</v>
      </c>
      <c r="Z82" s="209">
        <v>11</v>
      </c>
      <c r="AA82" s="230"/>
      <c r="AB82" s="231"/>
      <c r="AC82" s="231"/>
      <c r="AD82" s="209">
        <v>11</v>
      </c>
      <c r="AE82" s="230"/>
      <c r="AF82" s="231"/>
      <c r="AG82" s="231">
        <v>1</v>
      </c>
      <c r="AH82" s="209">
        <v>11</v>
      </c>
    </row>
    <row r="83" spans="1:34" ht="12" thickBot="1">
      <c r="A83" s="232" t="s">
        <v>119</v>
      </c>
      <c r="B83" s="233"/>
      <c r="C83" s="234"/>
      <c r="D83" s="235"/>
      <c r="E83" s="235">
        <v>1</v>
      </c>
      <c r="F83" s="211">
        <v>11</v>
      </c>
      <c r="G83" s="234"/>
      <c r="H83" s="235"/>
      <c r="I83" s="235"/>
      <c r="J83" s="211">
        <v>11</v>
      </c>
      <c r="K83" s="234"/>
      <c r="L83" s="235"/>
      <c r="M83" s="235">
        <v>1</v>
      </c>
      <c r="N83" s="211">
        <v>11</v>
      </c>
      <c r="O83" s="234"/>
      <c r="P83" s="235"/>
      <c r="Q83" s="235"/>
      <c r="R83" s="211">
        <v>11</v>
      </c>
      <c r="S83" s="234"/>
      <c r="T83" s="235"/>
      <c r="U83" s="235">
        <v>1</v>
      </c>
      <c r="V83" s="211">
        <v>11</v>
      </c>
      <c r="W83" s="234"/>
      <c r="X83" s="235"/>
      <c r="Y83" s="235"/>
      <c r="Z83" s="211">
        <v>11</v>
      </c>
      <c r="AA83" s="234"/>
      <c r="AB83" s="235"/>
      <c r="AC83" s="235">
        <v>1</v>
      </c>
      <c r="AD83" s="211">
        <v>11</v>
      </c>
      <c r="AE83" s="234"/>
      <c r="AF83" s="235"/>
      <c r="AG83" s="235"/>
      <c r="AH83" s="211">
        <v>11</v>
      </c>
    </row>
    <row r="84" spans="1:34" ht="12" thickBot="1">
      <c r="A84" s="236" t="s">
        <v>120</v>
      </c>
      <c r="B84" s="237">
        <f aca="true" t="shared" si="6" ref="B84:AH84">SUM(B80:B83)</f>
        <v>0</v>
      </c>
      <c r="C84" s="237">
        <f t="shared" si="6"/>
        <v>0</v>
      </c>
      <c r="D84" s="237">
        <f t="shared" si="6"/>
        <v>0</v>
      </c>
      <c r="E84" s="237">
        <f t="shared" si="6"/>
        <v>2</v>
      </c>
      <c r="F84" s="237">
        <f t="shared" si="6"/>
        <v>26</v>
      </c>
      <c r="G84" s="237">
        <f t="shared" si="6"/>
        <v>0</v>
      </c>
      <c r="H84" s="237">
        <f t="shared" si="6"/>
        <v>0</v>
      </c>
      <c r="I84" s="237">
        <f t="shared" si="6"/>
        <v>1</v>
      </c>
      <c r="J84" s="237">
        <f t="shared" si="6"/>
        <v>26</v>
      </c>
      <c r="K84" s="237">
        <f t="shared" si="6"/>
        <v>0</v>
      </c>
      <c r="L84" s="237">
        <f t="shared" si="6"/>
        <v>0</v>
      </c>
      <c r="M84" s="237">
        <f t="shared" si="6"/>
        <v>2</v>
      </c>
      <c r="N84" s="237">
        <f t="shared" si="6"/>
        <v>26</v>
      </c>
      <c r="O84" s="237">
        <f t="shared" si="6"/>
        <v>0</v>
      </c>
      <c r="P84" s="237">
        <f t="shared" si="6"/>
        <v>0</v>
      </c>
      <c r="Q84" s="237">
        <f t="shared" si="6"/>
        <v>1</v>
      </c>
      <c r="R84" s="237">
        <f t="shared" si="6"/>
        <v>26</v>
      </c>
      <c r="S84" s="237">
        <f t="shared" si="6"/>
        <v>0</v>
      </c>
      <c r="T84" s="237">
        <f t="shared" si="6"/>
        <v>0</v>
      </c>
      <c r="U84" s="237">
        <f t="shared" si="6"/>
        <v>2</v>
      </c>
      <c r="V84" s="237">
        <f t="shared" si="6"/>
        <v>26</v>
      </c>
      <c r="W84" s="237">
        <f t="shared" si="6"/>
        <v>0</v>
      </c>
      <c r="X84" s="237">
        <f t="shared" si="6"/>
        <v>0</v>
      </c>
      <c r="Y84" s="237">
        <f t="shared" si="6"/>
        <v>1</v>
      </c>
      <c r="Z84" s="237">
        <f t="shared" si="6"/>
        <v>26</v>
      </c>
      <c r="AA84" s="237">
        <f t="shared" si="6"/>
        <v>0</v>
      </c>
      <c r="AB84" s="237">
        <f t="shared" si="6"/>
        <v>0</v>
      </c>
      <c r="AC84" s="237">
        <f t="shared" si="6"/>
        <v>2</v>
      </c>
      <c r="AD84" s="237">
        <f t="shared" si="6"/>
        <v>26</v>
      </c>
      <c r="AE84" s="237">
        <f t="shared" si="6"/>
        <v>0</v>
      </c>
      <c r="AF84" s="237">
        <f t="shared" si="6"/>
        <v>0</v>
      </c>
      <c r="AG84" s="237">
        <f t="shared" si="6"/>
        <v>1</v>
      </c>
      <c r="AH84" s="237">
        <f t="shared" si="6"/>
        <v>26</v>
      </c>
    </row>
    <row r="85" spans="1:34" ht="11.25">
      <c r="A85" s="224" t="s">
        <v>57</v>
      </c>
      <c r="B85" s="225"/>
      <c r="C85" s="226"/>
      <c r="D85" s="227"/>
      <c r="E85" s="227">
        <v>24.868387108230603</v>
      </c>
      <c r="F85" s="206">
        <v>119</v>
      </c>
      <c r="G85" s="226"/>
      <c r="H85" s="227"/>
      <c r="I85" s="227">
        <v>24.830538377490594</v>
      </c>
      <c r="J85" s="206">
        <v>119</v>
      </c>
      <c r="K85" s="226"/>
      <c r="L85" s="227"/>
      <c r="M85" s="227">
        <v>24.76400271160981</v>
      </c>
      <c r="N85" s="206">
        <v>119</v>
      </c>
      <c r="O85" s="226"/>
      <c r="P85" s="227"/>
      <c r="Q85" s="227">
        <v>24.691494096576385</v>
      </c>
      <c r="R85" s="206">
        <v>119</v>
      </c>
      <c r="S85" s="226"/>
      <c r="T85" s="227"/>
      <c r="U85" s="227">
        <v>24.6425162194824</v>
      </c>
      <c r="V85" s="206">
        <v>119</v>
      </c>
      <c r="W85" s="226"/>
      <c r="X85" s="227"/>
      <c r="Y85" s="227">
        <v>24.609996453130854</v>
      </c>
      <c r="Z85" s="206">
        <v>119</v>
      </c>
      <c r="AA85" s="226"/>
      <c r="AB85" s="227"/>
      <c r="AC85" s="227">
        <v>24.588817654809475</v>
      </c>
      <c r="AD85" s="206">
        <v>119</v>
      </c>
      <c r="AE85" s="226"/>
      <c r="AF85" s="227"/>
      <c r="AG85" s="227">
        <v>24.57542808456515</v>
      </c>
      <c r="AH85" s="206">
        <v>119</v>
      </c>
    </row>
    <row r="86" spans="1:34" ht="11.25">
      <c r="A86" s="228" t="s">
        <v>58</v>
      </c>
      <c r="B86" s="229"/>
      <c r="C86" s="230"/>
      <c r="D86" s="231"/>
      <c r="E86" s="231">
        <v>43.64351122561659</v>
      </c>
      <c r="F86" s="209">
        <v>362</v>
      </c>
      <c r="G86" s="230"/>
      <c r="H86" s="231"/>
      <c r="I86" s="231">
        <v>51.933198228657716</v>
      </c>
      <c r="J86" s="209">
        <v>362</v>
      </c>
      <c r="K86" s="230"/>
      <c r="L86" s="231"/>
      <c r="M86" s="231">
        <v>38.78786105568976</v>
      </c>
      <c r="N86" s="209">
        <v>362</v>
      </c>
      <c r="O86" s="230"/>
      <c r="P86" s="231"/>
      <c r="Q86" s="231">
        <v>38.892901118662465</v>
      </c>
      <c r="R86" s="209">
        <v>362</v>
      </c>
      <c r="S86" s="230"/>
      <c r="T86" s="231"/>
      <c r="U86" s="231">
        <v>38.96913741525432</v>
      </c>
      <c r="V86" s="209">
        <v>362</v>
      </c>
      <c r="W86" s="230"/>
      <c r="X86" s="231"/>
      <c r="Y86" s="231">
        <v>39.023630612914374</v>
      </c>
      <c r="Z86" s="209">
        <v>362</v>
      </c>
      <c r="AA86" s="230"/>
      <c r="AB86" s="231"/>
      <c r="AC86" s="231">
        <v>52.08386788841616</v>
      </c>
      <c r="AD86" s="209">
        <v>362</v>
      </c>
      <c r="AE86" s="230"/>
      <c r="AF86" s="231"/>
      <c r="AG86" s="231">
        <v>47.45491808887665</v>
      </c>
      <c r="AH86" s="209">
        <v>362</v>
      </c>
    </row>
    <row r="87" spans="1:34" ht="11.25">
      <c r="A87" s="228" t="s">
        <v>59</v>
      </c>
      <c r="B87" s="229"/>
      <c r="C87" s="230"/>
      <c r="D87" s="231"/>
      <c r="E87" s="231">
        <v>35.63062332862394</v>
      </c>
      <c r="F87" s="209">
        <v>676</v>
      </c>
      <c r="G87" s="230"/>
      <c r="H87" s="231"/>
      <c r="I87" s="231">
        <v>35.513043715153245</v>
      </c>
      <c r="J87" s="209">
        <v>676</v>
      </c>
      <c r="K87" s="230"/>
      <c r="L87" s="231"/>
      <c r="M87" s="231">
        <v>35.43806371733604</v>
      </c>
      <c r="N87" s="209">
        <v>676</v>
      </c>
      <c r="O87" s="230"/>
      <c r="P87" s="231"/>
      <c r="Q87" s="231">
        <v>35.3600002143065</v>
      </c>
      <c r="R87" s="209">
        <v>676</v>
      </c>
      <c r="S87" s="230"/>
      <c r="T87" s="231"/>
      <c r="U87" s="231">
        <v>35.29833048686958</v>
      </c>
      <c r="V87" s="209">
        <v>676</v>
      </c>
      <c r="W87" s="230"/>
      <c r="X87" s="231"/>
      <c r="Y87" s="231">
        <v>35.256157493456634</v>
      </c>
      <c r="Z87" s="209">
        <v>676</v>
      </c>
      <c r="AA87" s="230"/>
      <c r="AB87" s="231"/>
      <c r="AC87" s="231">
        <v>35.2342273227799</v>
      </c>
      <c r="AD87" s="209">
        <v>676</v>
      </c>
      <c r="AE87" s="230"/>
      <c r="AF87" s="231"/>
      <c r="AG87" s="231">
        <v>35.1927944597513</v>
      </c>
      <c r="AH87" s="209">
        <v>676</v>
      </c>
    </row>
    <row r="88" spans="1:34" ht="11.25">
      <c r="A88" s="228" t="s">
        <v>60</v>
      </c>
      <c r="B88" s="229"/>
      <c r="C88" s="230"/>
      <c r="D88" s="231"/>
      <c r="E88" s="231">
        <v>20.024414435011685</v>
      </c>
      <c r="F88" s="209">
        <v>1175</v>
      </c>
      <c r="G88" s="230"/>
      <c r="H88" s="231"/>
      <c r="I88" s="231">
        <v>20.098414596146778</v>
      </c>
      <c r="J88" s="209">
        <v>1175</v>
      </c>
      <c r="K88" s="230"/>
      <c r="L88" s="231"/>
      <c r="M88" s="231">
        <v>20.02728354410762</v>
      </c>
      <c r="N88" s="209">
        <v>1175</v>
      </c>
      <c r="O88" s="230"/>
      <c r="P88" s="231"/>
      <c r="Q88" s="231">
        <v>20.029515186926805</v>
      </c>
      <c r="R88" s="209">
        <v>1175</v>
      </c>
      <c r="S88" s="230"/>
      <c r="T88" s="231"/>
      <c r="U88" s="231">
        <v>20.049980297031347</v>
      </c>
      <c r="V88" s="209">
        <v>1175</v>
      </c>
      <c r="W88" s="230"/>
      <c r="X88" s="231"/>
      <c r="Y88" s="231">
        <v>25.10464760005211</v>
      </c>
      <c r="Z88" s="209">
        <v>1175</v>
      </c>
      <c r="AA88" s="230"/>
      <c r="AB88" s="231"/>
      <c r="AC88" s="231">
        <v>20.02622635839734</v>
      </c>
      <c r="AD88" s="209">
        <v>1175</v>
      </c>
      <c r="AE88" s="230"/>
      <c r="AF88" s="231"/>
      <c r="AG88" s="231">
        <v>20.016525986932734</v>
      </c>
      <c r="AH88" s="209">
        <v>1175</v>
      </c>
    </row>
    <row r="89" spans="1:34" ht="11.25">
      <c r="A89" s="228" t="s">
        <v>61</v>
      </c>
      <c r="B89" s="229"/>
      <c r="C89" s="230"/>
      <c r="D89" s="231"/>
      <c r="E89" s="231">
        <v>12.702204581212788</v>
      </c>
      <c r="F89" s="209">
        <v>1106</v>
      </c>
      <c r="G89" s="230"/>
      <c r="H89" s="231"/>
      <c r="I89" s="231">
        <v>12.708314227299613</v>
      </c>
      <c r="J89" s="209">
        <v>1106</v>
      </c>
      <c r="K89" s="230"/>
      <c r="L89" s="231"/>
      <c r="M89" s="231">
        <v>12.660556147958427</v>
      </c>
      <c r="N89" s="209">
        <v>1106</v>
      </c>
      <c r="O89" s="230"/>
      <c r="P89" s="231"/>
      <c r="Q89" s="231">
        <v>12.757931223872411</v>
      </c>
      <c r="R89" s="209">
        <v>1106</v>
      </c>
      <c r="S89" s="230"/>
      <c r="T89" s="231"/>
      <c r="U89" s="231">
        <v>12.840712729758438</v>
      </c>
      <c r="V89" s="209">
        <v>1106</v>
      </c>
      <c r="W89" s="230"/>
      <c r="X89" s="231"/>
      <c r="Y89" s="231">
        <v>12.910384412425605</v>
      </c>
      <c r="Z89" s="209">
        <v>1106</v>
      </c>
      <c r="AA89" s="230"/>
      <c r="AB89" s="231"/>
      <c r="AC89" s="231">
        <v>12.968545275635229</v>
      </c>
      <c r="AD89" s="209">
        <v>1106</v>
      </c>
      <c r="AE89" s="230"/>
      <c r="AF89" s="231"/>
      <c r="AG89" s="231">
        <v>12.887084675563349</v>
      </c>
      <c r="AH89" s="209">
        <v>1106</v>
      </c>
    </row>
    <row r="90" spans="1:34" ht="12" thickBot="1">
      <c r="A90" s="232" t="s">
        <v>62</v>
      </c>
      <c r="B90" s="233"/>
      <c r="C90" s="234"/>
      <c r="D90" s="235"/>
      <c r="E90" s="235">
        <v>10.9483345241903</v>
      </c>
      <c r="F90" s="211">
        <v>714</v>
      </c>
      <c r="G90" s="234"/>
      <c r="H90" s="235"/>
      <c r="I90" s="235">
        <v>10.99228420265892</v>
      </c>
      <c r="J90" s="211">
        <v>714</v>
      </c>
      <c r="K90" s="234"/>
      <c r="L90" s="235"/>
      <c r="M90" s="235">
        <v>11.02436746794101</v>
      </c>
      <c r="N90" s="211">
        <v>714</v>
      </c>
      <c r="O90" s="234"/>
      <c r="P90" s="235"/>
      <c r="Q90" s="235">
        <v>11.047788251596938</v>
      </c>
      <c r="R90" s="211">
        <v>714</v>
      </c>
      <c r="S90" s="234"/>
      <c r="T90" s="235"/>
      <c r="U90" s="235">
        <v>11.064885423665764</v>
      </c>
      <c r="V90" s="211">
        <v>714</v>
      </c>
      <c r="W90" s="234"/>
      <c r="X90" s="235"/>
      <c r="Y90" s="235">
        <v>11.077366359276008</v>
      </c>
      <c r="Z90" s="211">
        <v>714</v>
      </c>
      <c r="AA90" s="234"/>
      <c r="AB90" s="235"/>
      <c r="AC90" s="235">
        <v>11.086477442271486</v>
      </c>
      <c r="AD90" s="211">
        <v>714</v>
      </c>
      <c r="AE90" s="234"/>
      <c r="AF90" s="235"/>
      <c r="AG90" s="235">
        <v>11.093128532858184</v>
      </c>
      <c r="AH90" s="211">
        <v>714</v>
      </c>
    </row>
    <row r="91" spans="1:34" ht="12" thickBot="1">
      <c r="A91" s="236" t="s">
        <v>121</v>
      </c>
      <c r="B91" s="237">
        <f aca="true" t="shared" si="7" ref="B91:AH91">SUM(B85:B90)</f>
        <v>0</v>
      </c>
      <c r="C91" s="237">
        <f t="shared" si="7"/>
        <v>0</v>
      </c>
      <c r="D91" s="237">
        <f t="shared" si="7"/>
        <v>0</v>
      </c>
      <c r="E91" s="237">
        <f t="shared" si="7"/>
        <v>147.8174752028859</v>
      </c>
      <c r="F91" s="237">
        <f t="shared" si="7"/>
        <v>4152</v>
      </c>
      <c r="G91" s="237">
        <f t="shared" si="7"/>
        <v>0</v>
      </c>
      <c r="H91" s="237">
        <f t="shared" si="7"/>
        <v>0</v>
      </c>
      <c r="I91" s="237">
        <f t="shared" si="7"/>
        <v>156.07579334740686</v>
      </c>
      <c r="J91" s="237">
        <f t="shared" si="7"/>
        <v>4152</v>
      </c>
      <c r="K91" s="237">
        <f t="shared" si="7"/>
        <v>0</v>
      </c>
      <c r="L91" s="237">
        <f t="shared" si="7"/>
        <v>0</v>
      </c>
      <c r="M91" s="237">
        <f t="shared" si="7"/>
        <v>142.70213464464265</v>
      </c>
      <c r="N91" s="237">
        <f t="shared" si="7"/>
        <v>4152</v>
      </c>
      <c r="O91" s="237">
        <f t="shared" si="7"/>
        <v>0</v>
      </c>
      <c r="P91" s="237">
        <f t="shared" si="7"/>
        <v>0</v>
      </c>
      <c r="Q91" s="237">
        <f t="shared" si="7"/>
        <v>142.7796300919415</v>
      </c>
      <c r="R91" s="237">
        <f t="shared" si="7"/>
        <v>4152</v>
      </c>
      <c r="S91" s="237">
        <f t="shared" si="7"/>
        <v>0</v>
      </c>
      <c r="T91" s="237">
        <f t="shared" si="7"/>
        <v>0</v>
      </c>
      <c r="U91" s="237">
        <f t="shared" si="7"/>
        <v>142.86556257206186</v>
      </c>
      <c r="V91" s="237">
        <f t="shared" si="7"/>
        <v>4152</v>
      </c>
      <c r="W91" s="237">
        <f t="shared" si="7"/>
        <v>0</v>
      </c>
      <c r="X91" s="237">
        <f t="shared" si="7"/>
        <v>0</v>
      </c>
      <c r="Y91" s="237">
        <f t="shared" si="7"/>
        <v>147.98218293125558</v>
      </c>
      <c r="Z91" s="237">
        <f t="shared" si="7"/>
        <v>4152</v>
      </c>
      <c r="AA91" s="237">
        <f t="shared" si="7"/>
        <v>0</v>
      </c>
      <c r="AB91" s="237">
        <f t="shared" si="7"/>
        <v>0</v>
      </c>
      <c r="AC91" s="237">
        <f t="shared" si="7"/>
        <v>155.98816194230957</v>
      </c>
      <c r="AD91" s="237">
        <f t="shared" si="7"/>
        <v>4152</v>
      </c>
      <c r="AE91" s="237">
        <f t="shared" si="7"/>
        <v>0</v>
      </c>
      <c r="AF91" s="237">
        <f t="shared" si="7"/>
        <v>0</v>
      </c>
      <c r="AG91" s="237">
        <f t="shared" si="7"/>
        <v>151.21987982854736</v>
      </c>
      <c r="AH91" s="237">
        <f t="shared" si="7"/>
        <v>4152</v>
      </c>
    </row>
    <row r="92" spans="1:34" ht="11.25">
      <c r="A92" s="224" t="s">
        <v>64</v>
      </c>
      <c r="B92" s="225"/>
      <c r="C92" s="226"/>
      <c r="D92" s="227"/>
      <c r="E92" s="227">
        <v>2.2379645085089686</v>
      </c>
      <c r="F92" s="206">
        <v>13</v>
      </c>
      <c r="G92" s="226"/>
      <c r="H92" s="227"/>
      <c r="I92" s="227">
        <v>2.2537358600294874</v>
      </c>
      <c r="J92" s="206">
        <v>13</v>
      </c>
      <c r="K92" s="226"/>
      <c r="L92" s="227"/>
      <c r="M92" s="227">
        <v>2.267444594086961</v>
      </c>
      <c r="N92" s="206">
        <v>13</v>
      </c>
      <c r="O92" s="226"/>
      <c r="P92" s="227"/>
      <c r="Q92" s="227">
        <v>2.2794289866135258</v>
      </c>
      <c r="R92" s="206">
        <v>13</v>
      </c>
      <c r="S92" s="226"/>
      <c r="T92" s="227"/>
      <c r="U92" s="227">
        <v>2.2900531359653606</v>
      </c>
      <c r="V92" s="206">
        <v>13</v>
      </c>
      <c r="W92" s="226"/>
      <c r="X92" s="227"/>
      <c r="Y92" s="227">
        <v>2.2995877166894556</v>
      </c>
      <c r="Z92" s="206">
        <v>13</v>
      </c>
      <c r="AA92" s="226"/>
      <c r="AB92" s="227"/>
      <c r="AC92" s="227">
        <v>2.308238456898967</v>
      </c>
      <c r="AD92" s="206">
        <v>13</v>
      </c>
      <c r="AE92" s="226"/>
      <c r="AF92" s="227"/>
      <c r="AG92" s="227">
        <v>2.3161655465307116</v>
      </c>
      <c r="AH92" s="206">
        <v>13</v>
      </c>
    </row>
    <row r="93" spans="1:34" ht="11.25">
      <c r="A93" s="228" t="s">
        <v>65</v>
      </c>
      <c r="B93" s="229"/>
      <c r="C93" s="230"/>
      <c r="D93" s="231"/>
      <c r="E93" s="231">
        <v>9.853078120922666</v>
      </c>
      <c r="F93" s="209">
        <v>107</v>
      </c>
      <c r="G93" s="230"/>
      <c r="H93" s="231"/>
      <c r="I93" s="231">
        <v>9.798299671973577</v>
      </c>
      <c r="J93" s="209">
        <v>107</v>
      </c>
      <c r="K93" s="230"/>
      <c r="L93" s="231"/>
      <c r="M93" s="231">
        <v>9.754600806437265</v>
      </c>
      <c r="N93" s="209">
        <v>107</v>
      </c>
      <c r="O93" s="230"/>
      <c r="P93" s="231"/>
      <c r="Q93" s="231">
        <v>9.72481019513038</v>
      </c>
      <c r="R93" s="209">
        <v>107</v>
      </c>
      <c r="S93" s="230"/>
      <c r="T93" s="231"/>
      <c r="U93" s="231">
        <v>9.705045728095449</v>
      </c>
      <c r="V93" s="209">
        <v>107</v>
      </c>
      <c r="W93" s="230"/>
      <c r="X93" s="231"/>
      <c r="Y93" s="231">
        <v>9.692678878729888</v>
      </c>
      <c r="Z93" s="209">
        <v>107</v>
      </c>
      <c r="AA93" s="230"/>
      <c r="AB93" s="231"/>
      <c r="AC93" s="231">
        <v>9.68593037798129</v>
      </c>
      <c r="AD93" s="209">
        <v>107</v>
      </c>
      <c r="AE93" s="230"/>
      <c r="AF93" s="231"/>
      <c r="AG93" s="231">
        <v>9.634519308502552</v>
      </c>
      <c r="AH93" s="209">
        <v>107</v>
      </c>
    </row>
    <row r="94" spans="1:34" ht="12" thickBot="1">
      <c r="A94" s="232" t="s">
        <v>66</v>
      </c>
      <c r="B94" s="233"/>
      <c r="C94" s="234"/>
      <c r="D94" s="235"/>
      <c r="E94" s="235">
        <v>31.571531963786356</v>
      </c>
      <c r="F94" s="211">
        <v>198</v>
      </c>
      <c r="G94" s="234"/>
      <c r="H94" s="235"/>
      <c r="I94" s="235">
        <v>21.731614859988554</v>
      </c>
      <c r="J94" s="211">
        <v>198</v>
      </c>
      <c r="K94" s="234"/>
      <c r="L94" s="235"/>
      <c r="M94" s="235">
        <v>21.953041252462373</v>
      </c>
      <c r="N94" s="211">
        <v>198</v>
      </c>
      <c r="O94" s="234"/>
      <c r="P94" s="235"/>
      <c r="Q94" s="235">
        <v>22.116634253956082</v>
      </c>
      <c r="R94" s="211">
        <v>198</v>
      </c>
      <c r="S94" s="234"/>
      <c r="T94" s="235"/>
      <c r="U94" s="235">
        <v>22.242482865663916</v>
      </c>
      <c r="V94" s="211">
        <v>198</v>
      </c>
      <c r="W94" s="234"/>
      <c r="X94" s="235"/>
      <c r="Y94" s="235">
        <v>22.344200058244795</v>
      </c>
      <c r="Z94" s="211">
        <v>198</v>
      </c>
      <c r="AA94" s="234"/>
      <c r="AB94" s="235"/>
      <c r="AC94" s="235">
        <v>21.291724264557285</v>
      </c>
      <c r="AD94" s="211">
        <v>198</v>
      </c>
      <c r="AE94" s="234"/>
      <c r="AF94" s="235"/>
      <c r="AG94" s="235">
        <v>21.59940681978525</v>
      </c>
      <c r="AH94" s="211">
        <v>198</v>
      </c>
    </row>
    <row r="95" spans="1:34" ht="12" thickBot="1">
      <c r="A95" s="236" t="s">
        <v>122</v>
      </c>
      <c r="B95" s="237">
        <f aca="true" t="shared" si="8" ref="B95:AH95">SUM(B92:B94)</f>
        <v>0</v>
      </c>
      <c r="C95" s="237">
        <f t="shared" si="8"/>
        <v>0</v>
      </c>
      <c r="D95" s="237">
        <f t="shared" si="8"/>
        <v>0</v>
      </c>
      <c r="E95" s="237">
        <f t="shared" si="8"/>
        <v>43.66257459321799</v>
      </c>
      <c r="F95" s="237">
        <f t="shared" si="8"/>
        <v>318</v>
      </c>
      <c r="G95" s="237">
        <f t="shared" si="8"/>
        <v>0</v>
      </c>
      <c r="H95" s="237">
        <f t="shared" si="8"/>
        <v>0</v>
      </c>
      <c r="I95" s="237">
        <f t="shared" si="8"/>
        <v>33.783650391991614</v>
      </c>
      <c r="J95" s="237">
        <f t="shared" si="8"/>
        <v>318</v>
      </c>
      <c r="K95" s="237">
        <f t="shared" si="8"/>
        <v>0</v>
      </c>
      <c r="L95" s="237">
        <f t="shared" si="8"/>
        <v>0</v>
      </c>
      <c r="M95" s="237">
        <f t="shared" si="8"/>
        <v>33.975086652986604</v>
      </c>
      <c r="N95" s="237">
        <f t="shared" si="8"/>
        <v>318</v>
      </c>
      <c r="O95" s="237">
        <f t="shared" si="8"/>
        <v>0</v>
      </c>
      <c r="P95" s="237">
        <f t="shared" si="8"/>
        <v>0</v>
      </c>
      <c r="Q95" s="237">
        <f t="shared" si="8"/>
        <v>34.12087343569999</v>
      </c>
      <c r="R95" s="237">
        <f t="shared" si="8"/>
        <v>318</v>
      </c>
      <c r="S95" s="237">
        <f t="shared" si="8"/>
        <v>0</v>
      </c>
      <c r="T95" s="237">
        <f t="shared" si="8"/>
        <v>0</v>
      </c>
      <c r="U95" s="237">
        <f t="shared" si="8"/>
        <v>34.237581729724724</v>
      </c>
      <c r="V95" s="237">
        <f t="shared" si="8"/>
        <v>318</v>
      </c>
      <c r="W95" s="237">
        <f t="shared" si="8"/>
        <v>0</v>
      </c>
      <c r="X95" s="237">
        <f t="shared" si="8"/>
        <v>0</v>
      </c>
      <c r="Y95" s="237">
        <f t="shared" si="8"/>
        <v>34.33646665366414</v>
      </c>
      <c r="Z95" s="237">
        <f t="shared" si="8"/>
        <v>318</v>
      </c>
      <c r="AA95" s="237">
        <f t="shared" si="8"/>
        <v>0</v>
      </c>
      <c r="AB95" s="237">
        <f t="shared" si="8"/>
        <v>0</v>
      </c>
      <c r="AC95" s="237">
        <f t="shared" si="8"/>
        <v>33.285893099437544</v>
      </c>
      <c r="AD95" s="237">
        <f t="shared" si="8"/>
        <v>318</v>
      </c>
      <c r="AE95" s="237">
        <f t="shared" si="8"/>
        <v>0</v>
      </c>
      <c r="AF95" s="237">
        <f t="shared" si="8"/>
        <v>0</v>
      </c>
      <c r="AG95" s="237">
        <f t="shared" si="8"/>
        <v>33.55009167481852</v>
      </c>
      <c r="AH95" s="237">
        <f t="shared" si="8"/>
        <v>318</v>
      </c>
    </row>
    <row r="96" spans="1:34" ht="11.25">
      <c r="A96" s="224" t="s">
        <v>67</v>
      </c>
      <c r="B96" s="225"/>
      <c r="C96" s="226"/>
      <c r="D96" s="227"/>
      <c r="E96" s="227">
        <v>3</v>
      </c>
      <c r="F96" s="206">
        <v>50</v>
      </c>
      <c r="G96" s="226"/>
      <c r="H96" s="227"/>
      <c r="I96" s="227">
        <v>3</v>
      </c>
      <c r="J96" s="206">
        <v>50</v>
      </c>
      <c r="K96" s="226"/>
      <c r="L96" s="227"/>
      <c r="M96" s="227">
        <v>3</v>
      </c>
      <c r="N96" s="206">
        <v>50</v>
      </c>
      <c r="O96" s="226"/>
      <c r="P96" s="227"/>
      <c r="Q96" s="227">
        <v>3</v>
      </c>
      <c r="R96" s="206">
        <v>50</v>
      </c>
      <c r="S96" s="226"/>
      <c r="T96" s="227"/>
      <c r="U96" s="227">
        <v>3</v>
      </c>
      <c r="V96" s="206">
        <v>50</v>
      </c>
      <c r="W96" s="226"/>
      <c r="X96" s="227"/>
      <c r="Y96" s="227">
        <v>3</v>
      </c>
      <c r="Z96" s="206">
        <v>50</v>
      </c>
      <c r="AA96" s="226"/>
      <c r="AB96" s="227"/>
      <c r="AC96" s="227">
        <v>3</v>
      </c>
      <c r="AD96" s="206">
        <v>50</v>
      </c>
      <c r="AE96" s="226"/>
      <c r="AF96" s="227"/>
      <c r="AG96" s="227">
        <v>3</v>
      </c>
      <c r="AH96" s="206">
        <v>50</v>
      </c>
    </row>
    <row r="97" spans="1:34" ht="11.25">
      <c r="A97" s="228" t="s">
        <v>68</v>
      </c>
      <c r="B97" s="229"/>
      <c r="C97" s="230"/>
      <c r="D97" s="231"/>
      <c r="E97" s="231">
        <v>18</v>
      </c>
      <c r="F97" s="209">
        <v>693</v>
      </c>
      <c r="G97" s="230"/>
      <c r="H97" s="231"/>
      <c r="I97" s="231">
        <v>18</v>
      </c>
      <c r="J97" s="209">
        <v>693</v>
      </c>
      <c r="K97" s="230"/>
      <c r="L97" s="231"/>
      <c r="M97" s="231">
        <v>18</v>
      </c>
      <c r="N97" s="209">
        <v>693</v>
      </c>
      <c r="O97" s="230"/>
      <c r="P97" s="231"/>
      <c r="Q97" s="231">
        <v>18</v>
      </c>
      <c r="R97" s="209">
        <v>693</v>
      </c>
      <c r="S97" s="230"/>
      <c r="T97" s="231"/>
      <c r="U97" s="231">
        <v>18</v>
      </c>
      <c r="V97" s="209">
        <v>693</v>
      </c>
      <c r="W97" s="230"/>
      <c r="X97" s="231"/>
      <c r="Y97" s="231">
        <v>18</v>
      </c>
      <c r="Z97" s="209">
        <v>693</v>
      </c>
      <c r="AA97" s="230"/>
      <c r="AB97" s="231"/>
      <c r="AC97" s="231">
        <v>18</v>
      </c>
      <c r="AD97" s="209">
        <v>693</v>
      </c>
      <c r="AE97" s="230"/>
      <c r="AF97" s="231"/>
      <c r="AG97" s="231">
        <v>18</v>
      </c>
      <c r="AH97" s="209">
        <v>693</v>
      </c>
    </row>
    <row r="98" spans="1:34" ht="11.25">
      <c r="A98" s="228" t="s">
        <v>69</v>
      </c>
      <c r="B98" s="229"/>
      <c r="C98" s="230"/>
      <c r="D98" s="231"/>
      <c r="E98" s="231">
        <v>32</v>
      </c>
      <c r="F98" s="209">
        <v>1280</v>
      </c>
      <c r="G98" s="230"/>
      <c r="H98" s="231"/>
      <c r="I98" s="231">
        <v>32</v>
      </c>
      <c r="J98" s="209">
        <v>1280</v>
      </c>
      <c r="K98" s="230"/>
      <c r="L98" s="231"/>
      <c r="M98" s="231">
        <v>32</v>
      </c>
      <c r="N98" s="209">
        <v>1280</v>
      </c>
      <c r="O98" s="230"/>
      <c r="P98" s="231"/>
      <c r="Q98" s="231">
        <v>32</v>
      </c>
      <c r="R98" s="209">
        <v>1280</v>
      </c>
      <c r="S98" s="230"/>
      <c r="T98" s="231"/>
      <c r="U98" s="231">
        <v>32</v>
      </c>
      <c r="V98" s="209">
        <v>1280</v>
      </c>
      <c r="W98" s="230"/>
      <c r="X98" s="231"/>
      <c r="Y98" s="231">
        <v>32</v>
      </c>
      <c r="Z98" s="209">
        <v>1280</v>
      </c>
      <c r="AA98" s="230"/>
      <c r="AB98" s="231"/>
      <c r="AC98" s="231">
        <v>32</v>
      </c>
      <c r="AD98" s="209">
        <v>1280</v>
      </c>
      <c r="AE98" s="230"/>
      <c r="AF98" s="231"/>
      <c r="AG98" s="231">
        <v>32</v>
      </c>
      <c r="AH98" s="209">
        <v>1280</v>
      </c>
    </row>
    <row r="99" spans="1:34" ht="11.25">
      <c r="A99" s="228" t="s">
        <v>70</v>
      </c>
      <c r="B99" s="229"/>
      <c r="C99" s="230"/>
      <c r="D99" s="231"/>
      <c r="E99" s="231">
        <v>60</v>
      </c>
      <c r="F99" s="209">
        <v>2295</v>
      </c>
      <c r="G99" s="230"/>
      <c r="H99" s="231"/>
      <c r="I99" s="231">
        <v>60</v>
      </c>
      <c r="J99" s="209">
        <v>2295</v>
      </c>
      <c r="K99" s="230"/>
      <c r="L99" s="231"/>
      <c r="M99" s="231">
        <v>60</v>
      </c>
      <c r="N99" s="209">
        <v>2295</v>
      </c>
      <c r="O99" s="230"/>
      <c r="P99" s="231"/>
      <c r="Q99" s="231">
        <v>60</v>
      </c>
      <c r="R99" s="209">
        <v>2295</v>
      </c>
      <c r="S99" s="230"/>
      <c r="T99" s="231"/>
      <c r="U99" s="231">
        <v>60</v>
      </c>
      <c r="V99" s="209">
        <v>2295</v>
      </c>
      <c r="W99" s="230"/>
      <c r="X99" s="231"/>
      <c r="Y99" s="231">
        <v>60</v>
      </c>
      <c r="Z99" s="209">
        <v>2295</v>
      </c>
      <c r="AA99" s="230"/>
      <c r="AB99" s="231"/>
      <c r="AC99" s="231">
        <v>60</v>
      </c>
      <c r="AD99" s="209">
        <v>2295</v>
      </c>
      <c r="AE99" s="230"/>
      <c r="AF99" s="231"/>
      <c r="AG99" s="231">
        <v>60</v>
      </c>
      <c r="AH99" s="209">
        <v>2295</v>
      </c>
    </row>
    <row r="100" spans="1:34" ht="12" thickBot="1">
      <c r="A100" s="232" t="s">
        <v>71</v>
      </c>
      <c r="B100" s="233"/>
      <c r="C100" s="234"/>
      <c r="D100" s="235"/>
      <c r="E100" s="235">
        <v>45</v>
      </c>
      <c r="F100" s="211">
        <v>1110</v>
      </c>
      <c r="G100" s="234"/>
      <c r="H100" s="235"/>
      <c r="I100" s="235">
        <v>45</v>
      </c>
      <c r="J100" s="211">
        <v>1110</v>
      </c>
      <c r="K100" s="234"/>
      <c r="L100" s="235"/>
      <c r="M100" s="235">
        <v>45</v>
      </c>
      <c r="N100" s="211">
        <v>1110</v>
      </c>
      <c r="O100" s="234"/>
      <c r="P100" s="235"/>
      <c r="Q100" s="235">
        <v>45</v>
      </c>
      <c r="R100" s="211">
        <v>1110</v>
      </c>
      <c r="S100" s="234"/>
      <c r="T100" s="235"/>
      <c r="U100" s="235">
        <v>45</v>
      </c>
      <c r="V100" s="211">
        <v>1110</v>
      </c>
      <c r="W100" s="234"/>
      <c r="X100" s="235"/>
      <c r="Y100" s="235">
        <v>45</v>
      </c>
      <c r="Z100" s="211">
        <v>1110</v>
      </c>
      <c r="AA100" s="234"/>
      <c r="AB100" s="235"/>
      <c r="AC100" s="235">
        <v>45</v>
      </c>
      <c r="AD100" s="211">
        <v>1110</v>
      </c>
      <c r="AE100" s="234"/>
      <c r="AF100" s="235"/>
      <c r="AG100" s="235">
        <v>45</v>
      </c>
      <c r="AH100" s="211">
        <v>1110</v>
      </c>
    </row>
    <row r="101" spans="1:34" ht="12" thickBot="1">
      <c r="A101" s="236" t="s">
        <v>123</v>
      </c>
      <c r="B101" s="237">
        <f aca="true" t="shared" si="9" ref="B101:AH101">SUM(B96:B100)</f>
        <v>0</v>
      </c>
      <c r="C101" s="237">
        <f t="shared" si="9"/>
        <v>0</v>
      </c>
      <c r="D101" s="237">
        <f t="shared" si="9"/>
        <v>0</v>
      </c>
      <c r="E101" s="237">
        <f t="shared" si="9"/>
        <v>158</v>
      </c>
      <c r="F101" s="237">
        <f t="shared" si="9"/>
        <v>5428</v>
      </c>
      <c r="G101" s="237">
        <f t="shared" si="9"/>
        <v>0</v>
      </c>
      <c r="H101" s="237">
        <f t="shared" si="9"/>
        <v>0</v>
      </c>
      <c r="I101" s="237">
        <f t="shared" si="9"/>
        <v>158</v>
      </c>
      <c r="J101" s="237">
        <f t="shared" si="9"/>
        <v>5428</v>
      </c>
      <c r="K101" s="237">
        <f t="shared" si="9"/>
        <v>0</v>
      </c>
      <c r="L101" s="237">
        <f t="shared" si="9"/>
        <v>0</v>
      </c>
      <c r="M101" s="237">
        <f t="shared" si="9"/>
        <v>158</v>
      </c>
      <c r="N101" s="237">
        <f t="shared" si="9"/>
        <v>5428</v>
      </c>
      <c r="O101" s="237">
        <f t="shared" si="9"/>
        <v>0</v>
      </c>
      <c r="P101" s="237">
        <f t="shared" si="9"/>
        <v>0</v>
      </c>
      <c r="Q101" s="237">
        <f t="shared" si="9"/>
        <v>158</v>
      </c>
      <c r="R101" s="237">
        <f t="shared" si="9"/>
        <v>5428</v>
      </c>
      <c r="S101" s="237">
        <f t="shared" si="9"/>
        <v>0</v>
      </c>
      <c r="T101" s="237">
        <f t="shared" si="9"/>
        <v>0</v>
      </c>
      <c r="U101" s="237">
        <f t="shared" si="9"/>
        <v>158</v>
      </c>
      <c r="V101" s="237">
        <f t="shared" si="9"/>
        <v>5428</v>
      </c>
      <c r="W101" s="237">
        <f t="shared" si="9"/>
        <v>0</v>
      </c>
      <c r="X101" s="237">
        <f t="shared" si="9"/>
        <v>0</v>
      </c>
      <c r="Y101" s="237">
        <f t="shared" si="9"/>
        <v>158</v>
      </c>
      <c r="Z101" s="237">
        <f t="shared" si="9"/>
        <v>5428</v>
      </c>
      <c r="AA101" s="237">
        <f t="shared" si="9"/>
        <v>0</v>
      </c>
      <c r="AB101" s="237">
        <f t="shared" si="9"/>
        <v>0</v>
      </c>
      <c r="AC101" s="237">
        <f t="shared" si="9"/>
        <v>158</v>
      </c>
      <c r="AD101" s="237">
        <f t="shared" si="9"/>
        <v>5428</v>
      </c>
      <c r="AE101" s="237">
        <f t="shared" si="9"/>
        <v>0</v>
      </c>
      <c r="AF101" s="237">
        <f t="shared" si="9"/>
        <v>0</v>
      </c>
      <c r="AG101" s="237">
        <f t="shared" si="9"/>
        <v>158</v>
      </c>
      <c r="AH101" s="237">
        <f t="shared" si="9"/>
        <v>5428</v>
      </c>
    </row>
    <row r="102" spans="1:34" ht="11.25">
      <c r="A102" s="224" t="s">
        <v>72</v>
      </c>
      <c r="B102" s="225"/>
      <c r="C102" s="226"/>
      <c r="D102" s="227"/>
      <c r="E102" s="227">
        <v>187.25804753462637</v>
      </c>
      <c r="F102" s="206">
        <v>1639</v>
      </c>
      <c r="G102" s="226"/>
      <c r="H102" s="227"/>
      <c r="I102" s="227">
        <v>188.31210094724202</v>
      </c>
      <c r="J102" s="206">
        <v>1639</v>
      </c>
      <c r="K102" s="226"/>
      <c r="L102" s="227"/>
      <c r="M102" s="227">
        <v>189.34520739240725</v>
      </c>
      <c r="N102" s="206">
        <v>1639</v>
      </c>
      <c r="O102" s="226"/>
      <c r="P102" s="227"/>
      <c r="Q102" s="227">
        <v>190.25379661868777</v>
      </c>
      <c r="R102" s="206">
        <v>1639</v>
      </c>
      <c r="S102" s="226"/>
      <c r="T102" s="227"/>
      <c r="U102" s="227">
        <v>191.0041406422937</v>
      </c>
      <c r="V102" s="206">
        <v>1639</v>
      </c>
      <c r="W102" s="226"/>
      <c r="X102" s="227"/>
      <c r="Y102" s="227">
        <v>191.59928113105101</v>
      </c>
      <c r="Z102" s="206">
        <v>1639</v>
      </c>
      <c r="AA102" s="226"/>
      <c r="AB102" s="227"/>
      <c r="AC102" s="227">
        <v>192.05833460664607</v>
      </c>
      <c r="AD102" s="206">
        <v>1639</v>
      </c>
      <c r="AE102" s="226"/>
      <c r="AF102" s="227"/>
      <c r="AG102" s="227">
        <v>192.40528307114087</v>
      </c>
      <c r="AH102" s="206">
        <v>1639</v>
      </c>
    </row>
    <row r="103" spans="1:34" ht="11.25">
      <c r="A103" s="228" t="s">
        <v>73</v>
      </c>
      <c r="B103" s="229"/>
      <c r="C103" s="230"/>
      <c r="D103" s="231"/>
      <c r="E103" s="231">
        <v>203.2554287456536</v>
      </c>
      <c r="F103" s="209">
        <v>3268</v>
      </c>
      <c r="G103" s="230"/>
      <c r="H103" s="231"/>
      <c r="I103" s="231">
        <v>204.3099291609423</v>
      </c>
      <c r="J103" s="209">
        <v>3268</v>
      </c>
      <c r="K103" s="230"/>
      <c r="L103" s="231"/>
      <c r="M103" s="231">
        <v>204.99685197283617</v>
      </c>
      <c r="N103" s="209">
        <v>3268</v>
      </c>
      <c r="O103" s="230"/>
      <c r="P103" s="231"/>
      <c r="Q103" s="231">
        <v>205.43852980528675</v>
      </c>
      <c r="R103" s="209">
        <v>3268</v>
      </c>
      <c r="S103" s="230"/>
      <c r="T103" s="231"/>
      <c r="U103" s="231">
        <v>205.72155164763768</v>
      </c>
      <c r="V103" s="209">
        <v>3268</v>
      </c>
      <c r="W103" s="230"/>
      <c r="X103" s="231"/>
      <c r="Y103" s="231">
        <v>205.90274479177134</v>
      </c>
      <c r="Z103" s="209">
        <v>3268</v>
      </c>
      <c r="AA103" s="230"/>
      <c r="AB103" s="231"/>
      <c r="AC103" s="231">
        <v>206.01871846207177</v>
      </c>
      <c r="AD103" s="209">
        <v>3268</v>
      </c>
      <c r="AE103" s="230"/>
      <c r="AF103" s="231"/>
      <c r="AG103" s="231">
        <v>206.09294332093341</v>
      </c>
      <c r="AH103" s="209">
        <v>3268</v>
      </c>
    </row>
    <row r="104" spans="1:34" ht="11.25">
      <c r="A104" s="228" t="s">
        <v>74</v>
      </c>
      <c r="B104" s="229"/>
      <c r="C104" s="230"/>
      <c r="D104" s="231"/>
      <c r="E104" s="231">
        <v>62.63835845039999</v>
      </c>
      <c r="F104" s="209">
        <v>2338</v>
      </c>
      <c r="G104" s="230"/>
      <c r="H104" s="231"/>
      <c r="I104" s="231">
        <v>62.648520936568005</v>
      </c>
      <c r="J104" s="209">
        <v>2338</v>
      </c>
      <c r="K104" s="230"/>
      <c r="L104" s="231"/>
      <c r="M104" s="231">
        <v>62.65024855921656</v>
      </c>
      <c r="N104" s="209">
        <v>2338</v>
      </c>
      <c r="O104" s="230"/>
      <c r="P104" s="231"/>
      <c r="Q104" s="231">
        <v>62.65054225506681</v>
      </c>
      <c r="R104" s="209">
        <v>2338</v>
      </c>
      <c r="S104" s="230"/>
      <c r="T104" s="231"/>
      <c r="U104" s="231">
        <v>62.65059218336136</v>
      </c>
      <c r="V104" s="209">
        <v>2338</v>
      </c>
      <c r="W104" s="230"/>
      <c r="X104" s="231"/>
      <c r="Y104" s="231">
        <v>62.65060067117143</v>
      </c>
      <c r="Z104" s="209">
        <v>2338</v>
      </c>
      <c r="AA104" s="230"/>
      <c r="AB104" s="231"/>
      <c r="AC104" s="231">
        <v>62.65060211409915</v>
      </c>
      <c r="AD104" s="209">
        <v>2338</v>
      </c>
      <c r="AE104" s="230"/>
      <c r="AF104" s="231"/>
      <c r="AG104" s="231">
        <v>62.650602359396856</v>
      </c>
      <c r="AH104" s="209">
        <v>2338</v>
      </c>
    </row>
    <row r="105" spans="1:34" ht="12" thickBot="1">
      <c r="A105" s="232" t="s">
        <v>75</v>
      </c>
      <c r="B105" s="233"/>
      <c r="C105" s="234"/>
      <c r="D105" s="235"/>
      <c r="E105" s="235">
        <v>0</v>
      </c>
      <c r="F105" s="211">
        <v>160</v>
      </c>
      <c r="G105" s="234"/>
      <c r="H105" s="235"/>
      <c r="I105" s="235">
        <v>0</v>
      </c>
      <c r="J105" s="211">
        <v>160</v>
      </c>
      <c r="K105" s="234"/>
      <c r="L105" s="235"/>
      <c r="M105" s="235">
        <v>0</v>
      </c>
      <c r="N105" s="211">
        <v>160</v>
      </c>
      <c r="O105" s="234"/>
      <c r="P105" s="235"/>
      <c r="Q105" s="235">
        <v>0</v>
      </c>
      <c r="R105" s="211">
        <v>160</v>
      </c>
      <c r="S105" s="234"/>
      <c r="T105" s="235"/>
      <c r="U105" s="235">
        <v>0</v>
      </c>
      <c r="V105" s="211">
        <v>160</v>
      </c>
      <c r="W105" s="234"/>
      <c r="X105" s="235"/>
      <c r="Y105" s="235">
        <v>0</v>
      </c>
      <c r="Z105" s="211">
        <v>160</v>
      </c>
      <c r="AA105" s="234"/>
      <c r="AB105" s="235"/>
      <c r="AC105" s="235">
        <v>0</v>
      </c>
      <c r="AD105" s="211">
        <v>160</v>
      </c>
      <c r="AE105" s="234"/>
      <c r="AF105" s="235"/>
      <c r="AG105" s="235">
        <v>0</v>
      </c>
      <c r="AH105" s="211">
        <v>160</v>
      </c>
    </row>
    <row r="106" spans="1:34" ht="12" thickBot="1">
      <c r="A106" s="236" t="s">
        <v>124</v>
      </c>
      <c r="B106" s="237">
        <f aca="true" t="shared" si="10" ref="B106:AH106">SUM(B102:B105)</f>
        <v>0</v>
      </c>
      <c r="C106" s="237">
        <f t="shared" si="10"/>
        <v>0</v>
      </c>
      <c r="D106" s="237">
        <f t="shared" si="10"/>
        <v>0</v>
      </c>
      <c r="E106" s="237">
        <f t="shared" si="10"/>
        <v>453.15183473068</v>
      </c>
      <c r="F106" s="237">
        <f t="shared" si="10"/>
        <v>7405</v>
      </c>
      <c r="G106" s="237">
        <f t="shared" si="10"/>
        <v>0</v>
      </c>
      <c r="H106" s="237">
        <f t="shared" si="10"/>
        <v>0</v>
      </c>
      <c r="I106" s="237">
        <f t="shared" si="10"/>
        <v>455.27055104475227</v>
      </c>
      <c r="J106" s="237">
        <f t="shared" si="10"/>
        <v>7405</v>
      </c>
      <c r="K106" s="237">
        <f t="shared" si="10"/>
        <v>0</v>
      </c>
      <c r="L106" s="237">
        <f t="shared" si="10"/>
        <v>0</v>
      </c>
      <c r="M106" s="237">
        <f t="shared" si="10"/>
        <v>456.99230792445996</v>
      </c>
      <c r="N106" s="237">
        <f t="shared" si="10"/>
        <v>7405</v>
      </c>
      <c r="O106" s="237">
        <f t="shared" si="10"/>
        <v>0</v>
      </c>
      <c r="P106" s="237">
        <f t="shared" si="10"/>
        <v>0</v>
      </c>
      <c r="Q106" s="237">
        <f t="shared" si="10"/>
        <v>458.3428686790413</v>
      </c>
      <c r="R106" s="237">
        <f t="shared" si="10"/>
        <v>7405</v>
      </c>
      <c r="S106" s="237">
        <f t="shared" si="10"/>
        <v>0</v>
      </c>
      <c r="T106" s="237">
        <f t="shared" si="10"/>
        <v>0</v>
      </c>
      <c r="U106" s="237">
        <f t="shared" si="10"/>
        <v>459.37628447329274</v>
      </c>
      <c r="V106" s="237">
        <f t="shared" si="10"/>
        <v>7405</v>
      </c>
      <c r="W106" s="237">
        <f t="shared" si="10"/>
        <v>0</v>
      </c>
      <c r="X106" s="237">
        <f t="shared" si="10"/>
        <v>0</v>
      </c>
      <c r="Y106" s="237">
        <f t="shared" si="10"/>
        <v>460.1526265939938</v>
      </c>
      <c r="Z106" s="237">
        <f t="shared" si="10"/>
        <v>7405</v>
      </c>
      <c r="AA106" s="237">
        <f t="shared" si="10"/>
        <v>0</v>
      </c>
      <c r="AB106" s="237">
        <f t="shared" si="10"/>
        <v>0</v>
      </c>
      <c r="AC106" s="237">
        <f t="shared" si="10"/>
        <v>460.72765518281705</v>
      </c>
      <c r="AD106" s="237">
        <f t="shared" si="10"/>
        <v>7405</v>
      </c>
      <c r="AE106" s="237">
        <f t="shared" si="10"/>
        <v>0</v>
      </c>
      <c r="AF106" s="237">
        <f t="shared" si="10"/>
        <v>0</v>
      </c>
      <c r="AG106" s="237">
        <f t="shared" si="10"/>
        <v>461.1488287514711</v>
      </c>
      <c r="AH106" s="237">
        <f t="shared" si="10"/>
        <v>7405</v>
      </c>
    </row>
    <row r="107" spans="1:34" ht="12" thickBot="1">
      <c r="A107" s="238" t="s">
        <v>109</v>
      </c>
      <c r="B107" s="239"/>
      <c r="C107" s="240"/>
      <c r="D107" s="241"/>
      <c r="E107" s="241"/>
      <c r="F107" s="215">
        <v>570</v>
      </c>
      <c r="G107" s="240"/>
      <c r="H107" s="241"/>
      <c r="I107" s="241"/>
      <c r="J107" s="215">
        <v>570</v>
      </c>
      <c r="K107" s="240"/>
      <c r="L107" s="241"/>
      <c r="M107" s="241"/>
      <c r="N107" s="215">
        <v>570</v>
      </c>
      <c r="O107" s="240"/>
      <c r="P107" s="241"/>
      <c r="Q107" s="241"/>
      <c r="R107" s="215">
        <v>570</v>
      </c>
      <c r="S107" s="240"/>
      <c r="T107" s="241"/>
      <c r="U107" s="241"/>
      <c r="V107" s="215">
        <v>570</v>
      </c>
      <c r="W107" s="240"/>
      <c r="X107" s="241"/>
      <c r="Y107" s="241"/>
      <c r="Z107" s="215">
        <v>570</v>
      </c>
      <c r="AA107" s="240"/>
      <c r="AB107" s="241"/>
      <c r="AC107" s="241"/>
      <c r="AD107" s="215">
        <v>570</v>
      </c>
      <c r="AE107" s="240"/>
      <c r="AF107" s="241"/>
      <c r="AG107" s="241"/>
      <c r="AH107" s="215">
        <v>570</v>
      </c>
    </row>
    <row r="108" spans="1:34" ht="12" thickBot="1">
      <c r="A108" s="236" t="s">
        <v>63</v>
      </c>
      <c r="B108" s="237">
        <f aca="true" t="shared" si="11" ref="B108:AH108">SUM(B106,B101,B95,B91,B84)+B107</f>
        <v>0</v>
      </c>
      <c r="C108" s="237">
        <f t="shared" si="11"/>
        <v>0</v>
      </c>
      <c r="D108" s="237">
        <f t="shared" si="11"/>
        <v>0</v>
      </c>
      <c r="E108" s="237">
        <f t="shared" si="11"/>
        <v>804.6318845267839</v>
      </c>
      <c r="F108" s="237">
        <f t="shared" si="11"/>
        <v>17899</v>
      </c>
      <c r="G108" s="237">
        <f t="shared" si="11"/>
        <v>0</v>
      </c>
      <c r="H108" s="237">
        <f t="shared" si="11"/>
        <v>0</v>
      </c>
      <c r="I108" s="237">
        <f t="shared" si="11"/>
        <v>804.1299947841507</v>
      </c>
      <c r="J108" s="237">
        <f t="shared" si="11"/>
        <v>17899</v>
      </c>
      <c r="K108" s="237">
        <f t="shared" si="11"/>
        <v>0</v>
      </c>
      <c r="L108" s="237">
        <f t="shared" si="11"/>
        <v>0</v>
      </c>
      <c r="M108" s="237">
        <f t="shared" si="11"/>
        <v>793.6695292220893</v>
      </c>
      <c r="N108" s="237">
        <f t="shared" si="11"/>
        <v>17899</v>
      </c>
      <c r="O108" s="237">
        <f t="shared" si="11"/>
        <v>0</v>
      </c>
      <c r="P108" s="237">
        <f t="shared" si="11"/>
        <v>0</v>
      </c>
      <c r="Q108" s="237">
        <f t="shared" si="11"/>
        <v>794.2433722066828</v>
      </c>
      <c r="R108" s="237">
        <f t="shared" si="11"/>
        <v>17899</v>
      </c>
      <c r="S108" s="237">
        <f t="shared" si="11"/>
        <v>0</v>
      </c>
      <c r="T108" s="237">
        <f t="shared" si="11"/>
        <v>0</v>
      </c>
      <c r="U108" s="237">
        <f t="shared" si="11"/>
        <v>796.4794287750794</v>
      </c>
      <c r="V108" s="237">
        <f t="shared" si="11"/>
        <v>17899</v>
      </c>
      <c r="W108" s="237">
        <f t="shared" si="11"/>
        <v>0</v>
      </c>
      <c r="X108" s="237">
        <f t="shared" si="11"/>
        <v>0</v>
      </c>
      <c r="Y108" s="237">
        <f t="shared" si="11"/>
        <v>801.4712761789135</v>
      </c>
      <c r="Z108" s="237">
        <f t="shared" si="11"/>
        <v>17899</v>
      </c>
      <c r="AA108" s="237">
        <f t="shared" si="11"/>
        <v>0</v>
      </c>
      <c r="AB108" s="237">
        <f t="shared" si="11"/>
        <v>0</v>
      </c>
      <c r="AC108" s="237">
        <f t="shared" si="11"/>
        <v>810.0017102245641</v>
      </c>
      <c r="AD108" s="237">
        <f t="shared" si="11"/>
        <v>17899</v>
      </c>
      <c r="AE108" s="237">
        <f t="shared" si="11"/>
        <v>0</v>
      </c>
      <c r="AF108" s="237">
        <f t="shared" si="11"/>
        <v>0</v>
      </c>
      <c r="AG108" s="237">
        <f t="shared" si="11"/>
        <v>804.918800254837</v>
      </c>
      <c r="AH108" s="237">
        <f t="shared" si="11"/>
        <v>17899</v>
      </c>
    </row>
    <row r="109" spans="1:34" ht="12" thickBot="1">
      <c r="A109" s="243"/>
      <c r="B109" s="244" t="s">
        <v>76</v>
      </c>
      <c r="C109" s="243"/>
      <c r="D109" s="245">
        <v>150</v>
      </c>
      <c r="E109" s="243"/>
      <c r="F109" s="243"/>
      <c r="G109" s="243"/>
      <c r="H109" s="245">
        <v>150</v>
      </c>
      <c r="I109" s="243"/>
      <c r="J109" s="243"/>
      <c r="K109" s="243"/>
      <c r="L109" s="245">
        <v>150</v>
      </c>
      <c r="M109" s="243"/>
      <c r="N109" s="243"/>
      <c r="O109" s="243"/>
      <c r="P109" s="245">
        <v>150</v>
      </c>
      <c r="Q109" s="243"/>
      <c r="R109" s="243"/>
      <c r="S109" s="243"/>
      <c r="T109" s="245">
        <v>150</v>
      </c>
      <c r="U109" s="243"/>
      <c r="V109" s="243"/>
      <c r="W109" s="243"/>
      <c r="X109" s="245">
        <v>150</v>
      </c>
      <c r="Y109" s="243"/>
      <c r="Z109" s="243"/>
      <c r="AA109" s="243"/>
      <c r="AB109" s="245">
        <v>150</v>
      </c>
      <c r="AC109" s="243"/>
      <c r="AD109" s="243"/>
      <c r="AE109" s="243"/>
      <c r="AF109" s="245">
        <v>150</v>
      </c>
      <c r="AG109" s="243"/>
      <c r="AH109" s="243"/>
    </row>
    <row r="110" spans="1:34" ht="12" thickBot="1">
      <c r="A110" s="243"/>
      <c r="B110" s="243"/>
      <c r="C110" s="243"/>
      <c r="D110" s="246">
        <v>1300</v>
      </c>
      <c r="E110" s="247" t="s">
        <v>77</v>
      </c>
      <c r="F110" s="243"/>
      <c r="G110" s="243"/>
      <c r="H110" s="246">
        <v>1300</v>
      </c>
      <c r="I110" s="247" t="s">
        <v>77</v>
      </c>
      <c r="J110" s="243"/>
      <c r="K110" s="243"/>
      <c r="L110" s="246">
        <v>1300</v>
      </c>
      <c r="M110" s="247" t="s">
        <v>77</v>
      </c>
      <c r="N110" s="243"/>
      <c r="O110" s="243"/>
      <c r="P110" s="246">
        <v>1300</v>
      </c>
      <c r="Q110" s="247" t="s">
        <v>77</v>
      </c>
      <c r="R110" s="243"/>
      <c r="S110" s="243"/>
      <c r="T110" s="246">
        <v>1300</v>
      </c>
      <c r="U110" s="247" t="s">
        <v>77</v>
      </c>
      <c r="V110" s="243"/>
      <c r="W110" s="243"/>
      <c r="X110" s="246">
        <v>1300</v>
      </c>
      <c r="Y110" s="247" t="s">
        <v>77</v>
      </c>
      <c r="Z110" s="243"/>
      <c r="AA110" s="243"/>
      <c r="AB110" s="246">
        <v>1300</v>
      </c>
      <c r="AC110" s="247" t="s">
        <v>77</v>
      </c>
      <c r="AD110" s="243"/>
      <c r="AE110" s="243"/>
      <c r="AF110" s="246">
        <v>1300</v>
      </c>
      <c r="AG110" s="247" t="s">
        <v>77</v>
      </c>
      <c r="AH110" s="243"/>
    </row>
    <row r="111" spans="1:34" ht="11.25">
      <c r="A111" s="243"/>
      <c r="B111" s="248" t="s">
        <v>78</v>
      </c>
      <c r="C111" s="249">
        <v>0.05</v>
      </c>
      <c r="D111" s="250">
        <v>30.313350139713563</v>
      </c>
      <c r="E111" s="243"/>
      <c r="F111" s="243"/>
      <c r="G111" s="249">
        <v>0.04</v>
      </c>
      <c r="H111" s="250">
        <v>24.03789045232692</v>
      </c>
      <c r="I111" s="243"/>
      <c r="J111" s="243"/>
      <c r="K111" s="249">
        <v>0.04</v>
      </c>
      <c r="L111" s="250">
        <v>23.93917000246431</v>
      </c>
      <c r="M111" s="243"/>
      <c r="N111" s="243"/>
      <c r="O111" s="249">
        <v>0.04</v>
      </c>
      <c r="P111" s="250">
        <v>23.916004529175225</v>
      </c>
      <c r="Q111" s="243"/>
      <c r="R111" s="243"/>
      <c r="S111" s="249">
        <v>0.04</v>
      </c>
      <c r="T111" s="250">
        <v>23.938280973884815</v>
      </c>
      <c r="U111" s="243"/>
      <c r="V111" s="243"/>
      <c r="W111" s="249">
        <v>0.03</v>
      </c>
      <c r="X111" s="250">
        <v>17.988315377416683</v>
      </c>
      <c r="Y111" s="243"/>
      <c r="Z111" s="243"/>
      <c r="AA111" s="249">
        <v>0.04</v>
      </c>
      <c r="AB111" s="250">
        <v>24.040091832210624</v>
      </c>
      <c r="AC111" s="243"/>
      <c r="AD111" s="243"/>
      <c r="AE111" s="249">
        <v>0.04</v>
      </c>
      <c r="AF111" s="250">
        <v>24.0964882472176</v>
      </c>
      <c r="AG111" s="243"/>
      <c r="AH111" s="243"/>
    </row>
    <row r="112" spans="1:34" ht="11.25">
      <c r="A112" s="243"/>
      <c r="B112" s="243" t="s">
        <v>79</v>
      </c>
      <c r="C112" s="249">
        <v>0.05</v>
      </c>
      <c r="D112" s="250">
        <v>13.89010931298191</v>
      </c>
      <c r="E112" s="243"/>
      <c r="F112" s="243"/>
      <c r="G112" s="249">
        <v>0.04</v>
      </c>
      <c r="H112" s="250">
        <v>11.09864312053102</v>
      </c>
      <c r="I112" s="243"/>
      <c r="J112" s="243"/>
      <c r="K112" s="249">
        <v>0.04</v>
      </c>
      <c r="L112" s="250">
        <v>11.093147320506327</v>
      </c>
      <c r="M112" s="243"/>
      <c r="N112" s="243"/>
      <c r="O112" s="249">
        <v>0.04</v>
      </c>
      <c r="P112" s="250">
        <v>11.077652874663634</v>
      </c>
      <c r="Q112" s="243"/>
      <c r="R112" s="243"/>
      <c r="S112" s="249">
        <v>0.04</v>
      </c>
      <c r="T112" s="250">
        <v>11.063363377758712</v>
      </c>
      <c r="U112" s="243"/>
      <c r="V112" s="243"/>
      <c r="W112" s="249">
        <v>0.03</v>
      </c>
      <c r="X112" s="250">
        <v>8.291409376132922</v>
      </c>
      <c r="Y112" s="243"/>
      <c r="Z112" s="243"/>
      <c r="AA112" s="249">
        <v>0.04</v>
      </c>
      <c r="AB112" s="250">
        <v>11.083195922707992</v>
      </c>
      <c r="AC112" s="243"/>
      <c r="AD112" s="243"/>
      <c r="AE112" s="249">
        <v>0.04</v>
      </c>
      <c r="AF112" s="250">
        <v>11.081815521101658</v>
      </c>
      <c r="AG112" s="243"/>
      <c r="AH112" s="243"/>
    </row>
    <row r="113" spans="1:34" ht="11.25">
      <c r="A113" s="251" t="s">
        <v>80</v>
      </c>
      <c r="B113" s="251"/>
      <c r="C113" s="251"/>
      <c r="D113" s="251"/>
      <c r="E113" s="251">
        <v>175</v>
      </c>
      <c r="F113" s="251"/>
      <c r="G113" s="251"/>
      <c r="H113" s="251"/>
      <c r="I113" s="251">
        <v>175</v>
      </c>
      <c r="J113" s="251"/>
      <c r="K113" s="251"/>
      <c r="L113" s="251"/>
      <c r="M113" s="251">
        <v>175</v>
      </c>
      <c r="N113" s="251"/>
      <c r="O113" s="251"/>
      <c r="P113" s="251"/>
      <c r="Q113" s="251">
        <v>175</v>
      </c>
      <c r="R113" s="251"/>
      <c r="S113" s="251"/>
      <c r="T113" s="251"/>
      <c r="U113" s="251">
        <v>175</v>
      </c>
      <c r="V113" s="251"/>
      <c r="W113" s="251"/>
      <c r="X113" s="251"/>
      <c r="Y113" s="251">
        <v>175</v>
      </c>
      <c r="Z113" s="251"/>
      <c r="AA113" s="251"/>
      <c r="AB113" s="251"/>
      <c r="AC113" s="251">
        <v>175</v>
      </c>
      <c r="AD113" s="251"/>
      <c r="AE113" s="251"/>
      <c r="AF113" s="251"/>
      <c r="AG113" s="251">
        <v>175</v>
      </c>
      <c r="AH113" s="251"/>
    </row>
    <row r="114" spans="1:34" ht="11.25">
      <c r="A114" s="251" t="s">
        <v>81</v>
      </c>
      <c r="B114" s="251"/>
      <c r="C114" s="251"/>
      <c r="D114" s="251"/>
      <c r="E114" s="251">
        <v>1300</v>
      </c>
      <c r="F114" s="251"/>
      <c r="G114" s="251"/>
      <c r="H114" s="251"/>
      <c r="I114" s="251">
        <v>1300</v>
      </c>
      <c r="J114" s="251"/>
      <c r="K114" s="251"/>
      <c r="L114" s="251"/>
      <c r="M114" s="251">
        <v>1300</v>
      </c>
      <c r="N114" s="251"/>
      <c r="O114" s="251"/>
      <c r="P114" s="251"/>
      <c r="Q114" s="251">
        <v>1300</v>
      </c>
      <c r="R114" s="251"/>
      <c r="S114" s="251"/>
      <c r="T114" s="251"/>
      <c r="U114" s="251">
        <v>1300</v>
      </c>
      <c r="V114" s="251"/>
      <c r="W114" s="251"/>
      <c r="X114" s="251"/>
      <c r="Y114" s="251">
        <v>1300</v>
      </c>
      <c r="Z114" s="251"/>
      <c r="AA114" s="251"/>
      <c r="AB114" s="251"/>
      <c r="AC114" s="251">
        <v>1300</v>
      </c>
      <c r="AD114" s="251"/>
      <c r="AE114" s="251"/>
      <c r="AF114" s="251"/>
      <c r="AG114" s="251">
        <v>1300</v>
      </c>
      <c r="AH114" s="251"/>
    </row>
    <row r="115" spans="1:34" ht="11.25">
      <c r="A115" s="251" t="s">
        <v>81</v>
      </c>
      <c r="B115" s="251"/>
      <c r="C115" s="251"/>
      <c r="D115" s="251"/>
      <c r="E115" s="252">
        <v>667.6032482356393</v>
      </c>
      <c r="F115" s="252"/>
      <c r="G115" s="252"/>
      <c r="H115" s="252"/>
      <c r="I115" s="252">
        <v>669.2729094881389</v>
      </c>
      <c r="J115" s="252"/>
      <c r="K115" s="252"/>
      <c r="L115" s="252"/>
      <c r="M115" s="252">
        <v>669.6733709821394</v>
      </c>
      <c r="N115" s="252"/>
      <c r="O115" s="252"/>
      <c r="P115" s="252"/>
      <c r="Q115" s="252">
        <v>669.789825754863</v>
      </c>
      <c r="R115" s="252"/>
      <c r="S115" s="252"/>
      <c r="T115" s="252"/>
      <c r="U115" s="252">
        <v>669.6314278168098</v>
      </c>
      <c r="V115" s="252"/>
      <c r="W115" s="252"/>
      <c r="X115" s="252"/>
      <c r="Y115" s="252">
        <v>669.2436228853511</v>
      </c>
      <c r="Z115" s="252"/>
      <c r="AA115" s="252"/>
      <c r="AB115" s="252"/>
      <c r="AC115" s="252">
        <v>667.7498579624023</v>
      </c>
      <c r="AD115" s="252"/>
      <c r="AE115" s="252"/>
      <c r="AF115" s="252"/>
      <c r="AG115" s="252">
        <v>667.1752887612378</v>
      </c>
      <c r="AH115" s="252"/>
    </row>
  </sheetData>
  <mergeCells count="20">
    <mergeCell ref="AE9:AH9"/>
    <mergeCell ref="K9:N9"/>
    <mergeCell ref="O9:R9"/>
    <mergeCell ref="S9:V9"/>
    <mergeCell ref="W9:Z9"/>
    <mergeCell ref="AA9:AD9"/>
    <mergeCell ref="AA78:AD78"/>
    <mergeCell ref="AE78:AH78"/>
    <mergeCell ref="S78:V78"/>
    <mergeCell ref="W78:Z78"/>
    <mergeCell ref="A2:D2"/>
    <mergeCell ref="K78:N78"/>
    <mergeCell ref="O78:R78"/>
    <mergeCell ref="A5:D5"/>
    <mergeCell ref="A6:D6"/>
    <mergeCell ref="A71:D71"/>
    <mergeCell ref="C78:F78"/>
    <mergeCell ref="G78:J78"/>
    <mergeCell ref="C9:F9"/>
    <mergeCell ref="G9:J9"/>
  </mergeCells>
  <printOptions/>
  <pageMargins left="0.5118110236220472" right="0.3937007874015748" top="0.07874015748031496" bottom="0.07874015748031496" header="0.5118110236220472" footer="0.5118110236220472"/>
  <pageSetup orientation="landscape" paperSize="9" scale="78" r:id="rId2"/>
  <rowBreaks count="1" manualBreakCount="1">
    <brk id="6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VUSZ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Analyza OU MO SR</dc:title>
  <dc:subject/>
  <dc:creator>f10 R VÚSZ BA</dc:creator>
  <cp:keywords/>
  <dc:description/>
  <cp:lastModifiedBy>wiedemannm</cp:lastModifiedBy>
  <cp:lastPrinted>2005-03-23T09:50:19Z</cp:lastPrinted>
  <dcterms:created xsi:type="dcterms:W3CDTF">2004-05-26T08:05:16Z</dcterms:created>
  <dcterms:modified xsi:type="dcterms:W3CDTF">2005-04-20T08:47:45Z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