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25" tabRatio="602" activeTab="0"/>
  </bookViews>
  <sheets>
    <sheet name="od roku 2003" sheetId="1" r:id="rId1"/>
    <sheet name="2003sumarnepodniky" sheetId="2" r:id="rId2"/>
    <sheet name="urok+istina2003" sheetId="3" r:id="rId3"/>
    <sheet name="od 2002-neopravené!!" sheetId="4" r:id="rId4"/>
  </sheets>
  <definedNames/>
  <calcPr fullCalcOnLoad="1"/>
</workbook>
</file>

<file path=xl/comments1.xml><?xml version="1.0" encoding="utf-8"?>
<comments xmlns="http://schemas.openxmlformats.org/spreadsheetml/2006/main">
  <authors>
    <author>mf_sr/spl?tka</author>
  </authors>
  <commentList>
    <comment ref="O55" authorId="0">
      <text>
        <r>
          <rPr>
            <b/>
            <sz val="8"/>
            <rFont val="Tahoma"/>
            <family val="0"/>
          </rPr>
          <t>splatka je zvýšená o 1055401,22 USD,čo je rozdiel medzi účt.zostatkom podľa ÚZ- reálne objem už splatenej istiny. Plánovaný splátk. Kalendár v rokoch je nižší o túto sumu. Sú to špecif.podm.úveru Svet.banky</t>
        </r>
      </text>
    </comment>
  </commentList>
</comments>
</file>

<file path=xl/comments2.xml><?xml version="1.0" encoding="utf-8"?>
<comments xmlns="http://schemas.openxmlformats.org/spreadsheetml/2006/main">
  <authors>
    <author>mf_sr/spl?tka</author>
  </authors>
  <commentList>
    <comment ref="C9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<sst xmlns="http://schemas.openxmlformats.org/spreadsheetml/2006/main" count="1232" uniqueCount="166">
  <si>
    <t>El. Nováky - odsírenie</t>
  </si>
  <si>
    <t>JEMO - Sociéte Gen. Paris</t>
  </si>
  <si>
    <t>Slovenské elektrárne, a.s.</t>
  </si>
  <si>
    <t>JEMO - Kom. Banka Praha</t>
  </si>
  <si>
    <t>JEMO - Čes. spor. a.s. Praha</t>
  </si>
  <si>
    <t>JEMO - VÚB + SLSP dev.úver</t>
  </si>
  <si>
    <t>JEMO - VÚB + SLSP</t>
  </si>
  <si>
    <t>Spolu</t>
  </si>
  <si>
    <t>Vodohospodárska výstavba,š.p.</t>
  </si>
  <si>
    <t>Bankers Trust - fiduc. úver</t>
  </si>
  <si>
    <t>Bankers Trust</t>
  </si>
  <si>
    <t>WB</t>
  </si>
  <si>
    <t>KfW</t>
  </si>
  <si>
    <t>JEMO - KfW Frankfurt n/M</t>
  </si>
  <si>
    <t>Železnice SR</t>
  </si>
  <si>
    <t>SLSP, a.s.</t>
  </si>
  <si>
    <t>EIB</t>
  </si>
  <si>
    <t>Názov organizácie a projektu</t>
  </si>
  <si>
    <t xml:space="preserve">Dátum </t>
  </si>
  <si>
    <t>prevzatia</t>
  </si>
  <si>
    <t>št. záruky</t>
  </si>
  <si>
    <t>Mena</t>
  </si>
  <si>
    <t>USD</t>
  </si>
  <si>
    <t>Sk</t>
  </si>
  <si>
    <t>EUR</t>
  </si>
  <si>
    <t>v Sk</t>
  </si>
  <si>
    <t>istina</t>
  </si>
  <si>
    <t>úrok</t>
  </si>
  <si>
    <t>Chemicelulóza, š.p. Žilina</t>
  </si>
  <si>
    <t>I.</t>
  </si>
  <si>
    <t>Pozagas, a.s. Malacky</t>
  </si>
  <si>
    <t>Láb IV</t>
  </si>
  <si>
    <t>Slovenský plyn. priemysel, š.p.</t>
  </si>
  <si>
    <t>NIB</t>
  </si>
  <si>
    <t>Slovenská. zár. a rozvojová banka</t>
  </si>
  <si>
    <t>Paroplyn. cyklus, a.s. Bratislava</t>
  </si>
  <si>
    <t>Splácanie úverov v rokoch (v Sk)</t>
  </si>
  <si>
    <t xml:space="preserve">v Sk </t>
  </si>
  <si>
    <t>Zostatok záväzku zo štátnej záruky</t>
  </si>
  <si>
    <t>SPOLU</t>
  </si>
  <si>
    <t>The Chase Manhattan Bank</t>
  </si>
  <si>
    <t>Poľnobanka, a.s. Bratislava</t>
  </si>
  <si>
    <t>Slovenské telekomunikácie, a.s.</t>
  </si>
  <si>
    <t>Tatra banka, a.s.</t>
  </si>
  <si>
    <t>DMD FIN, a.s.</t>
  </si>
  <si>
    <t>Slov. vodohosp. podnik, š.p.</t>
  </si>
  <si>
    <t>EXIMBANKA</t>
  </si>
  <si>
    <t>EIB 2</t>
  </si>
  <si>
    <t>Letové prevádzkové služby</t>
  </si>
  <si>
    <t>EIB - III.tranža</t>
  </si>
  <si>
    <t>Most Košická - Metro Bratislava,a.s.</t>
  </si>
  <si>
    <t>Fond národného majetku SR</t>
  </si>
  <si>
    <t>Slovenská sporiteľňa,a.s.</t>
  </si>
  <si>
    <t>Credit Suisse First Boston</t>
  </si>
  <si>
    <t>Tatra banka, a.s. + 2 banky</t>
  </si>
  <si>
    <t>Rozv. Banka Rady Europy (CEB)</t>
  </si>
  <si>
    <t>Slovenské lodenice Komárno, a.s.,BA</t>
  </si>
  <si>
    <t>Invest. a rozvoj. banka a.s.</t>
  </si>
  <si>
    <t>SKK</t>
  </si>
  <si>
    <t>(č.142196001)</t>
  </si>
  <si>
    <t>(č.142196002)</t>
  </si>
  <si>
    <t xml:space="preserve">Most Košická - Metro Blava, a.s. </t>
  </si>
  <si>
    <t>EIB 1</t>
  </si>
  <si>
    <t>Železničná spoločnosť, a.s.</t>
  </si>
  <si>
    <t>(postúpenie záväzkov zo ŽSR - 45 mil. EUR)</t>
  </si>
  <si>
    <t>Unibanka, a.s. (Poľnobanka)</t>
  </si>
  <si>
    <r>
      <t>konzorcium</t>
    </r>
    <r>
      <rPr>
        <sz val="8"/>
        <rFont val="Arial CE"/>
        <family val="2"/>
      </rPr>
      <t xml:space="preserve"> - Tatra banka, a.s.</t>
    </r>
  </si>
  <si>
    <t>The Mizuho (The Fuji Bank) (135)</t>
  </si>
  <si>
    <t>J.P.Morgan (155)</t>
  </si>
  <si>
    <t>J.P.Morgan (45)</t>
  </si>
  <si>
    <t>Tatra banka, a.s. (3000)</t>
  </si>
  <si>
    <t>Všeobecná úverová banka, a.s. (5500)</t>
  </si>
  <si>
    <t>Depfa II. (45)</t>
  </si>
  <si>
    <t>Ľudová banka, a.s. (2000)</t>
  </si>
  <si>
    <t>J.P.Morgan (6840)</t>
  </si>
  <si>
    <t>(zmena dlžníka ŽSR na ŽS, a.s.)</t>
  </si>
  <si>
    <t>(postúpenie záväzkov na ŽS,a.s. - 45 mil. EUR)</t>
  </si>
  <si>
    <t>EIB - III.tranža (15)</t>
  </si>
  <si>
    <t>EIB - I.tranža (120)</t>
  </si>
  <si>
    <t>EIB - II.tranža (20)</t>
  </si>
  <si>
    <r>
      <t>konzorcium</t>
    </r>
    <r>
      <rPr>
        <sz val="8"/>
        <rFont val="Arial CE"/>
        <family val="2"/>
      </rPr>
      <t xml:space="preserve"> - Tatra banka, a.s. (1500)</t>
    </r>
  </si>
  <si>
    <t>kurz k 26.8.2002</t>
  </si>
  <si>
    <t>SPOLU - istina</t>
  </si>
  <si>
    <t>SPOLU - úrok</t>
  </si>
  <si>
    <t xml:space="preserve">SPOLU </t>
  </si>
  <si>
    <t>Splátky istiny a úrokov</t>
  </si>
  <si>
    <t>v roku 2003</t>
  </si>
  <si>
    <t>so štát. zárukou v Sk</t>
  </si>
  <si>
    <t>Záruka</t>
  </si>
  <si>
    <t>prevzatá</t>
  </si>
  <si>
    <t>v mene</t>
  </si>
  <si>
    <t>Splátky istín a úrokov úverov so štátnou zárukou v roku 2003</t>
  </si>
  <si>
    <t>J.P.Morgan+ TB, a.s. (6840)</t>
  </si>
  <si>
    <t>Metro Bratislava, a.s.</t>
  </si>
  <si>
    <t>ekolog. záťaž</t>
  </si>
  <si>
    <t xml:space="preserve">Záruka </t>
  </si>
  <si>
    <t>v CM</t>
  </si>
  <si>
    <t>Prevzatá štátna záruka vo výške 33 mil. EUR.</t>
  </si>
  <si>
    <t>V tabuľke je skutočné čerpanie úverovej linky.</t>
  </si>
  <si>
    <t>Prevzatá štátna záruka vo výške 7 mil. EUR.</t>
  </si>
  <si>
    <t>Splátka istiny</t>
  </si>
  <si>
    <t>Splátka úrokov</t>
  </si>
  <si>
    <t>S P O L U</t>
  </si>
  <si>
    <t xml:space="preserve">    Splátky istín a úrokov úverov so štátnou zárukou v roku 2003</t>
  </si>
  <si>
    <t>ČSOB, a.s., zahr.pobočka (2100)</t>
  </si>
  <si>
    <t>kurz k 31.12.2002</t>
  </si>
  <si>
    <t>Slovenské lodenice Komárno, a.s.BA</t>
  </si>
  <si>
    <t>Konzorcium - Tatra banka, a.s. +SLSP(1500)</t>
  </si>
  <si>
    <t>V roku 2002 bola prevzatá štátna záruka za úver SZRB, a.s. vo výške 400 mil. SKK (18.11.2002) a za úver Slovenských lodeníc Komárno, a.s., BA vo výške 6,9 mil. EUR. Oba úvery neboli v roku 2002 čerpané.</t>
  </si>
  <si>
    <t>po roku 2014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</si>
  <si>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</si>
  <si>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</si>
  <si>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</si>
  <si>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</si>
  <si>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</si>
  <si>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</si>
  <si>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</si>
  <si>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</si>
  <si>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</si>
  <si>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</si>
  <si>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</si>
  <si>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</si>
  <si>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</si>
  <si>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</si>
  <si>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</si>
  <si>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</si>
  <si>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</si>
  <si>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</si>
  <si>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</si>
  <si>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</si>
  <si>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</si>
  <si>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</si>
  <si>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</si>
  <si>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</si>
  <si>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</si>
  <si>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</si>
  <si>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</si>
  <si>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</si>
  <si>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</si>
  <si>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</si>
  <si>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</si>
  <si>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</si>
  <si>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</si>
  <si>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</si>
  <si>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</si>
  <si>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</si>
  <si>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</si>
  <si>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</si>
  <si>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</si>
  <si>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</si>
  <si>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</si>
  <si>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</si>
  <si>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</si>
  <si>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</si>
  <si>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</si>
  <si>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</si>
  <si>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</si>
  <si>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Por.</t>
  </si>
  <si>
    <t>čís.</t>
  </si>
  <si>
    <t xml:space="preserve">   Zostatok záväzku zo štátnej záruky</t>
  </si>
  <si>
    <t xml:space="preserve">       v Sk </t>
  </si>
  <si>
    <t>suma istín</t>
  </si>
  <si>
    <t>sumár po roku 2015 =</t>
  </si>
  <si>
    <t>suma úrok</t>
  </si>
  <si>
    <t>spolu</t>
  </si>
  <si>
    <t xml:space="preserve">     +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</si>
</sst>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  <numFmt numFmtId="168" formatCode="0.0"/>
    <numFmt numFmtId="169" formatCode="#,##0.0"/>
  </numFmts>
  <fonts count="1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25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8" xfId="0" applyFont="1" applyBorder="1" applyAlignment="1">
      <alignment/>
    </xf>
    <xf numFmtId="14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17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34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0" fontId="0" fillId="0" borderId="35" xfId="0" applyBorder="1" applyAlignment="1">
      <alignment/>
    </xf>
    <xf numFmtId="14" fontId="0" fillId="0" borderId="7" xfId="0" applyNumberFormat="1" applyBorder="1" applyAlignment="1">
      <alignment/>
    </xf>
    <xf numFmtId="0" fontId="1" fillId="0" borderId="32" xfId="0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43" fontId="3" fillId="0" borderId="2" xfId="15" applyFont="1" applyBorder="1" applyAlignment="1">
      <alignment horizontal="right"/>
    </xf>
    <xf numFmtId="43" fontId="1" fillId="0" borderId="2" xfId="15" applyNumberFormat="1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2" fillId="0" borderId="31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9" xfId="0" applyBorder="1" applyAlignment="1">
      <alignment/>
    </xf>
    <xf numFmtId="4" fontId="0" fillId="0" borderId="8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2" fillId="0" borderId="43" xfId="0" applyFont="1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6" xfId="0" applyBorder="1" applyAlignment="1">
      <alignment/>
    </xf>
    <xf numFmtId="0" fontId="2" fillId="0" borderId="49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2" fillId="0" borderId="15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2" fillId="0" borderId="51" xfId="0" applyFont="1" applyBorder="1" applyAlignment="1">
      <alignment/>
    </xf>
    <xf numFmtId="44" fontId="1" fillId="0" borderId="10" xfId="17" applyFont="1" applyBorder="1" applyAlignment="1">
      <alignment/>
    </xf>
    <xf numFmtId="44" fontId="1" fillId="0" borderId="15" xfId="17" applyFont="1" applyBorder="1" applyAlignment="1">
      <alignment/>
    </xf>
    <xf numFmtId="44" fontId="1" fillId="0" borderId="16" xfId="17" applyFont="1" applyBorder="1" applyAlignment="1">
      <alignment/>
    </xf>
    <xf numFmtId="44" fontId="0" fillId="0" borderId="17" xfId="17" applyBorder="1" applyAlignment="1">
      <alignment/>
    </xf>
    <xf numFmtId="44" fontId="2" fillId="0" borderId="21" xfId="17" applyFont="1" applyBorder="1" applyAlignment="1">
      <alignment/>
    </xf>
    <xf numFmtId="0" fontId="0" fillId="0" borderId="52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26" xfId="0" applyFon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16" xfId="0" applyFont="1" applyBorder="1" applyAlignment="1">
      <alignment/>
    </xf>
    <xf numFmtId="43" fontId="3" fillId="0" borderId="26" xfId="15" applyFont="1" applyBorder="1" applyAlignment="1">
      <alignment horizontal="right"/>
    </xf>
    <xf numFmtId="44" fontId="5" fillId="0" borderId="8" xfId="17" applyFont="1" applyBorder="1" applyAlignment="1">
      <alignment/>
    </xf>
    <xf numFmtId="0" fontId="0" fillId="0" borderId="53" xfId="0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54" xfId="0" applyFont="1" applyBorder="1" applyAlignment="1">
      <alignment/>
    </xf>
    <xf numFmtId="44" fontId="0" fillId="2" borderId="17" xfId="17" applyFont="1" applyFill="1" applyBorder="1" applyAlignment="1">
      <alignment/>
    </xf>
    <xf numFmtId="44" fontId="0" fillId="2" borderId="17" xfId="17" applyFill="1" applyBorder="1" applyAlignment="1">
      <alignment/>
    </xf>
    <xf numFmtId="44" fontId="0" fillId="2" borderId="32" xfId="17" applyFont="1" applyFill="1" applyBorder="1" applyAlignment="1">
      <alignment/>
    </xf>
    <xf numFmtId="44" fontId="2" fillId="0" borderId="15" xfId="17" applyFont="1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44" fontId="6" fillId="0" borderId="17" xfId="17" applyFont="1" applyBorder="1" applyAlignment="1">
      <alignment/>
    </xf>
    <xf numFmtId="44" fontId="6" fillId="0" borderId="25" xfId="17" applyFont="1" applyBorder="1" applyAlignment="1">
      <alignment/>
    </xf>
    <xf numFmtId="44" fontId="0" fillId="2" borderId="2" xfId="17" applyFont="1" applyFill="1" applyBorder="1" applyAlignment="1">
      <alignment/>
    </xf>
    <xf numFmtId="0" fontId="1" fillId="3" borderId="17" xfId="0" applyFont="1" applyFill="1" applyBorder="1" applyAlignment="1">
      <alignment/>
    </xf>
    <xf numFmtId="14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4" fontId="0" fillId="3" borderId="2" xfId="0" applyNumberFormat="1" applyFill="1" applyBorder="1" applyAlignment="1">
      <alignment/>
    </xf>
    <xf numFmtId="0" fontId="0" fillId="3" borderId="17" xfId="0" applyFill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52" xfId="0" applyFont="1" applyBorder="1" applyAlignment="1">
      <alignment/>
    </xf>
    <xf numFmtId="44" fontId="0" fillId="0" borderId="8" xfId="17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9" xfId="0" applyFont="1" applyBorder="1" applyAlignment="1">
      <alignment/>
    </xf>
    <xf numFmtId="0" fontId="7" fillId="0" borderId="21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60" xfId="0" applyBorder="1" applyAlignment="1">
      <alignment/>
    </xf>
    <xf numFmtId="0" fontId="2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4" fontId="0" fillId="3" borderId="17" xfId="17" applyFont="1" applyFill="1" applyBorder="1" applyAlignment="1">
      <alignment/>
    </xf>
    <xf numFmtId="44" fontId="0" fillId="3" borderId="17" xfId="17" applyFill="1" applyBorder="1" applyAlignment="1">
      <alignment/>
    </xf>
    <xf numFmtId="44" fontId="0" fillId="3" borderId="32" xfId="17" applyFont="1" applyFill="1" applyBorder="1" applyAlignment="1">
      <alignment/>
    </xf>
    <xf numFmtId="44" fontId="6" fillId="3" borderId="17" xfId="17" applyFont="1" applyFill="1" applyBorder="1" applyAlignment="1">
      <alignment/>
    </xf>
    <xf numFmtId="44" fontId="1" fillId="3" borderId="15" xfId="17" applyFont="1" applyFill="1" applyBorder="1" applyAlignment="1">
      <alignment/>
    </xf>
    <xf numFmtId="44" fontId="6" fillId="3" borderId="25" xfId="17" applyFont="1" applyFill="1" applyBorder="1" applyAlignment="1">
      <alignment/>
    </xf>
    <xf numFmtId="44" fontId="2" fillId="3" borderId="15" xfId="17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61" xfId="0" applyFont="1" applyBorder="1" applyAlignment="1">
      <alignment/>
    </xf>
    <xf numFmtId="4" fontId="0" fillId="0" borderId="45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1" xfId="0" applyNumberFormat="1" applyBorder="1" applyAlignment="1">
      <alignment horizontal="right"/>
    </xf>
    <xf numFmtId="4" fontId="0" fillId="0" borderId="52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50" xfId="0" applyNumberFormat="1" applyFont="1" applyBorder="1" applyAlignment="1">
      <alignment/>
    </xf>
    <xf numFmtId="0" fontId="3" fillId="0" borderId="49" xfId="0" applyFont="1" applyBorder="1" applyAlignment="1">
      <alignment/>
    </xf>
    <xf numFmtId="4" fontId="3" fillId="0" borderId="62" xfId="0" applyNumberFormat="1" applyFont="1" applyBorder="1" applyAlignment="1">
      <alignment/>
    </xf>
    <xf numFmtId="0" fontId="0" fillId="0" borderId="61" xfId="0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4" fontId="3" fillId="0" borderId="43" xfId="0" applyNumberFormat="1" applyFont="1" applyBorder="1" applyAlignment="1">
      <alignment/>
    </xf>
    <xf numFmtId="44" fontId="0" fillId="3" borderId="17" xfId="17" applyFont="1" applyFill="1" applyBorder="1" applyAlignment="1">
      <alignment/>
    </xf>
    <xf numFmtId="44" fontId="0" fillId="3" borderId="60" xfId="17" applyFill="1" applyBorder="1" applyAlignment="1">
      <alignment/>
    </xf>
    <xf numFmtId="4" fontId="0" fillId="0" borderId="52" xfId="0" applyNumberFormat="1" applyFont="1" applyBorder="1" applyAlignment="1">
      <alignment/>
    </xf>
    <xf numFmtId="4" fontId="2" fillId="0" borderId="62" xfId="0" applyNumberFormat="1" applyFont="1" applyBorder="1" applyAlignment="1">
      <alignment/>
    </xf>
    <xf numFmtId="44" fontId="5" fillId="3" borderId="60" xfId="17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6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2" fillId="0" borderId="46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4" fontId="0" fillId="3" borderId="41" xfId="0" applyNumberFormat="1" applyFill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1" fillId="0" borderId="45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0" fontId="1" fillId="0" borderId="63" xfId="0" applyFont="1" applyBorder="1" applyAlignment="1">
      <alignment/>
    </xf>
    <xf numFmtId="0" fontId="8" fillId="0" borderId="0" xfId="0" applyFont="1" applyAlignment="1">
      <alignment/>
    </xf>
    <xf numFmtId="0" fontId="0" fillId="0" borderId="28" xfId="0" applyBorder="1" applyAlignment="1">
      <alignment/>
    </xf>
    <xf numFmtId="4" fontId="0" fillId="0" borderId="4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47" xfId="0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46" xfId="0" applyNumberFormat="1" applyFont="1" applyBorder="1" applyAlignment="1">
      <alignment/>
    </xf>
    <xf numFmtId="44" fontId="1" fillId="3" borderId="16" xfId="17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64" xfId="0" applyBorder="1" applyAlignment="1">
      <alignment/>
    </xf>
    <xf numFmtId="0" fontId="2" fillId="0" borderId="6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0" xfId="0" applyBorder="1" applyAlignment="1">
      <alignment/>
    </xf>
    <xf numFmtId="0" fontId="0" fillId="0" borderId="65" xfId="0" applyBorder="1" applyAlignment="1">
      <alignment/>
    </xf>
    <xf numFmtId="0" fontId="1" fillId="0" borderId="51" xfId="0" applyFont="1" applyBorder="1" applyAlignment="1">
      <alignment/>
    </xf>
    <xf numFmtId="0" fontId="1" fillId="0" borderId="66" xfId="0" applyFont="1" applyBorder="1" applyAlignment="1">
      <alignment/>
    </xf>
    <xf numFmtId="4" fontId="0" fillId="0" borderId="51" xfId="0" applyNumberFormat="1" applyBorder="1" applyAlignment="1">
      <alignment/>
    </xf>
    <xf numFmtId="4" fontId="2" fillId="0" borderId="43" xfId="0" applyNumberFormat="1" applyFont="1" applyBorder="1" applyAlignment="1">
      <alignment/>
    </xf>
    <xf numFmtId="4" fontId="0" fillId="0" borderId="61" xfId="0" applyNumberFormat="1" applyBorder="1" applyAlignment="1">
      <alignment/>
    </xf>
    <xf numFmtId="4" fontId="0" fillId="0" borderId="67" xfId="0" applyNumberFormat="1" applyBorder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" fillId="0" borderId="6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" fontId="1" fillId="0" borderId="41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3" fillId="0" borderId="25" xfId="0" applyFont="1" applyBorder="1" applyAlignment="1">
      <alignment/>
    </xf>
    <xf numFmtId="4" fontId="0" fillId="0" borderId="26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0" fontId="3" fillId="0" borderId="60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1" fillId="3" borderId="16" xfId="0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0" fillId="3" borderId="4" xfId="0" applyNumberFormat="1" applyFill="1" applyBorder="1" applyAlignment="1">
      <alignment/>
    </xf>
    <xf numFmtId="4" fontId="0" fillId="3" borderId="45" xfId="0" applyNumberForma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0" fontId="1" fillId="0" borderId="70" xfId="0" applyFont="1" applyBorder="1" applyAlignment="1">
      <alignment/>
    </xf>
    <xf numFmtId="0" fontId="0" fillId="0" borderId="0" xfId="0" applyFont="1" applyBorder="1" applyAlignment="1">
      <alignment/>
    </xf>
    <xf numFmtId="4" fontId="3" fillId="0" borderId="26" xfId="0" applyNumberFormat="1" applyFont="1" applyBorder="1" applyAlignment="1">
      <alignment/>
    </xf>
    <xf numFmtId="14" fontId="0" fillId="0" borderId="9" xfId="0" applyNumberFormat="1" applyBorder="1" applyAlignment="1">
      <alignment/>
    </xf>
    <xf numFmtId="4" fontId="3" fillId="0" borderId="9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46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52" xfId="0" applyFont="1" applyBorder="1" applyAlignment="1">
      <alignment/>
    </xf>
    <xf numFmtId="4" fontId="0" fillId="0" borderId="64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64" xfId="0" applyNumberForma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9" xfId="0" applyFont="1" applyBorder="1" applyAlignment="1">
      <alignment/>
    </xf>
    <xf numFmtId="43" fontId="1" fillId="0" borderId="45" xfId="15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0" fillId="0" borderId="51" xfId="0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64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4" fontId="1" fillId="3" borderId="0" xfId="17" applyFont="1" applyFill="1" applyBorder="1" applyAlignment="1">
      <alignment/>
    </xf>
    <xf numFmtId="44" fontId="1" fillId="3" borderId="6" xfId="17" applyFont="1" applyFill="1" applyBorder="1" applyAlignment="1">
      <alignment/>
    </xf>
    <xf numFmtId="44" fontId="0" fillId="3" borderId="64" xfId="17" applyFont="1" applyFill="1" applyBorder="1" applyAlignment="1">
      <alignment/>
    </xf>
    <xf numFmtId="44" fontId="0" fillId="3" borderId="64" xfId="17" applyFill="1" applyBorder="1" applyAlignment="1">
      <alignment/>
    </xf>
    <xf numFmtId="44" fontId="0" fillId="3" borderId="20" xfId="17" applyFont="1" applyFill="1" applyBorder="1" applyAlignment="1">
      <alignment/>
    </xf>
    <xf numFmtId="44" fontId="6" fillId="3" borderId="64" xfId="17" applyFont="1" applyFill="1" applyBorder="1" applyAlignment="1">
      <alignment/>
    </xf>
    <xf numFmtId="44" fontId="9" fillId="3" borderId="64" xfId="17" applyFont="1" applyFill="1" applyBorder="1" applyAlignment="1">
      <alignment/>
    </xf>
    <xf numFmtId="44" fontId="0" fillId="3" borderId="29" xfId="17" applyFont="1" applyFill="1" applyBorder="1" applyAlignment="1">
      <alignment/>
    </xf>
    <xf numFmtId="44" fontId="2" fillId="3" borderId="65" xfId="17" applyFont="1" applyFill="1" applyBorder="1" applyAlignment="1">
      <alignment/>
    </xf>
    <xf numFmtId="44" fontId="2" fillId="3" borderId="0" xfId="17" applyFont="1" applyFill="1" applyBorder="1" applyAlignment="1">
      <alignment/>
    </xf>
    <xf numFmtId="44" fontId="6" fillId="3" borderId="30" xfId="17" applyFont="1" applyFill="1" applyBorder="1" applyAlignment="1">
      <alignment/>
    </xf>
    <xf numFmtId="44" fontId="0" fillId="3" borderId="64" xfId="17" applyFont="1" applyFill="1" applyBorder="1" applyAlignment="1">
      <alignment/>
    </xf>
    <xf numFmtId="44" fontId="5" fillId="3" borderId="29" xfId="17" applyFont="1" applyFill="1" applyBorder="1" applyAlignment="1">
      <alignment/>
    </xf>
    <xf numFmtId="44" fontId="2" fillId="3" borderId="51" xfId="17" applyFont="1" applyFill="1" applyBorder="1" applyAlignment="1">
      <alignment/>
    </xf>
    <xf numFmtId="0" fontId="0" fillId="0" borderId="66" xfId="0" applyBorder="1" applyAlignment="1">
      <alignment/>
    </xf>
    <xf numFmtId="0" fontId="1" fillId="0" borderId="30" xfId="0" applyFont="1" applyBorder="1" applyAlignment="1">
      <alignment/>
    </xf>
    <xf numFmtId="0" fontId="1" fillId="0" borderId="73" xfId="0" applyFont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1" fillId="0" borderId="74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0" fillId="0" borderId="37" xfId="0" applyNumberFormat="1" applyBorder="1" applyAlignment="1">
      <alignment/>
    </xf>
    <xf numFmtId="4" fontId="13" fillId="0" borderId="61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5" fillId="0" borderId="18" xfId="0" applyFont="1" applyBorder="1" applyAlignment="1">
      <alignment/>
    </xf>
    <xf numFmtId="14" fontId="0" fillId="0" borderId="0" xfId="0" applyNumberFormat="1" applyBorder="1" applyAlignment="1">
      <alignment/>
    </xf>
    <xf numFmtId="0" fontId="5" fillId="0" borderId="37" xfId="0" applyFont="1" applyBorder="1" applyAlignment="1">
      <alignment/>
    </xf>
    <xf numFmtId="14" fontId="0" fillId="0" borderId="37" xfId="0" applyNumberFormat="1" applyBorder="1" applyAlignment="1">
      <alignment/>
    </xf>
    <xf numFmtId="4" fontId="3" fillId="0" borderId="37" xfId="0" applyNumberFormat="1" applyFont="1" applyBorder="1" applyAlignment="1">
      <alignment/>
    </xf>
    <xf numFmtId="0" fontId="1" fillId="0" borderId="27" xfId="0" applyFont="1" applyBorder="1" applyAlignment="1">
      <alignment/>
    </xf>
    <xf numFmtId="14" fontId="0" fillId="0" borderId="28" xfId="0" applyNumberFormat="1" applyBorder="1" applyAlignment="1">
      <alignment/>
    </xf>
    <xf numFmtId="4" fontId="3" fillId="0" borderId="28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1" fillId="0" borderId="76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77" xfId="0" applyFont="1" applyBorder="1" applyAlignment="1">
      <alignment horizontal="right"/>
    </xf>
    <xf numFmtId="0" fontId="1" fillId="0" borderId="77" xfId="0" applyFont="1" applyBorder="1" applyAlignment="1">
      <alignment horizontal="right"/>
    </xf>
    <xf numFmtId="0" fontId="1" fillId="0" borderId="78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4" fontId="3" fillId="0" borderId="61" xfId="0" applyNumberFormat="1" applyFont="1" applyBorder="1" applyAlignment="1">
      <alignment/>
    </xf>
    <xf numFmtId="0" fontId="0" fillId="0" borderId="71" xfId="0" applyBorder="1" applyAlignment="1">
      <alignment/>
    </xf>
    <xf numFmtId="0" fontId="2" fillId="0" borderId="61" xfId="0" applyFont="1" applyBorder="1" applyAlignment="1">
      <alignment/>
    </xf>
    <xf numFmtId="4" fontId="2" fillId="0" borderId="37" xfId="0" applyNumberFormat="1" applyFont="1" applyBorder="1" applyAlignment="1">
      <alignment/>
    </xf>
    <xf numFmtId="4" fontId="13" fillId="0" borderId="71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5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2" fillId="0" borderId="65" xfId="0" applyNumberFormat="1" applyFont="1" applyBorder="1" applyAlignment="1">
      <alignment/>
    </xf>
    <xf numFmtId="4" fontId="2" fillId="0" borderId="71" xfId="0" applyNumberFormat="1" applyFont="1" applyBorder="1" applyAlignment="1">
      <alignment/>
    </xf>
    <xf numFmtId="0" fontId="1" fillId="0" borderId="42" xfId="0" applyFont="1" applyBorder="1" applyAlignment="1">
      <alignment/>
    </xf>
    <xf numFmtId="4" fontId="13" fillId="0" borderId="37" xfId="0" applyNumberFormat="1" applyFont="1" applyBorder="1" applyAlignment="1">
      <alignment/>
    </xf>
    <xf numFmtId="0" fontId="2" fillId="0" borderId="81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7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73" xfId="0" applyFont="1" applyBorder="1" applyAlignment="1">
      <alignment/>
    </xf>
    <xf numFmtId="0" fontId="3" fillId="0" borderId="5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0" fillId="0" borderId="6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73" xfId="0" applyBorder="1" applyAlignment="1">
      <alignment/>
    </xf>
    <xf numFmtId="0" fontId="0" fillId="0" borderId="7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02"/>
  <sheetViews>
    <sheetView tabSelected="1" workbookViewId="0" topLeftCell="N170">
      <selection activeCell="T170" sqref="N170:T228"/>
    </sheetView>
  </sheetViews>
  <sheetFormatPr defaultColWidth="9.00390625" defaultRowHeight="12.75"/>
  <cols>
    <col min="1" max="1" width="4.25390625" style="0" customWidth="1"/>
    <col min="2" max="2" width="35.75390625" style="0" customWidth="1"/>
    <col min="3" max="3" width="10.75390625" style="0" customWidth="1"/>
    <col min="5" max="6" width="18.75390625" style="0" customWidth="1"/>
    <col min="8" max="112" width="18.75390625" style="0" customWidth="1"/>
  </cols>
  <sheetData>
    <row r="2" spans="1:23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1" customFormat="1" ht="12.75">
      <c r="A3" s="322" t="s">
        <v>157</v>
      </c>
      <c r="B3" s="325" t="s">
        <v>17</v>
      </c>
      <c r="C3" s="326" t="s">
        <v>18</v>
      </c>
      <c r="D3" s="235" t="s">
        <v>95</v>
      </c>
      <c r="E3" s="18" t="s">
        <v>159</v>
      </c>
      <c r="F3" s="150"/>
      <c r="G3" s="20"/>
      <c r="H3" s="21"/>
      <c r="I3" s="21" t="s">
        <v>36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150"/>
      <c r="W3" s="20"/>
    </row>
    <row r="4" spans="1:23" s="1" customFormat="1" ht="12.75">
      <c r="A4" s="323" t="s">
        <v>158</v>
      </c>
      <c r="B4" s="4"/>
      <c r="C4" s="327" t="s">
        <v>19</v>
      </c>
      <c r="D4" s="236" t="s">
        <v>89</v>
      </c>
      <c r="E4" s="329" t="s">
        <v>160</v>
      </c>
      <c r="F4" s="329" t="s">
        <v>25</v>
      </c>
      <c r="G4" s="9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79"/>
      <c r="T4" s="349"/>
      <c r="U4" s="279"/>
      <c r="W4" s="90"/>
    </row>
    <row r="5" spans="1:23" s="1" customFormat="1" ht="13.5" thickBot="1">
      <c r="A5" s="324"/>
      <c r="B5" s="91"/>
      <c r="C5" s="328" t="s">
        <v>20</v>
      </c>
      <c r="D5" s="237" t="s">
        <v>96</v>
      </c>
      <c r="E5" s="330" t="s">
        <v>26</v>
      </c>
      <c r="F5" s="331" t="s">
        <v>27</v>
      </c>
      <c r="G5" s="172"/>
      <c r="H5" s="80">
        <v>2003</v>
      </c>
      <c r="I5" s="80">
        <v>2004</v>
      </c>
      <c r="J5" s="80">
        <v>2005</v>
      </c>
      <c r="K5" s="80">
        <v>2006</v>
      </c>
      <c r="L5" s="80">
        <v>2007</v>
      </c>
      <c r="M5" s="80">
        <v>2008</v>
      </c>
      <c r="N5" s="80">
        <v>2009</v>
      </c>
      <c r="O5" s="80">
        <v>2010</v>
      </c>
      <c r="P5" s="80">
        <v>2011</v>
      </c>
      <c r="Q5" s="80">
        <v>2012</v>
      </c>
      <c r="R5" s="80">
        <v>2013</v>
      </c>
      <c r="S5" s="91">
        <v>2014</v>
      </c>
      <c r="T5" s="223">
        <v>2015</v>
      </c>
      <c r="U5" s="91">
        <v>2016</v>
      </c>
      <c r="V5" s="91">
        <v>2017</v>
      </c>
      <c r="W5" s="172">
        <v>2018</v>
      </c>
    </row>
    <row r="6" spans="1:23" ht="13.5" thickTop="1">
      <c r="A6" s="320"/>
      <c r="B6" s="241" t="s">
        <v>2</v>
      </c>
      <c r="C6" s="9"/>
      <c r="D6" s="9"/>
      <c r="E6" s="9"/>
      <c r="F6" s="126"/>
      <c r="G6" s="238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26"/>
      <c r="U6" s="238"/>
      <c r="V6" s="9"/>
      <c r="W6" s="9"/>
    </row>
    <row r="7" spans="1:23" ht="12.75">
      <c r="A7" s="320" t="s">
        <v>110</v>
      </c>
      <c r="B7" s="239" t="s">
        <v>0</v>
      </c>
      <c r="C7" s="7">
        <v>33472</v>
      </c>
      <c r="D7" s="6" t="s">
        <v>24</v>
      </c>
      <c r="E7" s="36">
        <f>SUM(H7:H7)</f>
        <v>42807147.91522</v>
      </c>
      <c r="F7" s="106"/>
      <c r="G7" s="239" t="s">
        <v>26</v>
      </c>
      <c r="H7" s="36">
        <f>1026009.01*C200</f>
        <v>42807147.91522</v>
      </c>
      <c r="I7" s="6"/>
      <c r="J7" s="36"/>
      <c r="K7" s="36"/>
      <c r="L7" s="36"/>
      <c r="M7" s="36"/>
      <c r="N7" s="36"/>
      <c r="O7" s="36"/>
      <c r="P7" s="36"/>
      <c r="Q7" s="36"/>
      <c r="R7" s="36"/>
      <c r="S7" s="36"/>
      <c r="T7" s="106"/>
      <c r="U7" s="239"/>
      <c r="V7" s="6"/>
      <c r="W7" s="6"/>
    </row>
    <row r="8" spans="1:23" ht="12.75">
      <c r="A8" s="320"/>
      <c r="B8" s="239"/>
      <c r="C8" s="6"/>
      <c r="D8" s="6"/>
      <c r="E8" s="6"/>
      <c r="F8" s="195">
        <f>SUM(H8:H8)</f>
        <v>1252108.92872</v>
      </c>
      <c r="G8" s="239" t="s">
        <v>27</v>
      </c>
      <c r="H8" s="36">
        <f>30010.76*C200</f>
        <v>1252108.92872</v>
      </c>
      <c r="I8" s="6"/>
      <c r="J8" s="36"/>
      <c r="K8" s="36"/>
      <c r="L8" s="36"/>
      <c r="M8" s="36"/>
      <c r="N8" s="36"/>
      <c r="O8" s="36"/>
      <c r="P8" s="36"/>
      <c r="Q8" s="36"/>
      <c r="R8" s="36"/>
      <c r="S8" s="36"/>
      <c r="T8" s="106"/>
      <c r="U8" s="239"/>
      <c r="V8" s="6"/>
      <c r="W8" s="6"/>
    </row>
    <row r="9" spans="1:23" ht="12.75">
      <c r="A9" s="320" t="s">
        <v>111</v>
      </c>
      <c r="B9" s="239" t="s">
        <v>13</v>
      </c>
      <c r="C9" s="7">
        <v>35271</v>
      </c>
      <c r="D9" s="6" t="s">
        <v>24</v>
      </c>
      <c r="E9" s="36">
        <f>SUM(H9:N9)</f>
        <v>1466778195.17066</v>
      </c>
      <c r="F9" s="106"/>
      <c r="G9" s="239" t="s">
        <v>26</v>
      </c>
      <c r="H9" s="36">
        <f>5606316.5*C200</f>
        <v>233906737.013</v>
      </c>
      <c r="I9" s="36">
        <f>5606316.5*C200</f>
        <v>233906737.013</v>
      </c>
      <c r="J9" s="36">
        <f>5606316.5*C200</f>
        <v>233906737.013</v>
      </c>
      <c r="K9" s="36">
        <f>5606316.5*C200</f>
        <v>233906737.013</v>
      </c>
      <c r="L9" s="36">
        <f>5606316.5*C200</f>
        <v>233906737.013</v>
      </c>
      <c r="M9" s="36">
        <f>5606316.5*C200</f>
        <v>233906737.013</v>
      </c>
      <c r="N9" s="36">
        <f>1518090.53*C200</f>
        <v>63337773.09266</v>
      </c>
      <c r="O9" s="6"/>
      <c r="P9" s="36"/>
      <c r="Q9" s="36"/>
      <c r="R9" s="36"/>
      <c r="S9" s="36"/>
      <c r="T9" s="106"/>
      <c r="U9" s="239"/>
      <c r="V9" s="6"/>
      <c r="W9" s="6"/>
    </row>
    <row r="10" spans="1:23" ht="12.75">
      <c r="A10" s="320"/>
      <c r="B10" s="239"/>
      <c r="C10" s="6"/>
      <c r="D10" s="6"/>
      <c r="E10" s="6"/>
      <c r="F10" s="195">
        <f>SUM(H10:N10)</f>
        <v>277527376.72924</v>
      </c>
      <c r="G10" s="239" t="s">
        <v>27</v>
      </c>
      <c r="H10" s="36">
        <f>1867249.87*C200</f>
        <v>77905399.07614</v>
      </c>
      <c r="I10" s="36">
        <f>1556719.44*C200</f>
        <v>64949448.47568</v>
      </c>
      <c r="J10" s="36">
        <f>1270953.52*C200</f>
        <v>53026722.76144</v>
      </c>
      <c r="K10" s="36">
        <f>954514.3*C200</f>
        <v>39824245.6246</v>
      </c>
      <c r="L10" s="36">
        <f>638075.08*C200</f>
        <v>26621768.48776</v>
      </c>
      <c r="M10" s="36">
        <f>322331.65*C200</f>
        <v>13448321.101300001</v>
      </c>
      <c r="N10" s="36">
        <f>41979.56*C200</f>
        <v>1751471.20232</v>
      </c>
      <c r="O10" s="6"/>
      <c r="P10" s="36"/>
      <c r="Q10" s="36"/>
      <c r="R10" s="36"/>
      <c r="S10" s="36"/>
      <c r="T10" s="106"/>
      <c r="U10" s="239"/>
      <c r="V10" s="6"/>
      <c r="W10" s="6"/>
    </row>
    <row r="11" spans="1:23" ht="12.75">
      <c r="A11" s="320" t="s">
        <v>112</v>
      </c>
      <c r="B11" s="239" t="s">
        <v>1</v>
      </c>
      <c r="C11" s="7">
        <v>35271</v>
      </c>
      <c r="D11" s="6" t="s">
        <v>24</v>
      </c>
      <c r="E11" s="36">
        <f>SUM(H11:N11)</f>
        <v>617874439.86116</v>
      </c>
      <c r="F11" s="106"/>
      <c r="G11" s="239" t="s">
        <v>26</v>
      </c>
      <c r="H11" s="36">
        <f>2366259.72*C200</f>
        <v>98725088.03784001</v>
      </c>
      <c r="I11" s="36">
        <f>2366259.72*C200</f>
        <v>98725088.03784001</v>
      </c>
      <c r="J11" s="36">
        <f>2366259.72*C200</f>
        <v>98725088.03784001</v>
      </c>
      <c r="K11" s="36">
        <f>2366259.72*C200</f>
        <v>98725088.03784001</v>
      </c>
      <c r="L11" s="36">
        <f>2366259.72*C200</f>
        <v>98725088.03784001</v>
      </c>
      <c r="M11" s="36">
        <f>2366259.72*C200</f>
        <v>98725088.03784001</v>
      </c>
      <c r="N11" s="36">
        <f>611761.46*C200</f>
        <v>25523911.63412</v>
      </c>
      <c r="O11" s="6"/>
      <c r="P11" s="36"/>
      <c r="Q11" s="36"/>
      <c r="R11" s="36"/>
      <c r="S11" s="36"/>
      <c r="T11" s="106"/>
      <c r="U11" s="239"/>
      <c r="V11" s="6"/>
      <c r="W11" s="6"/>
    </row>
    <row r="12" spans="1:23" ht="12.75">
      <c r="A12" s="320"/>
      <c r="B12" s="239"/>
      <c r="C12" s="6"/>
      <c r="D12" s="6"/>
      <c r="E12" s="6"/>
      <c r="F12" s="195">
        <f>SUM(H12:N12)</f>
        <v>91486530.48228</v>
      </c>
      <c r="G12" s="239" t="s">
        <v>27</v>
      </c>
      <c r="H12" s="36">
        <f>582453.25*C200</f>
        <v>24301114.4965</v>
      </c>
      <c r="I12" s="36">
        <f>512061.76*C200</f>
        <v>21364240.75072</v>
      </c>
      <c r="J12" s="36">
        <f>414156.5*C200</f>
        <v>17279437.493</v>
      </c>
      <c r="K12" s="36">
        <f>316903.22*C200</f>
        <v>13221836.144839998</v>
      </c>
      <c r="L12" s="36">
        <f>219649.94*C200</f>
        <v>9164234.79668</v>
      </c>
      <c r="M12" s="36">
        <f>122396.67*C200</f>
        <v>5106633.86574</v>
      </c>
      <c r="N12" s="36">
        <f>25143.4*C200</f>
        <v>1049032.9348000002</v>
      </c>
      <c r="O12" s="6"/>
      <c r="P12" s="36"/>
      <c r="Q12" s="36"/>
      <c r="R12" s="36"/>
      <c r="S12" s="36"/>
      <c r="T12" s="106"/>
      <c r="U12" s="239"/>
      <c r="V12" s="6"/>
      <c r="W12" s="6"/>
    </row>
    <row r="13" spans="1:23" ht="12.75">
      <c r="A13" s="320" t="s">
        <v>113</v>
      </c>
      <c r="B13" s="239" t="s">
        <v>3</v>
      </c>
      <c r="C13" s="7">
        <v>35237</v>
      </c>
      <c r="D13" s="6" t="s">
        <v>22</v>
      </c>
      <c r="E13" s="36">
        <f>SUM(H13:M13)</f>
        <v>4403960000</v>
      </c>
      <c r="F13" s="106"/>
      <c r="G13" s="239" t="s">
        <v>26</v>
      </c>
      <c r="H13" s="36">
        <f>20000000*C199</f>
        <v>800720000</v>
      </c>
      <c r="I13" s="36">
        <f>20000000*C199</f>
        <v>800720000</v>
      </c>
      <c r="J13" s="36">
        <f>20000000*C199</f>
        <v>800720000</v>
      </c>
      <c r="K13" s="36">
        <f>20000000*C199</f>
        <v>800720000</v>
      </c>
      <c r="L13" s="36">
        <f>20000000*C199</f>
        <v>800720000</v>
      </c>
      <c r="M13" s="36">
        <f>10000000*C199</f>
        <v>400360000</v>
      </c>
      <c r="N13" s="6"/>
      <c r="O13" s="36"/>
      <c r="P13" s="36"/>
      <c r="Q13" s="36"/>
      <c r="R13" s="36"/>
      <c r="S13" s="36"/>
      <c r="T13" s="106"/>
      <c r="U13" s="239"/>
      <c r="V13" s="6"/>
      <c r="W13" s="6"/>
    </row>
    <row r="14" spans="1:23" ht="12.75">
      <c r="A14" s="320"/>
      <c r="B14" s="239"/>
      <c r="C14" s="6"/>
      <c r="D14" s="6"/>
      <c r="E14" s="6"/>
      <c r="F14" s="195">
        <f>SUM(H14:M14)</f>
        <v>616275933.20524</v>
      </c>
      <c r="G14" s="239" t="s">
        <v>27</v>
      </c>
      <c r="H14" s="36">
        <f>3184294.59*C199</f>
        <v>127486418.20524</v>
      </c>
      <c r="I14" s="36">
        <f>2937222.22*C199</f>
        <v>117594628.79992001</v>
      </c>
      <c r="J14" s="36">
        <f>4280972.22*C199</f>
        <v>171393003.79992</v>
      </c>
      <c r="K14" s="36">
        <f>2962916.67*C199</f>
        <v>118623331.80012</v>
      </c>
      <c r="L14" s="36">
        <f>1644861.11*C199</f>
        <v>65853659.399960004</v>
      </c>
      <c r="M14" s="36">
        <f>382777.78*C199</f>
        <v>15324891.200080002</v>
      </c>
      <c r="N14" s="6"/>
      <c r="O14" s="36"/>
      <c r="P14" s="36"/>
      <c r="Q14" s="36"/>
      <c r="R14" s="36"/>
      <c r="S14" s="36"/>
      <c r="T14" s="106"/>
      <c r="U14" s="239"/>
      <c r="V14" s="6"/>
      <c r="W14" s="6"/>
    </row>
    <row r="15" spans="1:23" ht="12.75">
      <c r="A15" s="320" t="s">
        <v>114</v>
      </c>
      <c r="B15" s="239" t="s">
        <v>4</v>
      </c>
      <c r="C15" s="7">
        <v>35242</v>
      </c>
      <c r="D15" s="6" t="s">
        <v>24</v>
      </c>
      <c r="E15" s="36">
        <f>SUM(H15:M15)</f>
        <v>1173266592.4581199</v>
      </c>
      <c r="F15" s="106"/>
      <c r="G15" s="239" t="s">
        <v>26</v>
      </c>
      <c r="H15" s="140">
        <f>5112918.82*C200</f>
        <v>213321199.00804</v>
      </c>
      <c r="I15" s="36">
        <f>5112918.81*C200</f>
        <v>213321198.59081998</v>
      </c>
      <c r="J15" s="36">
        <f>5112918.81*C200</f>
        <v>213321198.59081998</v>
      </c>
      <c r="K15" s="36">
        <f>5112918.81*C200</f>
        <v>213321198.59081998</v>
      </c>
      <c r="L15" s="36">
        <f>5112918.81*C200</f>
        <v>213321198.59081998</v>
      </c>
      <c r="M15" s="36">
        <f>2556459.4*C200</f>
        <v>106660599.0868</v>
      </c>
      <c r="N15" s="6"/>
      <c r="O15" s="36"/>
      <c r="P15" s="36"/>
      <c r="Q15" s="36"/>
      <c r="R15" s="36"/>
      <c r="S15" s="36"/>
      <c r="T15" s="106"/>
      <c r="U15" s="239"/>
      <c r="V15" s="6"/>
      <c r="W15" s="6"/>
    </row>
    <row r="16" spans="1:23" ht="12.75">
      <c r="A16" s="320"/>
      <c r="B16" s="239"/>
      <c r="C16" s="6"/>
      <c r="D16" s="6"/>
      <c r="E16" s="6"/>
      <c r="F16" s="195">
        <f>SUM(H16:M16)</f>
        <v>186399619.14881998</v>
      </c>
      <c r="G16" s="239" t="s">
        <v>27</v>
      </c>
      <c r="H16" s="36">
        <f>1298610.37*C200</f>
        <v>54180621.857140005</v>
      </c>
      <c r="I16" s="36">
        <f>1137375.89*C200</f>
        <v>47453596.88258</v>
      </c>
      <c r="J16" s="36">
        <f>846092.2*C200</f>
        <v>35300658.7684</v>
      </c>
      <c r="K16" s="36">
        <f>620591.17*C200</f>
        <v>25892304.794740003</v>
      </c>
      <c r="L16" s="36">
        <f>395090.15*C200</f>
        <v>16483951.238300001</v>
      </c>
      <c r="M16" s="36">
        <f>169898.03*C200</f>
        <v>7088485.60766</v>
      </c>
      <c r="N16" s="6"/>
      <c r="O16" s="36"/>
      <c r="P16" s="36"/>
      <c r="Q16" s="36"/>
      <c r="R16" s="36"/>
      <c r="S16" s="36"/>
      <c r="T16" s="106"/>
      <c r="U16" s="239"/>
      <c r="V16" s="6"/>
      <c r="W16" s="6"/>
    </row>
    <row r="17" spans="1:23" ht="12.75">
      <c r="A17" s="320" t="s">
        <v>115</v>
      </c>
      <c r="B17" s="239" t="s">
        <v>5</v>
      </c>
      <c r="C17" s="7">
        <v>35268</v>
      </c>
      <c r="D17" s="6" t="s">
        <v>22</v>
      </c>
      <c r="E17" s="36">
        <f>SUM(H17:L17)</f>
        <v>2377137500</v>
      </c>
      <c r="F17" s="106"/>
      <c r="G17" s="239" t="s">
        <v>26</v>
      </c>
      <c r="H17" s="36">
        <f>11875000*C199</f>
        <v>475427500</v>
      </c>
      <c r="I17" s="36">
        <f>11875000*C199</f>
        <v>475427500</v>
      </c>
      <c r="J17" s="36">
        <f>11875000*C199</f>
        <v>475427500</v>
      </c>
      <c r="K17" s="36">
        <f>11875000*C199</f>
        <v>475427500</v>
      </c>
      <c r="L17" s="36">
        <f>11875000*C199</f>
        <v>475427500</v>
      </c>
      <c r="M17" s="6"/>
      <c r="N17" s="36"/>
      <c r="O17" s="36"/>
      <c r="P17" s="36"/>
      <c r="Q17" s="36"/>
      <c r="R17" s="36"/>
      <c r="S17" s="36"/>
      <c r="T17" s="106"/>
      <c r="U17" s="239"/>
      <c r="V17" s="6"/>
      <c r="W17" s="6"/>
    </row>
    <row r="18" spans="1:23" ht="12.75">
      <c r="A18" s="320"/>
      <c r="B18" s="239"/>
      <c r="C18" s="6"/>
      <c r="D18" s="6"/>
      <c r="E18" s="6"/>
      <c r="F18" s="195">
        <f>SUM(H18:L18)</f>
        <v>296119523.12968</v>
      </c>
      <c r="G18" s="239" t="s">
        <v>27</v>
      </c>
      <c r="H18" s="36">
        <f>1917008.46*C199</f>
        <v>76749350.70456</v>
      </c>
      <c r="I18" s="36">
        <f>1690208.33*C199</f>
        <v>67669180.69988</v>
      </c>
      <c r="J18" s="36">
        <f>2105833.34*C199</f>
        <v>84309143.60023999</v>
      </c>
      <c r="K18" s="36">
        <f>1263038.19*C199</f>
        <v>50566996.97484</v>
      </c>
      <c r="L18" s="36">
        <f>420243.06*C199</f>
        <v>16824851.15016</v>
      </c>
      <c r="M18" s="6"/>
      <c r="N18" s="36"/>
      <c r="O18" s="36"/>
      <c r="P18" s="36"/>
      <c r="Q18" s="36"/>
      <c r="R18" s="36"/>
      <c r="S18" s="36"/>
      <c r="T18" s="106"/>
      <c r="U18" s="239"/>
      <c r="V18" s="6"/>
      <c r="W18" s="6"/>
    </row>
    <row r="19" spans="1:23" ht="12.75">
      <c r="A19" s="320" t="s">
        <v>116</v>
      </c>
      <c r="B19" s="239" t="s">
        <v>6</v>
      </c>
      <c r="C19" s="7">
        <v>35268</v>
      </c>
      <c r="D19" s="6" t="s">
        <v>58</v>
      </c>
      <c r="E19" s="36">
        <f>SUM(H19:K19)</f>
        <v>3600000000</v>
      </c>
      <c r="F19" s="106"/>
      <c r="G19" s="239" t="s">
        <v>26</v>
      </c>
      <c r="H19" s="36">
        <f>900000000*C201</f>
        <v>900000000</v>
      </c>
      <c r="I19" s="36">
        <f>900000000*C201</f>
        <v>900000000</v>
      </c>
      <c r="J19" s="36">
        <f>900000000*C201</f>
        <v>900000000</v>
      </c>
      <c r="K19" s="36">
        <f>900000000*C201</f>
        <v>900000000</v>
      </c>
      <c r="L19" s="6"/>
      <c r="M19" s="36"/>
      <c r="N19" s="36"/>
      <c r="O19" s="36"/>
      <c r="P19" s="36"/>
      <c r="Q19" s="36"/>
      <c r="R19" s="36"/>
      <c r="S19" s="36"/>
      <c r="T19" s="106"/>
      <c r="U19" s="239"/>
      <c r="V19" s="6"/>
      <c r="W19" s="6"/>
    </row>
    <row r="20" spans="1:23" ht="12.75">
      <c r="A20" s="320"/>
      <c r="B20" s="239"/>
      <c r="C20" s="6"/>
      <c r="D20" s="6"/>
      <c r="E20" s="6"/>
      <c r="F20" s="195">
        <f>SUM(H20:K20)</f>
        <v>741757500</v>
      </c>
      <c r="G20" s="239" t="s">
        <v>27</v>
      </c>
      <c r="H20" s="36">
        <f>337162500*C201</f>
        <v>337162500</v>
      </c>
      <c r="I20" s="36">
        <f>236707500*C201</f>
        <v>236707500</v>
      </c>
      <c r="J20" s="36">
        <f>134587500*C201</f>
        <v>134587500</v>
      </c>
      <c r="K20" s="36">
        <f>33300000*C201</f>
        <v>33300000</v>
      </c>
      <c r="L20" s="6"/>
      <c r="M20" s="36"/>
      <c r="N20" s="36"/>
      <c r="O20" s="36"/>
      <c r="P20" s="36"/>
      <c r="Q20" s="36"/>
      <c r="R20" s="36"/>
      <c r="S20" s="36"/>
      <c r="T20" s="106"/>
      <c r="U20" s="239"/>
      <c r="V20" s="6"/>
      <c r="W20" s="6"/>
    </row>
    <row r="21" spans="1:23" ht="12.75">
      <c r="A21" s="320" t="s">
        <v>117</v>
      </c>
      <c r="B21" s="238" t="s">
        <v>41</v>
      </c>
      <c r="C21" s="64">
        <v>36503</v>
      </c>
      <c r="D21" s="6" t="s">
        <v>58</v>
      </c>
      <c r="E21" s="36">
        <f>SUM(H21:K21)</f>
        <v>1500000000</v>
      </c>
      <c r="F21" s="194"/>
      <c r="G21" s="238" t="s">
        <v>26</v>
      </c>
      <c r="H21" s="35">
        <v>1500000000</v>
      </c>
      <c r="I21" s="35"/>
      <c r="J21" s="35"/>
      <c r="K21" s="35"/>
      <c r="L21" s="9"/>
      <c r="M21" s="35"/>
      <c r="N21" s="35"/>
      <c r="O21" s="35"/>
      <c r="P21" s="35"/>
      <c r="Q21" s="35"/>
      <c r="R21" s="35"/>
      <c r="S21" s="35"/>
      <c r="T21" s="106"/>
      <c r="U21" s="239"/>
      <c r="V21" s="6"/>
      <c r="W21" s="6"/>
    </row>
    <row r="22" spans="1:23" ht="12.75">
      <c r="A22" s="320"/>
      <c r="B22" s="28"/>
      <c r="C22" s="62"/>
      <c r="D22" s="62"/>
      <c r="E22" s="62"/>
      <c r="F22" s="197">
        <f>SUM(H22:H22)</f>
        <v>163008333.33</v>
      </c>
      <c r="G22" s="28" t="s">
        <v>27</v>
      </c>
      <c r="H22" s="63">
        <f>163008333.33*C201</f>
        <v>163008333.33</v>
      </c>
      <c r="I22" s="6"/>
      <c r="J22" s="63"/>
      <c r="K22" s="36"/>
      <c r="L22" s="6"/>
      <c r="M22" s="36"/>
      <c r="N22" s="36"/>
      <c r="O22" s="36"/>
      <c r="P22" s="36"/>
      <c r="Q22" s="36"/>
      <c r="R22" s="36"/>
      <c r="S22" s="36"/>
      <c r="T22" s="106"/>
      <c r="U22" s="239"/>
      <c r="V22" s="6"/>
      <c r="W22" s="6"/>
    </row>
    <row r="23" spans="1:23" ht="12.75">
      <c r="A23" s="320" t="s">
        <v>118</v>
      </c>
      <c r="B23" s="239" t="s">
        <v>43</v>
      </c>
      <c r="C23" s="7">
        <v>36643</v>
      </c>
      <c r="D23" s="6" t="s">
        <v>58</v>
      </c>
      <c r="E23" s="36">
        <f>SUM(H23:N23)</f>
        <v>1000000000</v>
      </c>
      <c r="F23" s="106"/>
      <c r="G23" s="239" t="s">
        <v>26</v>
      </c>
      <c r="H23" s="36">
        <v>250000000</v>
      </c>
      <c r="I23" s="36">
        <v>250000000</v>
      </c>
      <c r="J23" s="36">
        <v>500000000</v>
      </c>
      <c r="K23" s="36"/>
      <c r="L23" s="6"/>
      <c r="M23" s="36"/>
      <c r="N23" s="36"/>
      <c r="O23" s="36"/>
      <c r="P23" s="36"/>
      <c r="Q23" s="36"/>
      <c r="R23" s="36"/>
      <c r="S23" s="36"/>
      <c r="T23" s="106"/>
      <c r="U23" s="239"/>
      <c r="V23" s="6"/>
      <c r="W23" s="6"/>
    </row>
    <row r="24" spans="1:23" ht="12.75">
      <c r="A24" s="320"/>
      <c r="B24" s="239"/>
      <c r="C24" s="6"/>
      <c r="D24" s="6"/>
      <c r="E24" s="6"/>
      <c r="F24" s="195">
        <f>SUM(H24:N24)</f>
        <v>171126041.64999998</v>
      </c>
      <c r="G24" s="239" t="s">
        <v>27</v>
      </c>
      <c r="H24" s="36">
        <v>91693923.6</v>
      </c>
      <c r="I24" s="36">
        <v>66932118.05</v>
      </c>
      <c r="J24" s="36">
        <v>12500000</v>
      </c>
      <c r="K24" s="35"/>
      <c r="L24" s="9"/>
      <c r="M24" s="35"/>
      <c r="N24" s="35"/>
      <c r="O24" s="35"/>
      <c r="P24" s="35"/>
      <c r="Q24" s="35"/>
      <c r="R24" s="35"/>
      <c r="S24" s="35"/>
      <c r="T24" s="106"/>
      <c r="U24" s="239"/>
      <c r="V24" s="6"/>
      <c r="W24" s="6"/>
    </row>
    <row r="25" spans="1:23" ht="12.75">
      <c r="A25" s="320" t="s">
        <v>119</v>
      </c>
      <c r="B25" s="239" t="s">
        <v>43</v>
      </c>
      <c r="C25" s="7">
        <v>36672</v>
      </c>
      <c r="D25" s="6" t="s">
        <v>58</v>
      </c>
      <c r="E25" s="36">
        <f>SUM(H25:N25)</f>
        <v>3000000000</v>
      </c>
      <c r="F25" s="106"/>
      <c r="G25" s="239" t="s">
        <v>26</v>
      </c>
      <c r="H25" s="36"/>
      <c r="I25" s="36"/>
      <c r="J25" s="36">
        <v>3000000000</v>
      </c>
      <c r="K25" s="36"/>
      <c r="L25" s="6"/>
      <c r="M25" s="36"/>
      <c r="N25" s="36"/>
      <c r="O25" s="36"/>
      <c r="P25" s="36"/>
      <c r="Q25" s="36"/>
      <c r="R25" s="36"/>
      <c r="S25" s="36"/>
      <c r="T25" s="106"/>
      <c r="U25" s="239"/>
      <c r="V25" s="6"/>
      <c r="W25" s="6"/>
    </row>
    <row r="26" spans="1:23" ht="12.75">
      <c r="A26" s="320"/>
      <c r="B26" s="239"/>
      <c r="C26" s="6"/>
      <c r="D26" s="6"/>
      <c r="E26" s="6"/>
      <c r="F26" s="195">
        <f>SUM(H26:N26)</f>
        <v>725029166.6700001</v>
      </c>
      <c r="G26" s="239" t="s">
        <v>27</v>
      </c>
      <c r="H26" s="36">
        <v>299604166.67</v>
      </c>
      <c r="I26" s="36">
        <v>300425000</v>
      </c>
      <c r="J26" s="36">
        <v>125000000</v>
      </c>
      <c r="K26" s="36"/>
      <c r="L26" s="6"/>
      <c r="M26" s="36"/>
      <c r="N26" s="36"/>
      <c r="O26" s="36"/>
      <c r="P26" s="36"/>
      <c r="Q26" s="36"/>
      <c r="R26" s="36"/>
      <c r="S26" s="36"/>
      <c r="T26" s="106"/>
      <c r="U26" s="239"/>
      <c r="V26" s="6"/>
      <c r="W26" s="6"/>
    </row>
    <row r="27" spans="1:23" ht="12.75">
      <c r="A27" s="320" t="s">
        <v>120</v>
      </c>
      <c r="B27" s="239" t="s">
        <v>15</v>
      </c>
      <c r="C27" s="7">
        <v>36717</v>
      </c>
      <c r="D27" s="6" t="s">
        <v>58</v>
      </c>
      <c r="E27" s="36">
        <f>SUM(H27:N27)</f>
        <v>4100000000</v>
      </c>
      <c r="F27" s="106"/>
      <c r="G27" s="239" t="s">
        <v>26</v>
      </c>
      <c r="H27" s="36"/>
      <c r="I27" s="36"/>
      <c r="J27" s="36">
        <v>4100000000</v>
      </c>
      <c r="K27" s="35"/>
      <c r="L27" s="9"/>
      <c r="M27" s="35"/>
      <c r="N27" s="35"/>
      <c r="O27" s="35"/>
      <c r="P27" s="35"/>
      <c r="Q27" s="35"/>
      <c r="R27" s="35"/>
      <c r="S27" s="35"/>
      <c r="T27" s="106"/>
      <c r="U27" s="239"/>
      <c r="V27" s="6"/>
      <c r="W27" s="6"/>
    </row>
    <row r="28" spans="1:56" ht="12.75">
      <c r="A28" s="320"/>
      <c r="B28" s="239"/>
      <c r="C28" s="6"/>
      <c r="D28" s="6"/>
      <c r="E28" s="6"/>
      <c r="F28" s="195">
        <f>SUM(H28:N28)</f>
        <v>1200700000</v>
      </c>
      <c r="G28" s="239" t="s">
        <v>27</v>
      </c>
      <c r="H28" s="36">
        <v>479700000</v>
      </c>
      <c r="I28" s="36">
        <v>479700000</v>
      </c>
      <c r="J28" s="36">
        <v>241300000</v>
      </c>
      <c r="K28" s="36"/>
      <c r="L28" s="6"/>
      <c r="M28" s="36"/>
      <c r="N28" s="36"/>
      <c r="O28" s="36"/>
      <c r="P28" s="36"/>
      <c r="Q28" s="36"/>
      <c r="R28" s="36"/>
      <c r="S28" s="36"/>
      <c r="T28" s="106"/>
      <c r="U28" s="239"/>
      <c r="V28" s="6"/>
      <c r="W28" s="6"/>
      <c r="BD28" s="63"/>
    </row>
    <row r="29" spans="1:26" ht="12.75">
      <c r="A29" s="320" t="s">
        <v>121</v>
      </c>
      <c r="B29" s="239" t="s">
        <v>54</v>
      </c>
      <c r="C29" s="7">
        <v>36993</v>
      </c>
      <c r="D29" s="6" t="s">
        <v>58</v>
      </c>
      <c r="E29" s="36">
        <f>SUM(H29:N29)</f>
        <v>3000000000</v>
      </c>
      <c r="F29" s="197"/>
      <c r="G29" s="239" t="s">
        <v>26</v>
      </c>
      <c r="H29" s="35"/>
      <c r="I29" s="35"/>
      <c r="J29" s="35"/>
      <c r="K29" s="35">
        <v>3000000000</v>
      </c>
      <c r="L29" s="9"/>
      <c r="M29" s="35"/>
      <c r="N29" s="35"/>
      <c r="O29" s="35"/>
      <c r="P29" s="35"/>
      <c r="Q29" s="35"/>
      <c r="R29" s="35"/>
      <c r="S29" s="35"/>
      <c r="T29" s="126"/>
      <c r="U29" s="238"/>
      <c r="V29" s="9"/>
      <c r="W29" s="6"/>
      <c r="X29" s="15"/>
      <c r="Y29" s="15"/>
      <c r="Z29" s="15"/>
    </row>
    <row r="30" spans="1:23" ht="12.75">
      <c r="A30" s="320"/>
      <c r="B30" s="28"/>
      <c r="C30" s="62"/>
      <c r="D30" s="62"/>
      <c r="E30" s="62"/>
      <c r="F30" s="195">
        <f>SUM(H30:N30)</f>
        <v>855729166.67</v>
      </c>
      <c r="G30" s="239" t="s">
        <v>27</v>
      </c>
      <c r="H30" s="63">
        <v>242624166.67</v>
      </c>
      <c r="I30" s="63">
        <v>293105000</v>
      </c>
      <c r="J30" s="63">
        <v>267900000</v>
      </c>
      <c r="K30" s="63">
        <v>52100000</v>
      </c>
      <c r="L30" s="62"/>
      <c r="M30" s="63"/>
      <c r="N30" s="63"/>
      <c r="O30" s="63"/>
      <c r="P30" s="63"/>
      <c r="Q30" s="63"/>
      <c r="R30" s="63"/>
      <c r="S30" s="63"/>
      <c r="T30" s="139"/>
      <c r="U30" s="28"/>
      <c r="V30" s="62"/>
      <c r="W30" s="62"/>
    </row>
    <row r="31" spans="1:45" ht="12.75">
      <c r="A31" s="320" t="s">
        <v>122</v>
      </c>
      <c r="B31" s="239" t="s">
        <v>57</v>
      </c>
      <c r="C31" s="7">
        <v>37253</v>
      </c>
      <c r="D31" s="6" t="s">
        <v>58</v>
      </c>
      <c r="E31" s="36">
        <f>SUM(H31:T31)</f>
        <v>6001544928.17</v>
      </c>
      <c r="F31" s="195"/>
      <c r="G31" s="239" t="s">
        <v>26</v>
      </c>
      <c r="H31" s="36">
        <f>230000000*C201</f>
        <v>230000000</v>
      </c>
      <c r="I31" s="36">
        <f>230000000*C201</f>
        <v>230000000</v>
      </c>
      <c r="J31" s="36">
        <f>230000000*C201</f>
        <v>230000000</v>
      </c>
      <c r="K31" s="36">
        <f>230000000*C201</f>
        <v>230000000</v>
      </c>
      <c r="L31" s="36">
        <f>230000000*C201</f>
        <v>230000000</v>
      </c>
      <c r="M31" s="36">
        <f>230000000*C201</f>
        <v>230000000</v>
      </c>
      <c r="N31" s="36">
        <f>230000000*C201</f>
        <v>230000000</v>
      </c>
      <c r="O31" s="36">
        <f>230000000*C201</f>
        <v>230000000</v>
      </c>
      <c r="P31" s="36">
        <f>758000000*C201</f>
        <v>758000000</v>
      </c>
      <c r="Q31" s="36">
        <f>843000000*C201</f>
        <v>843000000</v>
      </c>
      <c r="R31" s="36">
        <f>911000000*C201</f>
        <v>911000000</v>
      </c>
      <c r="S31" s="36">
        <f>843000000*C201</f>
        <v>843000000</v>
      </c>
      <c r="T31" s="195">
        <f>806544928.17*C201</f>
        <v>806544928.17</v>
      </c>
      <c r="U31" s="239"/>
      <c r="V31" s="6"/>
      <c r="W31" s="6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2.75">
      <c r="A32" s="320"/>
      <c r="B32" s="239" t="s">
        <v>59</v>
      </c>
      <c r="C32" s="6"/>
      <c r="D32" s="6"/>
      <c r="E32" s="6"/>
      <c r="F32" s="195">
        <f>SUM(H32:U32)</f>
        <v>5641218040.37</v>
      </c>
      <c r="G32" s="239" t="s">
        <v>27</v>
      </c>
      <c r="H32" s="36">
        <v>630162217.47</v>
      </c>
      <c r="I32" s="36">
        <v>607672524.9</v>
      </c>
      <c r="J32" s="36">
        <f>575766518*C201</f>
        <v>575766518</v>
      </c>
      <c r="K32" s="36">
        <f>551869518*C201</f>
        <v>551869518</v>
      </c>
      <c r="L32" s="36">
        <f>527972518*C201</f>
        <v>527972518</v>
      </c>
      <c r="M32" s="36">
        <f>504073518*C201</f>
        <v>504073518</v>
      </c>
      <c r="N32" s="36">
        <f>480178518*C201</f>
        <v>480178518</v>
      </c>
      <c r="O32" s="36">
        <f>456281518*C201</f>
        <v>456281518</v>
      </c>
      <c r="P32" s="36">
        <f>432384518*C201</f>
        <v>432384518</v>
      </c>
      <c r="Q32" s="36">
        <f>353628318*C201</f>
        <v>353628318</v>
      </c>
      <c r="R32" s="36">
        <f>266040618*C201</f>
        <v>266040618</v>
      </c>
      <c r="S32" s="36">
        <f>171387718*C201</f>
        <v>171387718</v>
      </c>
      <c r="T32" s="195">
        <f>83800018*C201</f>
        <v>83800018</v>
      </c>
      <c r="U32" s="239"/>
      <c r="V32" s="6"/>
      <c r="W32" s="6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2.75">
      <c r="A33" s="320" t="s">
        <v>123</v>
      </c>
      <c r="B33" s="239" t="s">
        <v>57</v>
      </c>
      <c r="C33" s="7">
        <v>37253</v>
      </c>
      <c r="D33" s="6" t="s">
        <v>58</v>
      </c>
      <c r="E33" s="36">
        <f>SUM(H33:T33)</f>
        <v>4177296178.82</v>
      </c>
      <c r="F33" s="195"/>
      <c r="G33" s="239" t="s">
        <v>26</v>
      </c>
      <c r="H33" s="36">
        <f>250000000*C201</f>
        <v>250000000</v>
      </c>
      <c r="I33" s="36">
        <f>300000000*C201</f>
        <v>300000000</v>
      </c>
      <c r="J33" s="36">
        <f>300000000*C201</f>
        <v>300000000</v>
      </c>
      <c r="K33" s="36">
        <f>600000000*C201</f>
        <v>600000000</v>
      </c>
      <c r="L33" s="36">
        <f>700000000*C201</f>
        <v>700000000</v>
      </c>
      <c r="M33" s="36">
        <f>800000000*C201</f>
        <v>800000000</v>
      </c>
      <c r="N33" s="36">
        <f>600000000*C201</f>
        <v>600000000</v>
      </c>
      <c r="O33" s="36">
        <f>627296178.82*C201</f>
        <v>627296178.82</v>
      </c>
      <c r="P33" s="36"/>
      <c r="Q33" s="36"/>
      <c r="R33" s="36"/>
      <c r="S33" s="36"/>
      <c r="T33" s="106"/>
      <c r="U33" s="239"/>
      <c r="V33" s="6"/>
      <c r="W33" s="6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3.5" thickBot="1">
      <c r="A34" s="320"/>
      <c r="B34" s="28" t="s">
        <v>60</v>
      </c>
      <c r="C34" s="62"/>
      <c r="D34" s="62"/>
      <c r="E34" s="62"/>
      <c r="F34" s="194">
        <f>SUM(H34:U34)</f>
        <v>2547145737.76</v>
      </c>
      <c r="G34" s="238" t="s">
        <v>27</v>
      </c>
      <c r="H34" s="36">
        <v>498236410.6</v>
      </c>
      <c r="I34" s="36">
        <v>470125677.16</v>
      </c>
      <c r="J34" s="36">
        <f>422217275*C201</f>
        <v>422217275</v>
      </c>
      <c r="K34" s="36">
        <f>387257275*C201</f>
        <v>387257275</v>
      </c>
      <c r="L34" s="36">
        <f>317457275*C201</f>
        <v>317457275</v>
      </c>
      <c r="M34" s="36">
        <f>235977275*C201</f>
        <v>235977275</v>
      </c>
      <c r="N34" s="36">
        <f>142857275*C201</f>
        <v>142857275</v>
      </c>
      <c r="O34" s="36">
        <f>73017275*C201</f>
        <v>73017275</v>
      </c>
      <c r="P34" s="63"/>
      <c r="Q34" s="63"/>
      <c r="R34" s="63"/>
      <c r="S34" s="63"/>
      <c r="T34" s="139"/>
      <c r="U34" s="28"/>
      <c r="V34" s="62"/>
      <c r="W34" s="6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23" s="2" customFormat="1" ht="14.25" thickBot="1" thickTop="1">
      <c r="A35" s="351"/>
      <c r="B35" s="287" t="s">
        <v>7</v>
      </c>
      <c r="C35" s="285"/>
      <c r="D35" s="285"/>
      <c r="E35" s="283">
        <f>SUM(E7:E33)</f>
        <v>36460664982.39516</v>
      </c>
      <c r="F35" s="286">
        <f>SUM(F7:F34)</f>
        <v>13514775078.07398</v>
      </c>
      <c r="G35" s="287"/>
      <c r="H35" s="283">
        <f aca="true" t="shared" si="0" ref="H35:T35">SUM(H7:H34)</f>
        <v>8098974403.5824</v>
      </c>
      <c r="I35" s="283">
        <f t="shared" si="0"/>
        <v>6275799439.360439</v>
      </c>
      <c r="J35" s="283">
        <f t="shared" si="0"/>
        <v>12992680783.06466</v>
      </c>
      <c r="K35" s="283">
        <f t="shared" si="0"/>
        <v>7824756031.9808</v>
      </c>
      <c r="L35" s="283">
        <f t="shared" si="0"/>
        <v>3732478781.7145205</v>
      </c>
      <c r="M35" s="283">
        <f t="shared" si="0"/>
        <v>2650671548.9124203</v>
      </c>
      <c r="N35" s="283">
        <f t="shared" si="0"/>
        <v>1544697981.8639</v>
      </c>
      <c r="O35" s="283">
        <f t="shared" si="0"/>
        <v>1386594971.8200002</v>
      </c>
      <c r="P35" s="283">
        <f t="shared" si="0"/>
        <v>1190384518</v>
      </c>
      <c r="Q35" s="283">
        <f t="shared" si="0"/>
        <v>1196628318</v>
      </c>
      <c r="R35" s="283">
        <f t="shared" si="0"/>
        <v>1177040618</v>
      </c>
      <c r="S35" s="283">
        <f t="shared" si="0"/>
        <v>1014387718</v>
      </c>
      <c r="T35" s="286">
        <f t="shared" si="0"/>
        <v>890344946.17</v>
      </c>
      <c r="U35" s="240"/>
      <c r="V35" s="299"/>
      <c r="W35" s="299"/>
    </row>
    <row r="36" spans="1:23" s="2" customFormat="1" ht="12.75">
      <c r="A36" s="321"/>
      <c r="B36" s="288"/>
      <c r="C36" s="288"/>
      <c r="D36" s="288"/>
      <c r="E36" s="289"/>
      <c r="F36" s="334">
        <f>SUM(E35:F35)</f>
        <v>49975440060.46914</v>
      </c>
      <c r="G36" s="288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358"/>
      <c r="U36" s="47"/>
      <c r="V36" s="47"/>
      <c r="W36" s="47"/>
    </row>
    <row r="37" spans="1:23" s="2" customFormat="1" ht="12.75">
      <c r="A37" s="321"/>
      <c r="B37" s="288"/>
      <c r="C37" s="288"/>
      <c r="D37" s="288"/>
      <c r="E37" s="289"/>
      <c r="F37" s="334">
        <f>SUM(H35:T35)</f>
        <v>49975440060.46914</v>
      </c>
      <c r="G37" s="288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358"/>
      <c r="U37" s="47"/>
      <c r="V37" s="47"/>
      <c r="W37" s="47"/>
    </row>
    <row r="38" spans="1:23" ht="13.5" thickBot="1">
      <c r="A38" s="320"/>
      <c r="B38" s="15"/>
      <c r="C38" s="15"/>
      <c r="D38" s="15"/>
      <c r="E38" s="15"/>
      <c r="F38" s="20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92"/>
      <c r="T38" s="359"/>
      <c r="U38" s="300"/>
      <c r="V38" s="31"/>
      <c r="W38" s="31"/>
    </row>
    <row r="39" spans="1:23" s="1" customFormat="1" ht="12.75">
      <c r="A39" s="322" t="s">
        <v>157</v>
      </c>
      <c r="B39" s="325" t="s">
        <v>17</v>
      </c>
      <c r="C39" s="326" t="s">
        <v>18</v>
      </c>
      <c r="D39" s="235" t="s">
        <v>95</v>
      </c>
      <c r="E39" s="18" t="s">
        <v>159</v>
      </c>
      <c r="F39" s="150"/>
      <c r="G39" s="20"/>
      <c r="H39" s="21"/>
      <c r="I39" s="21" t="s">
        <v>36</v>
      </c>
      <c r="J39" s="21"/>
      <c r="K39" s="21"/>
      <c r="L39" s="21"/>
      <c r="M39" s="21"/>
      <c r="N39" s="21"/>
      <c r="O39" s="21"/>
      <c r="P39" s="21"/>
      <c r="Q39" s="21"/>
      <c r="R39" s="21"/>
      <c r="S39" s="4"/>
      <c r="T39" s="193"/>
      <c r="W39" s="20"/>
    </row>
    <row r="40" spans="1:23" s="1" customFormat="1" ht="12.75">
      <c r="A40" s="323" t="s">
        <v>158</v>
      </c>
      <c r="B40" s="4"/>
      <c r="C40" s="327" t="s">
        <v>19</v>
      </c>
      <c r="D40" s="236" t="s">
        <v>89</v>
      </c>
      <c r="E40" s="329" t="s">
        <v>160</v>
      </c>
      <c r="F40" s="329" t="s">
        <v>25</v>
      </c>
      <c r="G40" s="9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79"/>
      <c r="T40" s="349"/>
      <c r="U40" s="279"/>
      <c r="W40" s="90"/>
    </row>
    <row r="41" spans="1:23" s="1" customFormat="1" ht="13.5" thickBot="1">
      <c r="A41" s="324"/>
      <c r="B41" s="91"/>
      <c r="C41" s="328" t="s">
        <v>20</v>
      </c>
      <c r="D41" s="237" t="s">
        <v>96</v>
      </c>
      <c r="E41" s="330" t="s">
        <v>26</v>
      </c>
      <c r="F41" s="331" t="s">
        <v>27</v>
      </c>
      <c r="G41" s="172"/>
      <c r="H41" s="80">
        <v>2003</v>
      </c>
      <c r="I41" s="80">
        <v>2004</v>
      </c>
      <c r="J41" s="80">
        <v>2005</v>
      </c>
      <c r="K41" s="80">
        <v>2006</v>
      </c>
      <c r="L41" s="80">
        <v>2007</v>
      </c>
      <c r="M41" s="80">
        <v>2008</v>
      </c>
      <c r="N41" s="80">
        <v>2009</v>
      </c>
      <c r="O41" s="80">
        <v>2010</v>
      </c>
      <c r="P41" s="80">
        <v>2011</v>
      </c>
      <c r="Q41" s="80">
        <v>2012</v>
      </c>
      <c r="R41" s="80">
        <v>2013</v>
      </c>
      <c r="S41" s="91">
        <v>2014</v>
      </c>
      <c r="T41" s="223">
        <v>2015</v>
      </c>
      <c r="U41" s="91">
        <v>2016</v>
      </c>
      <c r="V41" s="91">
        <v>2017</v>
      </c>
      <c r="W41" s="172">
        <v>2018</v>
      </c>
    </row>
    <row r="42" spans="1:23" ht="13.5" thickTop="1">
      <c r="A42" s="320"/>
      <c r="B42" s="241" t="s">
        <v>8</v>
      </c>
      <c r="C42" s="9"/>
      <c r="D42" s="9"/>
      <c r="E42" s="9"/>
      <c r="F42" s="126"/>
      <c r="G42" s="238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126"/>
      <c r="U42" s="238"/>
      <c r="V42" s="9"/>
      <c r="W42" s="9"/>
    </row>
    <row r="43" spans="1:23" ht="12.75">
      <c r="A43" s="320" t="s">
        <v>124</v>
      </c>
      <c r="B43" s="239" t="s">
        <v>9</v>
      </c>
      <c r="C43" s="7">
        <v>35415</v>
      </c>
      <c r="D43" s="6" t="s">
        <v>22</v>
      </c>
      <c r="E43" s="36">
        <f>SUM(K43)</f>
        <v>8007200000</v>
      </c>
      <c r="F43" s="106"/>
      <c r="G43" s="239" t="s">
        <v>26</v>
      </c>
      <c r="H43" s="36"/>
      <c r="I43" s="36"/>
      <c r="J43" s="36"/>
      <c r="K43" s="36">
        <f>200000000*C199</f>
        <v>8007200000</v>
      </c>
      <c r="L43" s="6"/>
      <c r="M43" s="36"/>
      <c r="N43" s="36"/>
      <c r="O43" s="36"/>
      <c r="P43" s="36"/>
      <c r="Q43" s="36"/>
      <c r="R43" s="36"/>
      <c r="S43" s="36"/>
      <c r="T43" s="106"/>
      <c r="U43" s="239"/>
      <c r="V43" s="6"/>
      <c r="W43" s="6"/>
    </row>
    <row r="44" spans="1:23" ht="13.5" thickBot="1">
      <c r="A44" s="320"/>
      <c r="B44" s="56"/>
      <c r="C44" s="14"/>
      <c r="D44" s="14"/>
      <c r="E44" s="14"/>
      <c r="F44" s="214">
        <f>SUM(H44:K44)</f>
        <v>2322088000</v>
      </c>
      <c r="G44" s="56" t="s">
        <v>27</v>
      </c>
      <c r="H44" s="37">
        <f>14500000*C199</f>
        <v>580522000</v>
      </c>
      <c r="I44" s="37">
        <f>14500000*C199</f>
        <v>580522000</v>
      </c>
      <c r="J44" s="37">
        <f>14500000*C199</f>
        <v>580522000</v>
      </c>
      <c r="K44" s="37">
        <f>14500000*C199</f>
        <v>580522000</v>
      </c>
      <c r="L44" s="14"/>
      <c r="M44" s="37"/>
      <c r="N44" s="37"/>
      <c r="O44" s="37"/>
      <c r="P44" s="37"/>
      <c r="Q44" s="37"/>
      <c r="R44" s="37"/>
      <c r="S44" s="37"/>
      <c r="T44" s="105"/>
      <c r="U44" s="56"/>
      <c r="V44" s="14"/>
      <c r="W44" s="14"/>
    </row>
    <row r="45" spans="1:23" s="2" customFormat="1" ht="14.25" thickBot="1" thickTop="1">
      <c r="A45" s="351"/>
      <c r="B45" s="133" t="s">
        <v>7</v>
      </c>
      <c r="C45" s="30"/>
      <c r="D45" s="30"/>
      <c r="E45" s="39">
        <f>SUM(E43:E44)</f>
        <v>8007200000</v>
      </c>
      <c r="F45" s="247">
        <f>SUM(F43:F44)</f>
        <v>2322088000</v>
      </c>
      <c r="G45" s="133"/>
      <c r="H45" s="39">
        <f>SUM(H43:H44)</f>
        <v>580522000</v>
      </c>
      <c r="I45" s="39">
        <f>SUM(I43:I44)</f>
        <v>580522000</v>
      </c>
      <c r="J45" s="39">
        <f>SUM(J43:J44)</f>
        <v>580522000</v>
      </c>
      <c r="K45" s="39">
        <f>SUM(K43:K44)</f>
        <v>8587722000</v>
      </c>
      <c r="L45" s="30"/>
      <c r="M45" s="30"/>
      <c r="N45" s="30"/>
      <c r="O45" s="30"/>
      <c r="P45" s="30"/>
      <c r="Q45" s="30"/>
      <c r="R45" s="30"/>
      <c r="S45" s="30"/>
      <c r="T45" s="111"/>
      <c r="U45" s="240"/>
      <c r="V45" s="16"/>
      <c r="W45" s="16"/>
    </row>
    <row r="46" spans="1:23" s="2" customFormat="1" ht="12.75">
      <c r="A46" s="321"/>
      <c r="B46" s="47"/>
      <c r="C46" s="47"/>
      <c r="D46" s="47"/>
      <c r="E46" s="60"/>
      <c r="F46" s="334">
        <f>SUM(E45:F45)</f>
        <v>10329288000</v>
      </c>
      <c r="G46" s="47"/>
      <c r="H46" s="60"/>
      <c r="I46" s="60"/>
      <c r="J46" s="60"/>
      <c r="K46" s="60"/>
      <c r="L46" s="47"/>
      <c r="M46" s="47"/>
      <c r="N46" s="47"/>
      <c r="O46" s="47"/>
      <c r="P46" s="47"/>
      <c r="Q46" s="47"/>
      <c r="R46" s="47"/>
      <c r="S46" s="47"/>
      <c r="T46" s="360"/>
      <c r="U46" s="47"/>
      <c r="V46" s="47"/>
      <c r="W46" s="47"/>
    </row>
    <row r="47" spans="1:23" s="2" customFormat="1" ht="12.75">
      <c r="A47" s="321"/>
      <c r="B47" s="47"/>
      <c r="C47" s="47"/>
      <c r="D47" s="47"/>
      <c r="E47" s="60"/>
      <c r="F47" s="334">
        <f>SUM(H45:O45)</f>
        <v>10329288000</v>
      </c>
      <c r="G47" s="47"/>
      <c r="H47" s="60"/>
      <c r="I47" s="60"/>
      <c r="J47" s="60"/>
      <c r="K47" s="60"/>
      <c r="L47" s="47"/>
      <c r="M47" s="47"/>
      <c r="N47" s="47"/>
      <c r="O47" s="47"/>
      <c r="P47" s="47"/>
      <c r="Q47" s="47"/>
      <c r="R47" s="47"/>
      <c r="S47" s="47"/>
      <c r="T47" s="360"/>
      <c r="U47" s="47"/>
      <c r="V47" s="47"/>
      <c r="W47" s="47"/>
    </row>
    <row r="48" spans="1:23" ht="13.5" thickBot="1">
      <c r="A48" s="320"/>
      <c r="B48" s="15"/>
      <c r="C48" s="15"/>
      <c r="D48" s="15"/>
      <c r="E48" s="15"/>
      <c r="F48" s="202"/>
      <c r="G48" s="15"/>
      <c r="H48" s="15"/>
      <c r="I48" s="92"/>
      <c r="J48" s="15"/>
      <c r="K48" s="15"/>
      <c r="L48" s="15"/>
      <c r="M48" s="15"/>
      <c r="N48" s="15"/>
      <c r="O48" s="15"/>
      <c r="P48" s="15"/>
      <c r="Q48" s="15"/>
      <c r="R48" s="15"/>
      <c r="S48" s="92"/>
      <c r="T48" s="359"/>
      <c r="U48" s="92"/>
      <c r="V48" s="92"/>
      <c r="W48" s="92"/>
    </row>
    <row r="49" spans="1:23" s="1" customFormat="1" ht="12.75">
      <c r="A49" s="322" t="s">
        <v>157</v>
      </c>
      <c r="B49" s="325" t="s">
        <v>17</v>
      </c>
      <c r="C49" s="326" t="s">
        <v>18</v>
      </c>
      <c r="D49" s="235" t="s">
        <v>95</v>
      </c>
      <c r="E49" s="18" t="s">
        <v>159</v>
      </c>
      <c r="F49" s="150"/>
      <c r="G49" s="20"/>
      <c r="H49" s="21"/>
      <c r="I49" s="21" t="s">
        <v>36</v>
      </c>
      <c r="J49" s="21"/>
      <c r="K49" s="21"/>
      <c r="L49" s="21"/>
      <c r="M49" s="21"/>
      <c r="N49" s="21"/>
      <c r="O49" s="21"/>
      <c r="P49" s="21"/>
      <c r="Q49" s="21"/>
      <c r="R49" s="21"/>
      <c r="S49" s="4"/>
      <c r="T49" s="193"/>
      <c r="W49" s="20"/>
    </row>
    <row r="50" spans="1:23" s="1" customFormat="1" ht="12.75">
      <c r="A50" s="323" t="s">
        <v>158</v>
      </c>
      <c r="B50" s="4"/>
      <c r="C50" s="327" t="s">
        <v>19</v>
      </c>
      <c r="D50" s="236" t="s">
        <v>89</v>
      </c>
      <c r="E50" s="329" t="s">
        <v>160</v>
      </c>
      <c r="F50" s="329" t="s">
        <v>25</v>
      </c>
      <c r="G50" s="9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279"/>
      <c r="T50" s="349"/>
      <c r="U50" s="279"/>
      <c r="W50" s="90"/>
    </row>
    <row r="51" spans="1:23" s="1" customFormat="1" ht="13.5" thickBot="1">
      <c r="A51" s="324"/>
      <c r="B51" s="91"/>
      <c r="C51" s="328" t="s">
        <v>20</v>
      </c>
      <c r="D51" s="237" t="s">
        <v>96</v>
      </c>
      <c r="E51" s="330" t="s">
        <v>26</v>
      </c>
      <c r="F51" s="331" t="s">
        <v>27</v>
      </c>
      <c r="G51" s="172"/>
      <c r="H51" s="80">
        <v>2003</v>
      </c>
      <c r="I51" s="80">
        <v>2004</v>
      </c>
      <c r="J51" s="80">
        <v>2005</v>
      </c>
      <c r="K51" s="80">
        <v>2006</v>
      </c>
      <c r="L51" s="80">
        <v>2007</v>
      </c>
      <c r="M51" s="80">
        <v>2008</v>
      </c>
      <c r="N51" s="80">
        <v>2009</v>
      </c>
      <c r="O51" s="80">
        <v>2010</v>
      </c>
      <c r="P51" s="80">
        <v>2011</v>
      </c>
      <c r="Q51" s="80">
        <v>2012</v>
      </c>
      <c r="R51" s="80">
        <v>2013</v>
      </c>
      <c r="S51" s="91">
        <v>2014</v>
      </c>
      <c r="T51" s="223">
        <v>2015</v>
      </c>
      <c r="U51" s="91">
        <v>2016</v>
      </c>
      <c r="V51" s="91">
        <v>2017</v>
      </c>
      <c r="W51" s="172">
        <v>2018</v>
      </c>
    </row>
    <row r="52" spans="1:23" ht="13.5" thickTop="1">
      <c r="A52" s="320"/>
      <c r="B52" s="241" t="s">
        <v>42</v>
      </c>
      <c r="C52" s="9"/>
      <c r="D52" s="9"/>
      <c r="E52" s="9"/>
      <c r="F52" s="126"/>
      <c r="G52" s="238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06"/>
      <c r="U52" s="239"/>
      <c r="V52" s="6"/>
      <c r="W52" s="6"/>
    </row>
    <row r="53" spans="1:23" ht="12.75">
      <c r="A53" s="320" t="s">
        <v>125</v>
      </c>
      <c r="B53" s="239" t="s">
        <v>62</v>
      </c>
      <c r="C53" s="7">
        <v>34150</v>
      </c>
      <c r="D53" s="6" t="s">
        <v>24</v>
      </c>
      <c r="E53" s="36">
        <f>SUM(H53:M53)</f>
        <v>344306813.87348</v>
      </c>
      <c r="F53" s="106"/>
      <c r="G53" s="239" t="s">
        <v>26</v>
      </c>
      <c r="H53" s="36">
        <f>1500437.16*C200</f>
        <v>62601239.18952</v>
      </c>
      <c r="I53" s="36">
        <f>1500437.16*C200</f>
        <v>62601239.18952</v>
      </c>
      <c r="J53" s="36">
        <f>1500437.16*C200</f>
        <v>62601239.18952</v>
      </c>
      <c r="K53" s="36">
        <f>1500437.16*C200</f>
        <v>62601239.18952</v>
      </c>
      <c r="L53" s="36">
        <f>1500437.16*C200</f>
        <v>62601239.18952</v>
      </c>
      <c r="M53" s="36">
        <f>750218.54*C200</f>
        <v>31300617.925880004</v>
      </c>
      <c r="N53" s="36"/>
      <c r="O53" s="36"/>
      <c r="P53" s="36"/>
      <c r="Q53" s="36"/>
      <c r="R53" s="36"/>
      <c r="S53" s="36"/>
      <c r="T53" s="106"/>
      <c r="U53" s="239"/>
      <c r="V53" s="6"/>
      <c r="W53" s="6"/>
    </row>
    <row r="54" spans="1:23" ht="12.75">
      <c r="A54" s="320"/>
      <c r="B54" s="239"/>
      <c r="C54" s="6"/>
      <c r="D54" s="6"/>
      <c r="E54" s="6"/>
      <c r="F54" s="195">
        <f>SUM(H54:M54)</f>
        <v>66236859.22304</v>
      </c>
      <c r="G54" s="239" t="s">
        <v>27</v>
      </c>
      <c r="H54" s="36">
        <f>505137.93*C200</f>
        <v>21075364.71546</v>
      </c>
      <c r="I54" s="36">
        <f>408921.18*C200</f>
        <v>17061009.47196</v>
      </c>
      <c r="J54" s="36">
        <f>312704.43*C200</f>
        <v>13046654.22846</v>
      </c>
      <c r="K54" s="36">
        <f>216487.69*C200</f>
        <v>9032299.402180001</v>
      </c>
      <c r="L54" s="36">
        <f>120270.93*C200</f>
        <v>5017943.74146</v>
      </c>
      <c r="M54" s="36">
        <f>24054.16*C200</f>
        <v>1003587.6635200001</v>
      </c>
      <c r="N54" s="36"/>
      <c r="O54" s="36"/>
      <c r="P54" s="36"/>
      <c r="Q54" s="36"/>
      <c r="R54" s="36"/>
      <c r="S54" s="36"/>
      <c r="T54" s="106"/>
      <c r="U54" s="239"/>
      <c r="V54" s="6"/>
      <c r="W54" s="6"/>
    </row>
    <row r="55" spans="1:23" ht="12.75">
      <c r="A55" s="320" t="s">
        <v>126</v>
      </c>
      <c r="B55" s="239" t="s">
        <v>11</v>
      </c>
      <c r="C55" s="7">
        <v>34470</v>
      </c>
      <c r="D55" s="6" t="s">
        <v>22</v>
      </c>
      <c r="E55" s="36">
        <f>SUM(H55:O55)</f>
        <v>1471793713.66136</v>
      </c>
      <c r="F55" s="106"/>
      <c r="G55" s="239" t="s">
        <v>26</v>
      </c>
      <c r="H55" s="36">
        <f>3331857.04*C199</f>
        <v>133394228.45344001</v>
      </c>
      <c r="I55" s="36">
        <f>3674700*C199</f>
        <v>147120289.20000002</v>
      </c>
      <c r="J55" s="36">
        <f>3958700*C199</f>
        <v>158490513.20000002</v>
      </c>
      <c r="K55" s="36">
        <f>4251800*C199</f>
        <v>170225064.8</v>
      </c>
      <c r="L55" s="36">
        <f>4576500*C199</f>
        <v>183224754</v>
      </c>
      <c r="M55" s="36">
        <f>4923600*C199</f>
        <v>197121249.6</v>
      </c>
      <c r="N55" s="36">
        <f>5293400*C199</f>
        <v>211926562.4</v>
      </c>
      <c r="O55" s="36">
        <f>(5695799+1055401.22)*C199</f>
        <v>270291052.00792</v>
      </c>
      <c r="P55" s="6"/>
      <c r="Q55" s="36"/>
      <c r="R55" s="36"/>
      <c r="S55" s="36"/>
      <c r="T55" s="106"/>
      <c r="U55" s="239"/>
      <c r="V55" s="6"/>
      <c r="W55" s="6"/>
    </row>
    <row r="56" spans="1:23" ht="12.75">
      <c r="A56" s="320"/>
      <c r="B56" s="242"/>
      <c r="C56" s="43"/>
      <c r="D56" s="43"/>
      <c r="E56" s="6"/>
      <c r="F56" s="195">
        <f>SUM(H56:O56)</f>
        <v>244351931.39116</v>
      </c>
      <c r="G56" s="239" t="s">
        <v>27</v>
      </c>
      <c r="H56" s="36">
        <f>951017.57*C199</f>
        <v>38074939.43252</v>
      </c>
      <c r="I56" s="36">
        <f>665031.83*C199</f>
        <v>26625214.345879998</v>
      </c>
      <c r="J56" s="36">
        <f>922052.29*C199</f>
        <v>36915285.48244</v>
      </c>
      <c r="K56" s="36">
        <f>1024129.24*C199</f>
        <v>41002038.25264</v>
      </c>
      <c r="L56" s="36">
        <f>958851.51*C199</f>
        <v>38388579.05436</v>
      </c>
      <c r="M56" s="36">
        <f>781456.19*C199</f>
        <v>31286380.02284</v>
      </c>
      <c r="N56" s="36">
        <f>549179.5*C199</f>
        <v>21986950.462</v>
      </c>
      <c r="O56" s="36">
        <f>251587.18*C199</f>
        <v>10072544.33848</v>
      </c>
      <c r="P56" s="6"/>
      <c r="Q56" s="36"/>
      <c r="R56" s="36"/>
      <c r="S56" s="36"/>
      <c r="T56" s="106"/>
      <c r="U56" s="239"/>
      <c r="V56" s="6"/>
      <c r="W56" s="6"/>
    </row>
    <row r="57" spans="1:23" ht="12.75">
      <c r="A57" s="320" t="s">
        <v>127</v>
      </c>
      <c r="B57" s="238" t="s">
        <v>47</v>
      </c>
      <c r="C57" s="64">
        <v>34582</v>
      </c>
      <c r="D57" s="9" t="s">
        <v>24</v>
      </c>
      <c r="E57" s="36">
        <f>SUM(H57:N57)</f>
        <v>280747123.1317</v>
      </c>
      <c r="F57" s="106"/>
      <c r="G57" s="239" t="s">
        <v>26</v>
      </c>
      <c r="H57" s="36">
        <f>961284.98*C200</f>
        <v>40106731.93556</v>
      </c>
      <c r="I57" s="36">
        <f>961284.98*C200</f>
        <v>40106731.93556</v>
      </c>
      <c r="J57" s="36">
        <f>961284.98*C200</f>
        <v>40106731.93556</v>
      </c>
      <c r="K57" s="36">
        <f>961284.98*C200</f>
        <v>40106731.93556</v>
      </c>
      <c r="L57" s="36">
        <f>961284.98*C200</f>
        <v>40106731.93556</v>
      </c>
      <c r="M57" s="36">
        <f>961284.98*C200</f>
        <v>40106731.93556</v>
      </c>
      <c r="N57" s="36">
        <f>961284.97*C200</f>
        <v>40106731.51834</v>
      </c>
      <c r="O57" s="6"/>
      <c r="P57" s="36"/>
      <c r="Q57" s="36"/>
      <c r="R57" s="36"/>
      <c r="S57" s="36"/>
      <c r="T57" s="106"/>
      <c r="U57" s="239"/>
      <c r="V57" s="6"/>
      <c r="W57" s="6"/>
    </row>
    <row r="58" spans="1:23" ht="13.5" thickBot="1">
      <c r="A58" s="320"/>
      <c r="B58" s="56"/>
      <c r="C58" s="14"/>
      <c r="D58" s="14"/>
      <c r="E58" s="14"/>
      <c r="F58" s="214">
        <f>SUM(H58:N58)</f>
        <v>67379309.80194</v>
      </c>
      <c r="G58" s="56" t="s">
        <v>27</v>
      </c>
      <c r="H58" s="37">
        <f>415275.12*C200</f>
        <v>17326108.55664</v>
      </c>
      <c r="I58" s="37">
        <f>353752.88*C200</f>
        <v>14759277.65936</v>
      </c>
      <c r="J58" s="37">
        <f>292230.64*C200</f>
        <v>12192446.76208</v>
      </c>
      <c r="K58" s="37">
        <f>230708.4*C200</f>
        <v>9625615.8648</v>
      </c>
      <c r="L58" s="37">
        <f>169186.16*C200</f>
        <v>7058784.96752</v>
      </c>
      <c r="M58" s="37">
        <f>107663.92*C200</f>
        <v>4491954.07024</v>
      </c>
      <c r="N58" s="37">
        <f>46141.65*C200</f>
        <v>1925121.9213</v>
      </c>
      <c r="O58" s="14"/>
      <c r="P58" s="37"/>
      <c r="Q58" s="37"/>
      <c r="R58" s="37"/>
      <c r="S58" s="37"/>
      <c r="T58" s="105"/>
      <c r="U58" s="56"/>
      <c r="V58" s="14"/>
      <c r="W58" s="14"/>
    </row>
    <row r="59" spans="1:23" s="2" customFormat="1" ht="14.25" thickBot="1" thickTop="1">
      <c r="A59" s="351"/>
      <c r="B59" s="133" t="s">
        <v>7</v>
      </c>
      <c r="C59" s="30"/>
      <c r="D59" s="30"/>
      <c r="E59" s="39">
        <f>SUM(E53:E58)</f>
        <v>2096847650.6665401</v>
      </c>
      <c r="F59" s="247">
        <f>SUM(F53:F58)</f>
        <v>377968100.41613996</v>
      </c>
      <c r="G59" s="133"/>
      <c r="H59" s="39">
        <f aca="true" t="shared" si="1" ref="H59:O59">SUM(H53:H58)</f>
        <v>312578612.28314006</v>
      </c>
      <c r="I59" s="39">
        <f t="shared" si="1"/>
        <v>308273761.80228</v>
      </c>
      <c r="J59" s="39">
        <f t="shared" si="1"/>
        <v>323352870.79806</v>
      </c>
      <c r="K59" s="39">
        <f t="shared" si="1"/>
        <v>332592989.4447</v>
      </c>
      <c r="L59" s="39">
        <f t="shared" si="1"/>
        <v>336398032.88842</v>
      </c>
      <c r="M59" s="39">
        <f t="shared" si="1"/>
        <v>305310521.21804</v>
      </c>
      <c r="N59" s="39">
        <f t="shared" si="1"/>
        <v>275945366.30164003</v>
      </c>
      <c r="O59" s="39">
        <f t="shared" si="1"/>
        <v>280363596.3464</v>
      </c>
      <c r="P59" s="39"/>
      <c r="Q59" s="39"/>
      <c r="R59" s="39"/>
      <c r="S59" s="39"/>
      <c r="T59" s="111"/>
      <c r="U59" s="240"/>
      <c r="V59" s="16"/>
      <c r="W59" s="30"/>
    </row>
    <row r="60" spans="1:23" s="2" customFormat="1" ht="13.5" thickBot="1">
      <c r="A60" s="321"/>
      <c r="B60" s="47"/>
      <c r="C60" s="47"/>
      <c r="D60" s="47"/>
      <c r="E60" s="60"/>
      <c r="F60" s="334">
        <f>SUM(E59:F59)</f>
        <v>2474815751.08268</v>
      </c>
      <c r="G60" s="47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360"/>
      <c r="U60" s="47"/>
      <c r="V60" s="47"/>
      <c r="W60" s="133"/>
    </row>
    <row r="61" spans="1:23" s="2" customFormat="1" ht="13.5" thickBot="1">
      <c r="A61" s="351"/>
      <c r="B61" s="157"/>
      <c r="C61" s="157"/>
      <c r="D61" s="157"/>
      <c r="E61" s="361"/>
      <c r="F61" s="362">
        <f>SUM(H59:P59)</f>
        <v>2474815751.0826797</v>
      </c>
      <c r="G61" s="157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298"/>
      <c r="U61" s="47"/>
      <c r="V61" s="47"/>
      <c r="W61" s="133"/>
    </row>
    <row r="62" spans="1:23" ht="13.5" thickBot="1">
      <c r="A62" s="320"/>
      <c r="B62" s="15"/>
      <c r="C62" s="15"/>
      <c r="D62" s="15"/>
      <c r="E62" s="58"/>
      <c r="F62" s="248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92"/>
      <c r="T62" s="92"/>
      <c r="U62" s="92"/>
      <c r="V62" s="92"/>
      <c r="W62" s="357"/>
    </row>
    <row r="63" spans="1:23" s="1" customFormat="1" ht="12.75">
      <c r="A63" s="322" t="s">
        <v>157</v>
      </c>
      <c r="B63" s="325" t="s">
        <v>17</v>
      </c>
      <c r="C63" s="326" t="s">
        <v>18</v>
      </c>
      <c r="D63" s="235" t="s">
        <v>95</v>
      </c>
      <c r="E63" s="18" t="s">
        <v>159</v>
      </c>
      <c r="F63" s="150"/>
      <c r="G63" s="20"/>
      <c r="H63" s="21"/>
      <c r="I63" s="21" t="s">
        <v>36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50"/>
      <c r="W63" s="20"/>
    </row>
    <row r="64" spans="1:23" s="1" customFormat="1" ht="12.75">
      <c r="A64" s="323" t="s">
        <v>158</v>
      </c>
      <c r="B64" s="4"/>
      <c r="C64" s="327" t="s">
        <v>19</v>
      </c>
      <c r="D64" s="236" t="s">
        <v>89</v>
      </c>
      <c r="E64" s="329" t="s">
        <v>160</v>
      </c>
      <c r="F64" s="329" t="s">
        <v>25</v>
      </c>
      <c r="G64" s="9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279"/>
      <c r="T64" s="349"/>
      <c r="W64" s="90"/>
    </row>
    <row r="65" spans="1:23" s="1" customFormat="1" ht="13.5" thickBot="1">
      <c r="A65" s="324"/>
      <c r="B65" s="91"/>
      <c r="C65" s="328" t="s">
        <v>20</v>
      </c>
      <c r="D65" s="237" t="s">
        <v>96</v>
      </c>
      <c r="E65" s="330" t="s">
        <v>26</v>
      </c>
      <c r="F65" s="331" t="s">
        <v>27</v>
      </c>
      <c r="G65" s="172"/>
      <c r="H65" s="80">
        <v>2003</v>
      </c>
      <c r="I65" s="80">
        <v>2004</v>
      </c>
      <c r="J65" s="80">
        <v>2005</v>
      </c>
      <c r="K65" s="80">
        <v>2006</v>
      </c>
      <c r="L65" s="80">
        <v>2007</v>
      </c>
      <c r="M65" s="80">
        <v>2008</v>
      </c>
      <c r="N65" s="80">
        <v>2009</v>
      </c>
      <c r="O65" s="80">
        <v>2010</v>
      </c>
      <c r="P65" s="80">
        <v>2011</v>
      </c>
      <c r="Q65" s="80">
        <v>2012</v>
      </c>
      <c r="R65" s="80">
        <v>2013</v>
      </c>
      <c r="S65" s="91">
        <v>2014</v>
      </c>
      <c r="T65" s="223">
        <v>2015</v>
      </c>
      <c r="U65" s="91">
        <v>2016</v>
      </c>
      <c r="V65" s="91">
        <v>2017</v>
      </c>
      <c r="W65" s="172">
        <v>2018</v>
      </c>
    </row>
    <row r="66" spans="1:23" ht="13.5" thickTop="1">
      <c r="A66" s="320"/>
      <c r="B66" s="305" t="s">
        <v>14</v>
      </c>
      <c r="C66" s="9"/>
      <c r="D66" s="9"/>
      <c r="E66" s="9"/>
      <c r="F66" s="126"/>
      <c r="G66" s="238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106"/>
      <c r="U66" s="239"/>
      <c r="V66" s="6"/>
      <c r="W66" s="106"/>
    </row>
    <row r="67" spans="1:23" ht="12.75">
      <c r="A67" s="320" t="s">
        <v>128</v>
      </c>
      <c r="B67" s="306" t="s">
        <v>78</v>
      </c>
      <c r="C67" s="7">
        <v>36364</v>
      </c>
      <c r="D67" s="6" t="s">
        <v>24</v>
      </c>
      <c r="E67" s="36">
        <f>SUM(H67:S67)</f>
        <v>5006640000</v>
      </c>
      <c r="F67" s="106"/>
      <c r="G67" s="239" t="s">
        <v>26</v>
      </c>
      <c r="H67" s="36"/>
      <c r="I67" s="36">
        <f>6000000*C200</f>
        <v>250332000</v>
      </c>
      <c r="J67" s="36">
        <f>12000000*C200</f>
        <v>500664000</v>
      </c>
      <c r="K67" s="36">
        <f>12000000*C200</f>
        <v>500664000</v>
      </c>
      <c r="L67" s="36">
        <f>12000000*C200</f>
        <v>500664000</v>
      </c>
      <c r="M67" s="36">
        <f>12000000*C200</f>
        <v>500664000</v>
      </c>
      <c r="N67" s="36">
        <f>12000000*C200</f>
        <v>500664000</v>
      </c>
      <c r="O67" s="36">
        <f>12000000*C200</f>
        <v>500664000</v>
      </c>
      <c r="P67" s="36">
        <f>12000000*C200</f>
        <v>500664000</v>
      </c>
      <c r="Q67" s="36">
        <f>12000000*C200</f>
        <v>500664000</v>
      </c>
      <c r="R67" s="36">
        <f>12000000*C200</f>
        <v>500664000</v>
      </c>
      <c r="S67" s="36">
        <f>6000000*C200</f>
        <v>250332000</v>
      </c>
      <c r="T67" s="106"/>
      <c r="U67" s="239"/>
      <c r="V67" s="6"/>
      <c r="W67" s="106"/>
    </row>
    <row r="68" spans="1:23" ht="12.75">
      <c r="A68" s="320"/>
      <c r="B68" s="307"/>
      <c r="C68" s="7"/>
      <c r="D68" s="6"/>
      <c r="E68" s="99"/>
      <c r="F68" s="195">
        <f>SUM(H68:S68)</f>
        <v>1706638410</v>
      </c>
      <c r="G68" s="239" t="s">
        <v>27</v>
      </c>
      <c r="H68" s="36">
        <f>6060000*C200</f>
        <v>252835320</v>
      </c>
      <c r="I68" s="36">
        <f>6060000*C200</f>
        <v>252835320</v>
      </c>
      <c r="J68" s="36">
        <f>5605500*C200</f>
        <v>233872671</v>
      </c>
      <c r="K68" s="36">
        <f>4999500*C200</f>
        <v>208589139</v>
      </c>
      <c r="L68" s="36">
        <f>4393500*C200</f>
        <v>183305607</v>
      </c>
      <c r="M68" s="36">
        <f>3787500*C200</f>
        <v>158022075</v>
      </c>
      <c r="N68" s="36">
        <f>3181500*C200</f>
        <v>132738543</v>
      </c>
      <c r="O68" s="36">
        <f>2575500*C200</f>
        <v>107455011</v>
      </c>
      <c r="P68" s="36">
        <f>1969500*C200</f>
        <v>82171479</v>
      </c>
      <c r="Q68" s="36">
        <f>1363500*C200</f>
        <v>56887947</v>
      </c>
      <c r="R68" s="36">
        <f>757500*C200</f>
        <v>31604415</v>
      </c>
      <c r="S68" s="36">
        <f>151500*C200</f>
        <v>6320883</v>
      </c>
      <c r="T68" s="106"/>
      <c r="U68" s="239"/>
      <c r="V68" s="6"/>
      <c r="W68" s="106"/>
    </row>
    <row r="69" spans="1:23" ht="12.75">
      <c r="A69" s="320" t="s">
        <v>129</v>
      </c>
      <c r="B69" s="306" t="s">
        <v>79</v>
      </c>
      <c r="C69" s="7">
        <v>36623</v>
      </c>
      <c r="D69" s="6" t="s">
        <v>24</v>
      </c>
      <c r="E69" s="58">
        <f>SUM(I69:S69)</f>
        <v>834440000</v>
      </c>
      <c r="F69" s="106"/>
      <c r="G69" s="239" t="s">
        <v>26</v>
      </c>
      <c r="H69" s="36"/>
      <c r="I69" s="36">
        <f>1000000*C200</f>
        <v>41722000</v>
      </c>
      <c r="J69" s="36">
        <f>2000000*C200</f>
        <v>83444000</v>
      </c>
      <c r="K69" s="36">
        <f>2000000*C200</f>
        <v>83444000</v>
      </c>
      <c r="L69" s="36">
        <f>2000000*C200</f>
        <v>83444000</v>
      </c>
      <c r="M69" s="36">
        <f>2000000*C200</f>
        <v>83444000</v>
      </c>
      <c r="N69" s="36">
        <f>2000000*C200</f>
        <v>83444000</v>
      </c>
      <c r="O69" s="36">
        <f>2000000*C200</f>
        <v>83444000</v>
      </c>
      <c r="P69" s="36">
        <f>2000000*C200</f>
        <v>83444000</v>
      </c>
      <c r="Q69" s="36">
        <f>2000000*C200</f>
        <v>83444000</v>
      </c>
      <c r="R69" s="36">
        <f>2000000*C200</f>
        <v>83444000</v>
      </c>
      <c r="S69" s="36">
        <f>1000000*C200</f>
        <v>41722000</v>
      </c>
      <c r="T69" s="106"/>
      <c r="U69" s="239"/>
      <c r="V69" s="6"/>
      <c r="W69" s="106"/>
    </row>
    <row r="70" spans="1:23" ht="12.75">
      <c r="A70" s="320"/>
      <c r="B70" s="307"/>
      <c r="C70" s="6"/>
      <c r="D70" s="6"/>
      <c r="E70" s="6"/>
      <c r="F70" s="248">
        <f>SUM(H70:S70)</f>
        <v>318797802</v>
      </c>
      <c r="G70" s="239" t="s">
        <v>27</v>
      </c>
      <c r="H70" s="36">
        <f>1132000*C200</f>
        <v>47229304</v>
      </c>
      <c r="I70" s="36">
        <f>1132000*C200</f>
        <v>47229304</v>
      </c>
      <c r="J70" s="36">
        <f>1047100*C200</f>
        <v>43687106.2</v>
      </c>
      <c r="K70" s="36">
        <f>933900*C200</f>
        <v>38964175.800000004</v>
      </c>
      <c r="L70" s="36">
        <f>820700*C200</f>
        <v>34241245.4</v>
      </c>
      <c r="M70" s="36">
        <f>707500*C200</f>
        <v>29518315</v>
      </c>
      <c r="N70" s="36">
        <f>594300*C200</f>
        <v>24795384.6</v>
      </c>
      <c r="O70" s="36">
        <f>481100*C200</f>
        <v>20072454.2</v>
      </c>
      <c r="P70" s="36">
        <f>367900*C200</f>
        <v>15349523.8</v>
      </c>
      <c r="Q70" s="36">
        <f>254700*C200</f>
        <v>10626593.4</v>
      </c>
      <c r="R70" s="36">
        <f>141500*C200</f>
        <v>5903663</v>
      </c>
      <c r="S70" s="36">
        <f>28300*C200</f>
        <v>1180732.6</v>
      </c>
      <c r="T70" s="106"/>
      <c r="U70" s="239"/>
      <c r="V70" s="6"/>
      <c r="W70" s="106"/>
    </row>
    <row r="71" spans="1:23" ht="12.75">
      <c r="A71" s="320" t="s">
        <v>130</v>
      </c>
      <c r="B71" s="306" t="s">
        <v>68</v>
      </c>
      <c r="C71" s="7">
        <v>36672</v>
      </c>
      <c r="D71" s="6" t="s">
        <v>24</v>
      </c>
      <c r="E71" s="58">
        <f>SUM(I71:S71)</f>
        <v>6466910000</v>
      </c>
      <c r="F71" s="106"/>
      <c r="G71" s="239" t="s">
        <v>26</v>
      </c>
      <c r="H71" s="36"/>
      <c r="I71" s="36"/>
      <c r="J71" s="36"/>
      <c r="K71" s="36"/>
      <c r="L71" s="58">
        <f>155000000*C200</f>
        <v>6466910000</v>
      </c>
      <c r="M71" s="36"/>
      <c r="N71" s="36"/>
      <c r="O71" s="36"/>
      <c r="P71" s="36"/>
      <c r="Q71" s="36"/>
      <c r="R71" s="36"/>
      <c r="S71" s="36"/>
      <c r="T71" s="106"/>
      <c r="U71" s="239"/>
      <c r="V71" s="6"/>
      <c r="W71" s="106"/>
    </row>
    <row r="72" spans="1:23" ht="12.75">
      <c r="A72" s="320"/>
      <c r="B72" s="307"/>
      <c r="C72" s="6"/>
      <c r="D72" s="6"/>
      <c r="E72" s="6"/>
      <c r="F72" s="195">
        <f>SUM(H72:S72)</f>
        <v>2586764000</v>
      </c>
      <c r="G72" s="239" t="s">
        <v>27</v>
      </c>
      <c r="H72" s="36">
        <f>12400000*C200</f>
        <v>517352800</v>
      </c>
      <c r="I72" s="36">
        <f>12400000*C200</f>
        <v>517352800</v>
      </c>
      <c r="J72" s="36">
        <f>12400000*C200</f>
        <v>517352800</v>
      </c>
      <c r="K72" s="36">
        <f>12400000*C200</f>
        <v>517352800</v>
      </c>
      <c r="L72" s="36">
        <f>12400000*C200</f>
        <v>517352800</v>
      </c>
      <c r="M72" s="36"/>
      <c r="N72" s="36"/>
      <c r="O72" s="36"/>
      <c r="P72" s="36"/>
      <c r="Q72" s="36"/>
      <c r="R72" s="36"/>
      <c r="S72" s="36"/>
      <c r="T72" s="106"/>
      <c r="U72" s="239"/>
      <c r="V72" s="6"/>
      <c r="W72" s="106"/>
    </row>
    <row r="73" spans="1:23" ht="12.75">
      <c r="A73" s="320" t="s">
        <v>131</v>
      </c>
      <c r="B73" s="308" t="s">
        <v>69</v>
      </c>
      <c r="C73" s="83">
        <v>36795</v>
      </c>
      <c r="D73" s="62" t="s">
        <v>24</v>
      </c>
      <c r="E73" s="58">
        <f>SUM(I73:S73)</f>
        <v>1877490000</v>
      </c>
      <c r="F73" s="195"/>
      <c r="G73" s="239" t="s">
        <v>26</v>
      </c>
      <c r="H73" s="36"/>
      <c r="I73" s="36"/>
      <c r="J73" s="36"/>
      <c r="K73" s="36"/>
      <c r="L73" s="36">
        <f>45000000*C200</f>
        <v>1877490000</v>
      </c>
      <c r="M73" s="36"/>
      <c r="N73" s="36"/>
      <c r="O73" s="36"/>
      <c r="P73" s="36"/>
      <c r="Q73" s="36"/>
      <c r="R73" s="36"/>
      <c r="S73" s="36"/>
      <c r="T73" s="106"/>
      <c r="U73" s="239"/>
      <c r="V73" s="6"/>
      <c r="W73" s="106"/>
    </row>
    <row r="74" spans="1:23" ht="12.75">
      <c r="A74" s="320"/>
      <c r="B74" s="307"/>
      <c r="C74" s="6"/>
      <c r="D74" s="6"/>
      <c r="E74" s="6"/>
      <c r="F74" s="248">
        <f>SUM(H74:S74)</f>
        <v>750996000</v>
      </c>
      <c r="G74" s="239" t="s">
        <v>27</v>
      </c>
      <c r="H74" s="36">
        <f>3600000*C200</f>
        <v>150199200</v>
      </c>
      <c r="I74" s="36">
        <f>3600000*C200</f>
        <v>150199200</v>
      </c>
      <c r="J74" s="36">
        <f>3600000*C200</f>
        <v>150199200</v>
      </c>
      <c r="K74" s="36">
        <f>3600000*C200</f>
        <v>150199200</v>
      </c>
      <c r="L74" s="36">
        <f>3600000*C200</f>
        <v>150199200</v>
      </c>
      <c r="M74" s="36"/>
      <c r="N74" s="36"/>
      <c r="O74" s="36"/>
      <c r="P74" s="36"/>
      <c r="Q74" s="36"/>
      <c r="R74" s="36"/>
      <c r="S74" s="36"/>
      <c r="T74" s="106"/>
      <c r="U74" s="239"/>
      <c r="V74" s="6"/>
      <c r="W74" s="106"/>
    </row>
    <row r="75" spans="1:23" ht="12.75">
      <c r="A75" s="320" t="s">
        <v>132</v>
      </c>
      <c r="B75" s="306" t="s">
        <v>77</v>
      </c>
      <c r="C75" s="7">
        <v>36882</v>
      </c>
      <c r="D75" s="6" t="s">
        <v>24</v>
      </c>
      <c r="E75" s="58">
        <f>SUM(I75:S75)</f>
        <v>625830000</v>
      </c>
      <c r="F75" s="195"/>
      <c r="G75" s="239" t="s">
        <v>26</v>
      </c>
      <c r="H75" s="36"/>
      <c r="I75" s="36">
        <f>750000*C200</f>
        <v>31291500</v>
      </c>
      <c r="J75" s="36">
        <f>1500000*C200</f>
        <v>62583000</v>
      </c>
      <c r="K75" s="36">
        <f>1500000*C200</f>
        <v>62583000</v>
      </c>
      <c r="L75" s="36">
        <f>1500000*C200</f>
        <v>62583000</v>
      </c>
      <c r="M75" s="36">
        <f>1500000*C200</f>
        <v>62583000</v>
      </c>
      <c r="N75" s="36">
        <f>1500000*C200</f>
        <v>62583000</v>
      </c>
      <c r="O75" s="36">
        <f>1500000*C200</f>
        <v>62583000</v>
      </c>
      <c r="P75" s="36">
        <f>1500000*C200</f>
        <v>62583000</v>
      </c>
      <c r="Q75" s="36">
        <f>1500000*C200</f>
        <v>62583000</v>
      </c>
      <c r="R75" s="36">
        <f>1500000*C200</f>
        <v>62583000</v>
      </c>
      <c r="S75" s="36">
        <f>750000*C200</f>
        <v>31291500</v>
      </c>
      <c r="T75" s="195"/>
      <c r="U75" s="293"/>
      <c r="V75" s="36"/>
      <c r="W75" s="195"/>
    </row>
    <row r="76" spans="1:23" ht="12.75">
      <c r="A76" s="320"/>
      <c r="B76" s="309" t="s">
        <v>76</v>
      </c>
      <c r="C76" s="6"/>
      <c r="D76" s="6"/>
      <c r="E76" s="6"/>
      <c r="F76" s="195">
        <f>SUM(H76:S76)</f>
        <v>223468247.25</v>
      </c>
      <c r="G76" s="239" t="s">
        <v>27</v>
      </c>
      <c r="H76" s="140">
        <f>793500*C200</f>
        <v>33106407</v>
      </c>
      <c r="I76" s="36">
        <f>793500*C200</f>
        <v>33106407</v>
      </c>
      <c r="J76" s="36">
        <f>733987.5*C200</f>
        <v>30623426.475</v>
      </c>
      <c r="K76" s="36">
        <f>654637.5*C200</f>
        <v>27312785.775000002</v>
      </c>
      <c r="L76" s="36">
        <f>575287.5*C200</f>
        <v>24002145.075</v>
      </c>
      <c r="M76" s="36">
        <f>495937.5*C200</f>
        <v>20691504.375</v>
      </c>
      <c r="N76" s="36">
        <f>416587.5*C200</f>
        <v>17380863.675</v>
      </c>
      <c r="O76" s="36">
        <f>337237.5*C200</f>
        <v>14070222.975</v>
      </c>
      <c r="P76" s="36">
        <f>257887.5*C200</f>
        <v>10759582.275</v>
      </c>
      <c r="Q76" s="36">
        <f>178537.5*C200</f>
        <v>7448941.575</v>
      </c>
      <c r="R76" s="36">
        <f>99187.5*C200</f>
        <v>4138300.875</v>
      </c>
      <c r="S76" s="36">
        <f>19837.5*C200</f>
        <v>827660.175</v>
      </c>
      <c r="T76" s="106"/>
      <c r="U76" s="239"/>
      <c r="V76" s="6"/>
      <c r="W76" s="106"/>
    </row>
    <row r="77" spans="1:23" ht="12.75">
      <c r="A77" s="320" t="s">
        <v>133</v>
      </c>
      <c r="B77" s="306" t="s">
        <v>70</v>
      </c>
      <c r="C77" s="7">
        <v>37046</v>
      </c>
      <c r="D77" s="6" t="s">
        <v>58</v>
      </c>
      <c r="E77" s="58">
        <f>SUM(I77:S77)</f>
        <v>3000000000</v>
      </c>
      <c r="F77" s="195"/>
      <c r="G77" s="239" t="s">
        <v>26</v>
      </c>
      <c r="H77" s="36"/>
      <c r="I77" s="36">
        <v>310350000</v>
      </c>
      <c r="J77" s="36">
        <v>413800000</v>
      </c>
      <c r="K77" s="36">
        <v>413800000</v>
      </c>
      <c r="L77" s="36">
        <v>413800000</v>
      </c>
      <c r="M77" s="36">
        <v>413800000</v>
      </c>
      <c r="N77" s="36">
        <v>413800000</v>
      </c>
      <c r="O77" s="36">
        <v>413800000</v>
      </c>
      <c r="P77" s="36">
        <v>206850000</v>
      </c>
      <c r="Q77" s="36"/>
      <c r="R77" s="36"/>
      <c r="S77" s="36"/>
      <c r="T77" s="106"/>
      <c r="U77" s="239"/>
      <c r="V77" s="6"/>
      <c r="W77" s="106"/>
    </row>
    <row r="78" spans="1:23" ht="12.75">
      <c r="A78" s="320"/>
      <c r="B78" s="307"/>
      <c r="C78" s="6"/>
      <c r="D78" s="6"/>
      <c r="E78" s="93"/>
      <c r="F78" s="195">
        <f>SUM(H78:S78)</f>
        <v>1046887820</v>
      </c>
      <c r="G78" s="239" t="s">
        <v>27</v>
      </c>
      <c r="H78" s="36">
        <v>211700000</v>
      </c>
      <c r="I78" s="36">
        <v>203399910</v>
      </c>
      <c r="J78" s="36">
        <v>176399460</v>
      </c>
      <c r="K78" s="36">
        <v>147598980</v>
      </c>
      <c r="L78" s="36">
        <v>118798500</v>
      </c>
      <c r="M78" s="36">
        <v>89998020</v>
      </c>
      <c r="N78" s="36">
        <v>61197540</v>
      </c>
      <c r="O78" s="36">
        <v>32397060</v>
      </c>
      <c r="P78" s="36">
        <v>5398350</v>
      </c>
      <c r="Q78" s="36"/>
      <c r="R78" s="36"/>
      <c r="S78" s="36"/>
      <c r="T78" s="106"/>
      <c r="U78" s="239"/>
      <c r="V78" s="6"/>
      <c r="W78" s="106"/>
    </row>
    <row r="79" spans="1:23" ht="12.75">
      <c r="A79" s="320" t="s">
        <v>134</v>
      </c>
      <c r="B79" s="306" t="s">
        <v>71</v>
      </c>
      <c r="C79" s="7">
        <v>37046</v>
      </c>
      <c r="D79" s="6" t="s">
        <v>58</v>
      </c>
      <c r="E79" s="58">
        <f>SUM(I79:S79)</f>
        <v>5500000000</v>
      </c>
      <c r="F79" s="195"/>
      <c r="G79" s="239" t="s">
        <v>26</v>
      </c>
      <c r="H79" s="36"/>
      <c r="I79" s="36">
        <v>392000000</v>
      </c>
      <c r="J79" s="36">
        <v>784000000</v>
      </c>
      <c r="K79" s="36">
        <v>784000000</v>
      </c>
      <c r="L79" s="36">
        <v>784000000</v>
      </c>
      <c r="M79" s="36">
        <v>784000000</v>
      </c>
      <c r="N79" s="36">
        <v>784000000</v>
      </c>
      <c r="O79" s="36">
        <v>784000000</v>
      </c>
      <c r="P79" s="36">
        <v>404000000</v>
      </c>
      <c r="Q79" s="36"/>
      <c r="R79" s="36"/>
      <c r="S79" s="36"/>
      <c r="T79" s="106"/>
      <c r="U79" s="239"/>
      <c r="V79" s="6"/>
      <c r="W79" s="106"/>
    </row>
    <row r="80" spans="1:23" ht="12.75">
      <c r="A80" s="320"/>
      <c r="B80" s="307"/>
      <c r="C80" s="6"/>
      <c r="D80" s="6"/>
      <c r="E80" s="6"/>
      <c r="F80" s="195">
        <f>SUM(H80:S80)</f>
        <v>1973300372.14</v>
      </c>
      <c r="G80" s="239" t="s">
        <v>27</v>
      </c>
      <c r="H80" s="36">
        <v>382250000</v>
      </c>
      <c r="I80" s="36">
        <v>384345038.8</v>
      </c>
      <c r="J80" s="36">
        <v>337498177.78</v>
      </c>
      <c r="K80" s="36">
        <v>282253400</v>
      </c>
      <c r="L80" s="36">
        <v>227008622.22</v>
      </c>
      <c r="M80" s="36">
        <v>172295905.56</v>
      </c>
      <c r="N80" s="36">
        <v>116519066.67</v>
      </c>
      <c r="O80" s="36">
        <v>61274288.89</v>
      </c>
      <c r="P80" s="36">
        <v>9855872.22</v>
      </c>
      <c r="Q80" s="36"/>
      <c r="R80" s="36"/>
      <c r="S80" s="36"/>
      <c r="T80" s="106"/>
      <c r="U80" s="239"/>
      <c r="V80" s="6"/>
      <c r="W80" s="106"/>
    </row>
    <row r="81" spans="1:23" ht="12.75">
      <c r="A81" s="320" t="s">
        <v>135</v>
      </c>
      <c r="B81" s="308" t="s">
        <v>72</v>
      </c>
      <c r="C81" s="83">
        <v>36600</v>
      </c>
      <c r="D81" s="62" t="s">
        <v>24</v>
      </c>
      <c r="E81" s="58">
        <f>SUM(H81:S81)</f>
        <v>1564575000</v>
      </c>
      <c r="F81" s="139"/>
      <c r="G81" s="28" t="s">
        <v>26</v>
      </c>
      <c r="H81" s="63">
        <f>15000000*C200</f>
        <v>625830000</v>
      </c>
      <c r="I81" s="63">
        <f>15000000*C200</f>
        <v>625830000</v>
      </c>
      <c r="J81" s="63">
        <f>7500000*C200</f>
        <v>312915000</v>
      </c>
      <c r="K81" s="63"/>
      <c r="L81" s="63"/>
      <c r="M81" s="62"/>
      <c r="N81" s="63"/>
      <c r="O81" s="63"/>
      <c r="P81" s="63"/>
      <c r="Q81" s="63"/>
      <c r="R81" s="63"/>
      <c r="S81" s="63"/>
      <c r="T81" s="139"/>
      <c r="U81" s="28"/>
      <c r="V81" s="62"/>
      <c r="W81" s="139"/>
    </row>
    <row r="82" spans="1:23" ht="12.75">
      <c r="A82" s="320"/>
      <c r="B82" s="307"/>
      <c r="C82" s="6"/>
      <c r="D82" s="6"/>
      <c r="E82" s="6"/>
      <c r="F82" s="195">
        <f>SUM(H82:S82)</f>
        <v>141920512.15</v>
      </c>
      <c r="G82" s="239" t="s">
        <v>27</v>
      </c>
      <c r="H82" s="36">
        <f>2107637.5*C200</f>
        <v>87934851.775</v>
      </c>
      <c r="I82" s="36">
        <f>1178062.5*C200</f>
        <v>49151123.625</v>
      </c>
      <c r="J82" s="36">
        <f>115875*C200</f>
        <v>4834536.75</v>
      </c>
      <c r="K82" s="36"/>
      <c r="L82" s="36"/>
      <c r="M82" s="6"/>
      <c r="N82" s="36"/>
      <c r="O82" s="36"/>
      <c r="P82" s="36"/>
      <c r="Q82" s="36"/>
      <c r="R82" s="36"/>
      <c r="S82" s="36"/>
      <c r="T82" s="106"/>
      <c r="U82" s="239"/>
      <c r="V82" s="6"/>
      <c r="W82" s="106"/>
    </row>
    <row r="83" spans="1:23" ht="12.75">
      <c r="A83" s="320" t="s">
        <v>136</v>
      </c>
      <c r="B83" s="308" t="s">
        <v>73</v>
      </c>
      <c r="C83" s="83">
        <v>37375</v>
      </c>
      <c r="D83" s="6" t="s">
        <v>58</v>
      </c>
      <c r="E83" s="58">
        <v>1999999999.63</v>
      </c>
      <c r="F83" s="197"/>
      <c r="G83" s="28" t="s">
        <v>26</v>
      </c>
      <c r="H83" s="63"/>
      <c r="I83" s="63"/>
      <c r="J83" s="63"/>
      <c r="K83" s="63">
        <v>181500000</v>
      </c>
      <c r="L83" s="63">
        <v>242000000</v>
      </c>
      <c r="M83" s="63">
        <v>242000000</v>
      </c>
      <c r="N83" s="63">
        <v>242000000</v>
      </c>
      <c r="O83" s="63">
        <v>242000000</v>
      </c>
      <c r="P83" s="63">
        <v>242000000</v>
      </c>
      <c r="Q83" s="63">
        <v>242000000</v>
      </c>
      <c r="R83" s="63">
        <v>242000000</v>
      </c>
      <c r="S83" s="63">
        <f>124500000-0.37</f>
        <v>124499999.63</v>
      </c>
      <c r="T83" s="139"/>
      <c r="U83" s="28"/>
      <c r="V83" s="62"/>
      <c r="W83" s="139"/>
    </row>
    <row r="84" spans="1:23" ht="12.75">
      <c r="A84" s="320"/>
      <c r="B84" s="307"/>
      <c r="C84" s="6"/>
      <c r="D84" s="6"/>
      <c r="E84" s="6"/>
      <c r="F84" s="195">
        <f>SUM(H84:S84)</f>
        <v>1254961189.99</v>
      </c>
      <c r="G84" s="239" t="s">
        <v>27</v>
      </c>
      <c r="H84" s="36">
        <v>167899999.99</v>
      </c>
      <c r="I84" s="36">
        <v>168360000</v>
      </c>
      <c r="J84" s="36">
        <v>167900000</v>
      </c>
      <c r="K84" s="36">
        <v>163628095</v>
      </c>
      <c r="L84" s="36">
        <v>144411480</v>
      </c>
      <c r="M84" s="36">
        <v>124458175</v>
      </c>
      <c r="N84" s="36">
        <v>103779680</v>
      </c>
      <c r="O84" s="36">
        <v>83463780</v>
      </c>
      <c r="P84" s="36">
        <v>63147880</v>
      </c>
      <c r="Q84" s="36">
        <v>42971935</v>
      </c>
      <c r="R84" s="36">
        <v>22516080</v>
      </c>
      <c r="S84" s="36">
        <v>2424085</v>
      </c>
      <c r="T84" s="106"/>
      <c r="U84" s="239"/>
      <c r="V84" s="6"/>
      <c r="W84" s="106"/>
    </row>
    <row r="85" spans="1:23" ht="12.75">
      <c r="A85" s="320" t="s">
        <v>137</v>
      </c>
      <c r="B85" s="306" t="s">
        <v>92</v>
      </c>
      <c r="C85" s="83">
        <v>37418</v>
      </c>
      <c r="D85" s="6" t="s">
        <v>58</v>
      </c>
      <c r="E85" s="58">
        <f>SUM(I85:S85)</f>
        <v>6840000000</v>
      </c>
      <c r="F85" s="197"/>
      <c r="G85" s="28" t="s">
        <v>26</v>
      </c>
      <c r="H85" s="63"/>
      <c r="I85" s="63"/>
      <c r="J85" s="63"/>
      <c r="K85" s="63"/>
      <c r="L85" s="63"/>
      <c r="M85" s="62"/>
      <c r="N85" s="63"/>
      <c r="O85" s="63"/>
      <c r="P85" s="63"/>
      <c r="Q85" s="63"/>
      <c r="R85" s="63"/>
      <c r="S85" s="63">
        <v>6840000000</v>
      </c>
      <c r="T85" s="139"/>
      <c r="U85" s="28"/>
      <c r="V85" s="62"/>
      <c r="W85" s="139"/>
    </row>
    <row r="86" spans="1:23" ht="12.75">
      <c r="A86" s="320"/>
      <c r="B86" s="307"/>
      <c r="C86" s="6"/>
      <c r="D86" s="6"/>
      <c r="E86" s="6"/>
      <c r="F86" s="195">
        <f>SUM(H86:S86)</f>
        <v>7175214999.620001</v>
      </c>
      <c r="G86" s="239" t="s">
        <v>27</v>
      </c>
      <c r="H86" s="36">
        <v>614822222.2</v>
      </c>
      <c r="I86" s="36">
        <v>616506666.6</v>
      </c>
      <c r="J86" s="36">
        <v>614822222.2</v>
      </c>
      <c r="K86" s="36">
        <v>614822222.2</v>
      </c>
      <c r="L86" s="36">
        <v>614822222.2</v>
      </c>
      <c r="M86" s="36">
        <v>616506666.6</v>
      </c>
      <c r="N86" s="36">
        <v>614822222.2</v>
      </c>
      <c r="O86" s="36">
        <v>614822222.2</v>
      </c>
      <c r="P86" s="36">
        <v>614822222.2</v>
      </c>
      <c r="Q86" s="36">
        <v>616506666.6</v>
      </c>
      <c r="R86" s="36">
        <v>614822222.2</v>
      </c>
      <c r="S86" s="36">
        <v>407117222.22</v>
      </c>
      <c r="T86" s="106"/>
      <c r="U86" s="239"/>
      <c r="V86" s="6"/>
      <c r="W86" s="106"/>
    </row>
    <row r="87" spans="1:23" ht="12.75">
      <c r="A87" s="320" t="s">
        <v>138</v>
      </c>
      <c r="B87" s="310" t="s">
        <v>107</v>
      </c>
      <c r="C87" s="7">
        <v>37502</v>
      </c>
      <c r="D87" s="6" t="s">
        <v>58</v>
      </c>
      <c r="E87" s="58">
        <f>SUM(I87:S87)</f>
        <v>1500000000</v>
      </c>
      <c r="F87" s="195"/>
      <c r="G87" s="28" t="s">
        <v>26</v>
      </c>
      <c r="H87" s="227"/>
      <c r="I87" s="69"/>
      <c r="J87" s="69">
        <v>104000000</v>
      </c>
      <c r="K87" s="69">
        <v>208000000</v>
      </c>
      <c r="L87" s="69">
        <v>208000000</v>
      </c>
      <c r="M87" s="69">
        <v>208000000</v>
      </c>
      <c r="N87" s="69">
        <v>208000000</v>
      </c>
      <c r="O87" s="69">
        <v>208000000</v>
      </c>
      <c r="P87" s="69">
        <v>208000000</v>
      </c>
      <c r="Q87" s="69">
        <v>148000000</v>
      </c>
      <c r="R87" s="36"/>
      <c r="S87" s="36"/>
      <c r="T87" s="106"/>
      <c r="U87" s="239"/>
      <c r="V87" s="6"/>
      <c r="W87" s="106"/>
    </row>
    <row r="88" spans="1:23" ht="12.75">
      <c r="A88" s="320"/>
      <c r="B88" s="307"/>
      <c r="C88" s="6"/>
      <c r="D88" s="6"/>
      <c r="E88" s="6"/>
      <c r="F88" s="195">
        <f>SUM(H88:S88)</f>
        <v>838039999.99</v>
      </c>
      <c r="G88" s="239" t="s">
        <v>27</v>
      </c>
      <c r="H88" s="69">
        <v>152529020</v>
      </c>
      <c r="I88" s="69">
        <v>131302500</v>
      </c>
      <c r="J88" s="69">
        <v>129812013.33</v>
      </c>
      <c r="K88" s="69">
        <v>115037253.33</v>
      </c>
      <c r="L88" s="69">
        <v>96879720</v>
      </c>
      <c r="M88" s="69">
        <v>78956570</v>
      </c>
      <c r="N88" s="69">
        <v>60564653.33</v>
      </c>
      <c r="O88" s="69">
        <v>42407120</v>
      </c>
      <c r="P88" s="69">
        <v>24249586.67</v>
      </c>
      <c r="Q88" s="69">
        <v>6301563.33</v>
      </c>
      <c r="R88" s="36"/>
      <c r="S88" s="36"/>
      <c r="T88" s="106"/>
      <c r="U88" s="239"/>
      <c r="V88" s="6"/>
      <c r="W88" s="106"/>
    </row>
    <row r="89" spans="1:23" ht="12.75">
      <c r="A89" s="320" t="s">
        <v>139</v>
      </c>
      <c r="B89" s="306" t="s">
        <v>104</v>
      </c>
      <c r="C89" s="7">
        <v>37610</v>
      </c>
      <c r="D89" s="6" t="s">
        <v>58</v>
      </c>
      <c r="E89" s="58">
        <f>SUM(I89:S89)</f>
        <v>2100000000</v>
      </c>
      <c r="F89" s="36"/>
      <c r="G89" s="6" t="s">
        <v>26</v>
      </c>
      <c r="H89" s="69"/>
      <c r="I89" s="69"/>
      <c r="J89" s="69">
        <v>58000000</v>
      </c>
      <c r="K89" s="69">
        <v>232000000</v>
      </c>
      <c r="L89" s="69">
        <v>232000000</v>
      </c>
      <c r="M89" s="69">
        <v>232000000</v>
      </c>
      <c r="N89" s="69">
        <v>232000000</v>
      </c>
      <c r="O89" s="69">
        <v>232000000</v>
      </c>
      <c r="P89" s="69">
        <v>232000000</v>
      </c>
      <c r="Q89" s="69">
        <v>232000000</v>
      </c>
      <c r="R89" s="69">
        <v>232000000</v>
      </c>
      <c r="S89" s="69">
        <v>186000000</v>
      </c>
      <c r="T89" s="106"/>
      <c r="U89" s="239"/>
      <c r="V89" s="6"/>
      <c r="W89" s="106"/>
    </row>
    <row r="90" spans="1:23" ht="13.5" thickBot="1">
      <c r="A90" s="320"/>
      <c r="B90" s="311"/>
      <c r="C90" s="14"/>
      <c r="D90" s="14"/>
      <c r="E90" s="14"/>
      <c r="F90" s="195">
        <f>SUM(H90:S90)</f>
        <v>353014711.44000006</v>
      </c>
      <c r="G90" s="14" t="s">
        <v>27</v>
      </c>
      <c r="H90" s="102">
        <v>43161664.65</v>
      </c>
      <c r="I90" s="102">
        <v>48729240.93</v>
      </c>
      <c r="J90" s="102">
        <v>48555650.84</v>
      </c>
      <c r="K90" s="102">
        <v>45073342.54</v>
      </c>
      <c r="L90" s="102">
        <v>39704630.54</v>
      </c>
      <c r="M90" s="102">
        <v>34435963.6</v>
      </c>
      <c r="N90" s="102">
        <v>28967206.54</v>
      </c>
      <c r="O90" s="102">
        <v>23598494.54</v>
      </c>
      <c r="P90" s="102">
        <v>18229782.54</v>
      </c>
      <c r="Q90" s="102">
        <v>12902280.54</v>
      </c>
      <c r="R90" s="102">
        <v>7492358.54</v>
      </c>
      <c r="S90" s="102">
        <v>2164095.64</v>
      </c>
      <c r="T90" s="105"/>
      <c r="U90" s="56"/>
      <c r="V90" s="14"/>
      <c r="W90" s="105"/>
    </row>
    <row r="91" spans="1:26" s="2" customFormat="1" ht="14.25" thickBot="1" thickTop="1">
      <c r="A91" s="351"/>
      <c r="B91" s="312" t="s">
        <v>7</v>
      </c>
      <c r="C91" s="16"/>
      <c r="D91" s="16"/>
      <c r="E91" s="38">
        <f>SUM(E67:E89)</f>
        <v>37315884999.630005</v>
      </c>
      <c r="F91" s="215">
        <f>SUM(F67:F90)</f>
        <v>18370004064.579998</v>
      </c>
      <c r="G91" s="276"/>
      <c r="H91" s="38">
        <f aca="true" t="shared" si="2" ref="H91:S91">SUM(H67:H90)</f>
        <v>3286850789.6150002</v>
      </c>
      <c r="I91" s="38">
        <f t="shared" si="2"/>
        <v>4254043010.955</v>
      </c>
      <c r="J91" s="38">
        <f t="shared" si="2"/>
        <v>4774963264.575</v>
      </c>
      <c r="K91" s="38">
        <f t="shared" si="2"/>
        <v>4776822393.6449995</v>
      </c>
      <c r="L91" s="38">
        <f t="shared" si="2"/>
        <v>13021617172.435001</v>
      </c>
      <c r="M91" s="38">
        <f t="shared" si="2"/>
        <v>3851374195.1349998</v>
      </c>
      <c r="N91" s="38">
        <f t="shared" si="2"/>
        <v>3687256160.0150003</v>
      </c>
      <c r="O91" s="38">
        <f t="shared" si="2"/>
        <v>3526051653.8050003</v>
      </c>
      <c r="P91" s="38">
        <f t="shared" si="2"/>
        <v>2783525278.705</v>
      </c>
      <c r="Q91" s="38">
        <f t="shared" si="2"/>
        <v>2022336927.445</v>
      </c>
      <c r="R91" s="38">
        <f t="shared" si="2"/>
        <v>1807168039.615</v>
      </c>
      <c r="S91" s="38">
        <f t="shared" si="2"/>
        <v>7893880178.265</v>
      </c>
      <c r="T91" s="247"/>
      <c r="U91" s="366">
        <f>SUM(U67:U88)</f>
        <v>0</v>
      </c>
      <c r="V91" s="39">
        <f>SUM(V67:V88)</f>
        <v>0</v>
      </c>
      <c r="W91" s="247">
        <f>SUM(W67:W88)</f>
        <v>0</v>
      </c>
      <c r="X91" s="157"/>
      <c r="Y91" s="157"/>
      <c r="Z91" s="157"/>
    </row>
    <row r="92" spans="1:26" s="2" customFormat="1" ht="12.75">
      <c r="A92" s="321"/>
      <c r="B92" s="313"/>
      <c r="C92" s="192"/>
      <c r="D92" s="65"/>
      <c r="E92" s="76"/>
      <c r="F92" s="334">
        <f>SUM(E91:F91)</f>
        <v>55685889064.21001</v>
      </c>
      <c r="G92" s="7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213"/>
      <c r="U92" s="60"/>
      <c r="V92" s="60"/>
      <c r="W92" s="60"/>
      <c r="X92" s="47"/>
      <c r="Y92" s="47"/>
      <c r="Z92" s="47"/>
    </row>
    <row r="93" spans="1:26" s="2" customFormat="1" ht="12.75">
      <c r="A93" s="321"/>
      <c r="B93" s="313"/>
      <c r="C93" s="192"/>
      <c r="D93" s="65"/>
      <c r="E93" s="76"/>
      <c r="F93" s="334">
        <f>SUM(H91:T91)</f>
        <v>55685889064.21</v>
      </c>
      <c r="G93" s="7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213"/>
      <c r="U93" s="60"/>
      <c r="V93" s="60"/>
      <c r="W93" s="60"/>
      <c r="X93" s="47"/>
      <c r="Y93" s="47"/>
      <c r="Z93" s="47"/>
    </row>
    <row r="94" spans="1:26" s="2" customFormat="1" ht="13.5" thickBot="1">
      <c r="A94" s="321"/>
      <c r="B94" s="313"/>
      <c r="C94" s="192"/>
      <c r="D94" s="65"/>
      <c r="E94" s="76"/>
      <c r="F94" s="213"/>
      <c r="G94" s="73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361"/>
      <c r="T94" s="369"/>
      <c r="U94" s="60"/>
      <c r="V94" s="60"/>
      <c r="W94" s="60"/>
      <c r="X94" s="47"/>
      <c r="Y94" s="47"/>
      <c r="Z94" s="47"/>
    </row>
    <row r="95" spans="1:23" s="1" customFormat="1" ht="12.75">
      <c r="A95" s="322" t="s">
        <v>157</v>
      </c>
      <c r="B95" s="325" t="s">
        <v>17</v>
      </c>
      <c r="C95" s="326" t="s">
        <v>18</v>
      </c>
      <c r="D95" s="235" t="s">
        <v>95</v>
      </c>
      <c r="E95" s="18" t="s">
        <v>159</v>
      </c>
      <c r="F95" s="150"/>
      <c r="G95" s="20"/>
      <c r="H95" s="21"/>
      <c r="I95" s="21" t="s">
        <v>36</v>
      </c>
      <c r="J95" s="21"/>
      <c r="K95" s="21"/>
      <c r="L95" s="21"/>
      <c r="M95" s="21"/>
      <c r="N95" s="21"/>
      <c r="O95" s="21"/>
      <c r="P95" s="21"/>
      <c r="Q95" s="21"/>
      <c r="R95" s="21"/>
      <c r="S95" s="4"/>
      <c r="T95" s="193"/>
      <c r="W95" s="20"/>
    </row>
    <row r="96" spans="1:23" s="1" customFormat="1" ht="12.75">
      <c r="A96" s="323" t="s">
        <v>158</v>
      </c>
      <c r="B96" s="4"/>
      <c r="C96" s="327" t="s">
        <v>19</v>
      </c>
      <c r="D96" s="236" t="s">
        <v>89</v>
      </c>
      <c r="E96" s="329" t="s">
        <v>160</v>
      </c>
      <c r="F96" s="329" t="s">
        <v>25</v>
      </c>
      <c r="G96" s="9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279"/>
      <c r="T96" s="349"/>
      <c r="W96" s="90"/>
    </row>
    <row r="97" spans="1:23" s="1" customFormat="1" ht="13.5" thickBot="1">
      <c r="A97" s="324"/>
      <c r="B97" s="91"/>
      <c r="C97" s="328" t="s">
        <v>20</v>
      </c>
      <c r="D97" s="237" t="s">
        <v>96</v>
      </c>
      <c r="E97" s="330" t="s">
        <v>26</v>
      </c>
      <c r="F97" s="331" t="s">
        <v>27</v>
      </c>
      <c r="G97" s="172"/>
      <c r="H97" s="80">
        <v>2003</v>
      </c>
      <c r="I97" s="80">
        <v>2004</v>
      </c>
      <c r="J97" s="80">
        <v>2005</v>
      </c>
      <c r="K97" s="80">
        <v>2006</v>
      </c>
      <c r="L97" s="80">
        <v>2007</v>
      </c>
      <c r="M97" s="80">
        <v>2008</v>
      </c>
      <c r="N97" s="80">
        <v>2009</v>
      </c>
      <c r="O97" s="80">
        <v>2010</v>
      </c>
      <c r="P97" s="80">
        <v>2011</v>
      </c>
      <c r="Q97" s="80">
        <v>2012</v>
      </c>
      <c r="R97" s="80">
        <v>2013</v>
      </c>
      <c r="S97" s="91">
        <v>2014</v>
      </c>
      <c r="T97" s="370">
        <v>2015</v>
      </c>
      <c r="U97" s="91">
        <v>2016</v>
      </c>
      <c r="V97" s="91">
        <v>2017</v>
      </c>
      <c r="W97" s="172">
        <v>2018</v>
      </c>
    </row>
    <row r="98" spans="1:26" ht="13.5" thickTop="1">
      <c r="A98" s="320"/>
      <c r="B98" s="304" t="s">
        <v>63</v>
      </c>
      <c r="C98" s="15"/>
      <c r="D98" s="15"/>
      <c r="E98" s="15"/>
      <c r="F98" s="202"/>
      <c r="G98" s="1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26"/>
      <c r="U98" s="15"/>
      <c r="V98" s="15"/>
      <c r="W98" s="15"/>
      <c r="X98" s="15"/>
      <c r="Y98" s="15"/>
      <c r="Z98" s="15"/>
    </row>
    <row r="99" spans="1:26" ht="12.75">
      <c r="A99" s="320" t="s">
        <v>140</v>
      </c>
      <c r="B99" s="307" t="s">
        <v>49</v>
      </c>
      <c r="C99" s="7">
        <v>36882</v>
      </c>
      <c r="D99" s="6" t="s">
        <v>24</v>
      </c>
      <c r="E99" s="36">
        <f>SUM(I99:S99)</f>
        <v>1877490000</v>
      </c>
      <c r="F99" s="195"/>
      <c r="G99" s="239" t="s">
        <v>26</v>
      </c>
      <c r="H99" s="5"/>
      <c r="I99" s="36">
        <f>2250000*C200</f>
        <v>93874500</v>
      </c>
      <c r="J99" s="36">
        <f>4500000*C200</f>
        <v>187749000</v>
      </c>
      <c r="K99" s="36">
        <f>4500000*C200</f>
        <v>187749000</v>
      </c>
      <c r="L99" s="36">
        <f>4500000*C200</f>
        <v>187749000</v>
      </c>
      <c r="M99" s="36">
        <f>4500000*C200</f>
        <v>187749000</v>
      </c>
      <c r="N99" s="36">
        <f>4500000*C200</f>
        <v>187749000</v>
      </c>
      <c r="O99" s="36">
        <f>4500000*C200</f>
        <v>187749000</v>
      </c>
      <c r="P99" s="36">
        <f>4500000*C200</f>
        <v>187749000</v>
      </c>
      <c r="Q99" s="36">
        <f>4500000*C200</f>
        <v>187749000</v>
      </c>
      <c r="R99" s="36">
        <f>4500000*C200</f>
        <v>187749000</v>
      </c>
      <c r="S99" s="99">
        <f>2250000*C200</f>
        <v>93874500</v>
      </c>
      <c r="T99" s="106"/>
      <c r="U99" s="15"/>
      <c r="V99" s="15"/>
      <c r="W99" s="15"/>
      <c r="X99" s="15"/>
      <c r="Y99" s="15"/>
      <c r="Z99" s="15"/>
    </row>
    <row r="100" spans="1:26" ht="12.75">
      <c r="A100" s="320"/>
      <c r="B100" s="309" t="s">
        <v>64</v>
      </c>
      <c r="C100" s="6"/>
      <c r="D100" s="6"/>
      <c r="E100" s="6"/>
      <c r="F100" s="195">
        <f>SUM(H100:S100)</f>
        <v>670404741.75</v>
      </c>
      <c r="G100" s="239" t="s">
        <v>27</v>
      </c>
      <c r="H100" s="36">
        <f>2380500*C200</f>
        <v>99319221</v>
      </c>
      <c r="I100" s="36">
        <f>2380500*C200</f>
        <v>99319221</v>
      </c>
      <c r="J100" s="36">
        <f>2201962.5*C200</f>
        <v>91870279.425</v>
      </c>
      <c r="K100" s="69">
        <f>1963912.5*C200</f>
        <v>81938357.325</v>
      </c>
      <c r="L100" s="36">
        <f>1725862.5*C200</f>
        <v>72006435.22500001</v>
      </c>
      <c r="M100" s="36">
        <f>1487812.5*C200</f>
        <v>62074513.125</v>
      </c>
      <c r="N100" s="36">
        <f>1249762.5*C200</f>
        <v>52142591.025</v>
      </c>
      <c r="O100" s="36">
        <f>1011712.5*C200</f>
        <v>42210668.925000004</v>
      </c>
      <c r="P100" s="36">
        <f>773662.5*C200</f>
        <v>32278746.825</v>
      </c>
      <c r="Q100" s="36">
        <f>535612.5*C200</f>
        <v>22346824.725</v>
      </c>
      <c r="R100" s="36">
        <f>297562.5*C200</f>
        <v>12414902.625</v>
      </c>
      <c r="S100" s="99">
        <f>59512.5*C200</f>
        <v>2482980.525</v>
      </c>
      <c r="T100" s="106"/>
      <c r="U100" s="15"/>
      <c r="V100" s="15"/>
      <c r="W100" s="15"/>
      <c r="X100" s="15"/>
      <c r="Y100" s="15"/>
      <c r="Z100" s="15"/>
    </row>
    <row r="101" spans="1:26" ht="12.75">
      <c r="A101" s="320" t="s">
        <v>141</v>
      </c>
      <c r="B101" s="306" t="s">
        <v>65</v>
      </c>
      <c r="C101" s="7">
        <v>37046</v>
      </c>
      <c r="D101" s="6" t="s">
        <v>58</v>
      </c>
      <c r="E101" s="58">
        <f>SUM(I101:S101)</f>
        <v>2000000000</v>
      </c>
      <c r="F101" s="195"/>
      <c r="G101" s="239" t="s">
        <v>26</v>
      </c>
      <c r="H101" s="36"/>
      <c r="I101" s="36">
        <v>285714000</v>
      </c>
      <c r="J101" s="36">
        <v>285714000</v>
      </c>
      <c r="K101" s="36">
        <v>285714000</v>
      </c>
      <c r="L101" s="36">
        <v>285714000</v>
      </c>
      <c r="M101" s="36">
        <v>285714000</v>
      </c>
      <c r="N101" s="36">
        <v>285714000</v>
      </c>
      <c r="O101" s="36">
        <v>285716000</v>
      </c>
      <c r="P101" s="36"/>
      <c r="Q101" s="36"/>
      <c r="R101" s="36"/>
      <c r="S101" s="99"/>
      <c r="T101" s="106"/>
      <c r="U101" s="15"/>
      <c r="V101" s="15"/>
      <c r="W101" s="15"/>
      <c r="X101" s="15"/>
      <c r="Y101" s="15"/>
      <c r="Z101" s="15"/>
    </row>
    <row r="102" spans="1:26" ht="12.75">
      <c r="A102" s="320"/>
      <c r="B102" s="314" t="s">
        <v>75</v>
      </c>
      <c r="C102" s="43"/>
      <c r="D102" s="43"/>
      <c r="E102" s="146"/>
      <c r="F102" s="220">
        <f>SUM(H102:S102)</f>
        <v>632335000</v>
      </c>
      <c r="G102" s="242" t="s">
        <v>27</v>
      </c>
      <c r="H102" s="69">
        <v>140525000</v>
      </c>
      <c r="I102" s="69">
        <v>130790000</v>
      </c>
      <c r="J102" s="69">
        <v>110330000</v>
      </c>
      <c r="K102" s="69">
        <v>90255000</v>
      </c>
      <c r="L102" s="69">
        <v>70180000</v>
      </c>
      <c r="M102" s="69">
        <v>50270000</v>
      </c>
      <c r="N102" s="291">
        <v>30030000</v>
      </c>
      <c r="O102" s="69">
        <v>9955000</v>
      </c>
      <c r="P102" s="292"/>
      <c r="Q102" s="293"/>
      <c r="R102" s="36"/>
      <c r="S102" s="99"/>
      <c r="T102" s="106"/>
      <c r="U102" s="15"/>
      <c r="V102" s="15"/>
      <c r="W102" s="15"/>
      <c r="X102" s="15"/>
      <c r="Y102" s="15"/>
      <c r="Z102" s="15"/>
    </row>
    <row r="103" spans="1:26" ht="12.75">
      <c r="A103" s="320" t="s">
        <v>142</v>
      </c>
      <c r="B103" s="315" t="s">
        <v>66</v>
      </c>
      <c r="C103" s="7">
        <v>37428</v>
      </c>
      <c r="D103" s="6" t="s">
        <v>58</v>
      </c>
      <c r="E103" s="58">
        <f>SUM(I103:S103)</f>
        <v>3000000000</v>
      </c>
      <c r="F103" s="195"/>
      <c r="G103" s="239" t="s">
        <v>26</v>
      </c>
      <c r="H103" s="6"/>
      <c r="I103" s="6"/>
      <c r="J103" s="36">
        <v>562500000</v>
      </c>
      <c r="K103" s="36">
        <v>750000000</v>
      </c>
      <c r="L103" s="36">
        <v>1687500000</v>
      </c>
      <c r="M103" s="6"/>
      <c r="N103" s="6"/>
      <c r="O103" s="6"/>
      <c r="P103" s="6"/>
      <c r="Q103" s="6"/>
      <c r="R103" s="6"/>
      <c r="S103" s="363"/>
      <c r="T103" s="106"/>
      <c r="U103" s="15"/>
      <c r="V103" s="15"/>
      <c r="W103" s="15"/>
      <c r="X103" s="15"/>
      <c r="Y103" s="15"/>
      <c r="Z103" s="15"/>
    </row>
    <row r="104" spans="1:26" ht="13.5" thickBot="1">
      <c r="A104" s="320"/>
      <c r="B104" s="316"/>
      <c r="C104" s="14"/>
      <c r="D104" s="14"/>
      <c r="E104" s="14"/>
      <c r="F104" s="214">
        <f>SUM(H104:T104)</f>
        <v>759611000</v>
      </c>
      <c r="G104" s="56" t="s">
        <v>27</v>
      </c>
      <c r="H104" s="102">
        <v>192842000</v>
      </c>
      <c r="I104" s="102">
        <v>193370000</v>
      </c>
      <c r="J104" s="102">
        <v>183794000</v>
      </c>
      <c r="K104" s="102">
        <v>138555000</v>
      </c>
      <c r="L104" s="102">
        <v>51050000</v>
      </c>
      <c r="M104" s="102"/>
      <c r="N104" s="296"/>
      <c r="O104" s="14"/>
      <c r="P104" s="14"/>
      <c r="Q104" s="14"/>
      <c r="R104" s="14"/>
      <c r="S104" s="364"/>
      <c r="T104" s="105"/>
      <c r="U104" s="15"/>
      <c r="V104" s="15"/>
      <c r="W104" s="15"/>
      <c r="X104" s="15"/>
      <c r="Y104" s="15"/>
      <c r="Z104" s="15"/>
    </row>
    <row r="105" spans="1:26" ht="14.25" thickBot="1" thickTop="1">
      <c r="A105" s="352"/>
      <c r="B105" s="317" t="s">
        <v>7</v>
      </c>
      <c r="C105" s="148"/>
      <c r="D105" s="101"/>
      <c r="E105" s="39">
        <f>SUM(E99:E104)</f>
        <v>6877490000</v>
      </c>
      <c r="F105" s="247">
        <f>SUM(F99:F104)</f>
        <v>2062350741.75</v>
      </c>
      <c r="G105" s="243"/>
      <c r="H105" s="39">
        <f>SUM(H99:H104)</f>
        <v>432686221</v>
      </c>
      <c r="I105" s="39">
        <f aca="true" t="shared" si="3" ref="I105:S105">SUM(I99:I104)</f>
        <v>803067721</v>
      </c>
      <c r="J105" s="39">
        <f t="shared" si="3"/>
        <v>1421957279.425</v>
      </c>
      <c r="K105" s="39">
        <f t="shared" si="3"/>
        <v>1534211357.325</v>
      </c>
      <c r="L105" s="39">
        <f t="shared" si="3"/>
        <v>2354199435.225</v>
      </c>
      <c r="M105" s="39">
        <f t="shared" si="3"/>
        <v>585807513.125</v>
      </c>
      <c r="N105" s="39">
        <f t="shared" si="3"/>
        <v>555635591.025</v>
      </c>
      <c r="O105" s="39">
        <f t="shared" si="3"/>
        <v>525630668.925</v>
      </c>
      <c r="P105" s="39">
        <f t="shared" si="3"/>
        <v>220027746.825</v>
      </c>
      <c r="Q105" s="39">
        <f t="shared" si="3"/>
        <v>210095824.725</v>
      </c>
      <c r="R105" s="39">
        <f t="shared" si="3"/>
        <v>200163902.625</v>
      </c>
      <c r="S105" s="356">
        <f t="shared" si="3"/>
        <v>96357480.525</v>
      </c>
      <c r="T105" s="215"/>
      <c r="U105" s="60"/>
      <c r="V105" s="60"/>
      <c r="W105" s="60"/>
      <c r="X105" s="60"/>
      <c r="Y105" s="60"/>
      <c r="Z105" s="60"/>
    </row>
    <row r="106" spans="1:26" ht="12.75">
      <c r="A106" s="320"/>
      <c r="B106" s="313"/>
      <c r="C106" s="27"/>
      <c r="D106" s="62"/>
      <c r="E106" s="76"/>
      <c r="F106" s="334">
        <f>SUM(E105:F105)</f>
        <v>8939840741.75</v>
      </c>
      <c r="G106" s="28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213"/>
      <c r="U106" s="60"/>
      <c r="V106" s="60"/>
      <c r="W106" s="60"/>
      <c r="X106" s="60"/>
      <c r="Y106" s="60"/>
      <c r="Z106" s="60"/>
    </row>
    <row r="107" spans="1:26" ht="12.75">
      <c r="A107" s="320"/>
      <c r="B107" s="313"/>
      <c r="C107" s="27"/>
      <c r="D107" s="62"/>
      <c r="E107" s="76"/>
      <c r="F107" s="334">
        <f>SUM(H105:T105)</f>
        <v>8939840741.75</v>
      </c>
      <c r="G107" s="28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213"/>
      <c r="U107" s="60"/>
      <c r="V107" s="60"/>
      <c r="W107" s="60"/>
      <c r="X107" s="60"/>
      <c r="Y107" s="60"/>
      <c r="Z107" s="60"/>
    </row>
    <row r="108" spans="1:26" ht="13.5" thickBot="1">
      <c r="A108" s="320"/>
      <c r="B108" s="313"/>
      <c r="C108" s="27"/>
      <c r="D108" s="62"/>
      <c r="E108" s="76"/>
      <c r="F108" s="213"/>
      <c r="G108" s="28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202"/>
      <c r="U108" s="15"/>
      <c r="V108" s="15"/>
      <c r="W108" s="15"/>
      <c r="X108" s="15"/>
      <c r="Y108" s="15"/>
      <c r="Z108" s="15"/>
    </row>
    <row r="109" spans="1:26" s="1" customFormat="1" ht="12.75">
      <c r="A109" s="322" t="s">
        <v>157</v>
      </c>
      <c r="B109" s="325" t="s">
        <v>17</v>
      </c>
      <c r="C109" s="326" t="s">
        <v>18</v>
      </c>
      <c r="D109" s="235" t="s">
        <v>95</v>
      </c>
      <c r="E109" s="18" t="s">
        <v>159</v>
      </c>
      <c r="F109" s="150"/>
      <c r="G109" s="20"/>
      <c r="H109" s="21"/>
      <c r="I109" s="21" t="s">
        <v>36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150"/>
      <c r="U109" s="21"/>
      <c r="V109" s="21"/>
      <c r="W109" s="20"/>
      <c r="X109" s="21"/>
      <c r="Y109" s="21"/>
      <c r="Z109" s="150"/>
    </row>
    <row r="110" spans="1:26" s="1" customFormat="1" ht="12.75">
      <c r="A110" s="323" t="s">
        <v>158</v>
      </c>
      <c r="B110" s="4"/>
      <c r="C110" s="327" t="s">
        <v>19</v>
      </c>
      <c r="D110" s="236" t="s">
        <v>89</v>
      </c>
      <c r="E110" s="329" t="s">
        <v>160</v>
      </c>
      <c r="F110" s="329" t="s">
        <v>25</v>
      </c>
      <c r="G110" s="9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279"/>
      <c r="T110" s="349"/>
      <c r="U110" s="4"/>
      <c r="V110" s="4"/>
      <c r="W110" s="90"/>
      <c r="X110" s="4"/>
      <c r="Y110" s="4"/>
      <c r="Z110" s="193"/>
    </row>
    <row r="111" spans="1:26" s="1" customFormat="1" ht="13.5" thickBot="1">
      <c r="A111" s="324"/>
      <c r="B111" s="91"/>
      <c r="C111" s="328" t="s">
        <v>20</v>
      </c>
      <c r="D111" s="237" t="s">
        <v>96</v>
      </c>
      <c r="E111" s="330" t="s">
        <v>26</v>
      </c>
      <c r="F111" s="331" t="s">
        <v>27</v>
      </c>
      <c r="G111" s="172"/>
      <c r="H111" s="80">
        <v>2003</v>
      </c>
      <c r="I111" s="80">
        <v>2004</v>
      </c>
      <c r="J111" s="80">
        <v>2005</v>
      </c>
      <c r="K111" s="80">
        <v>2006</v>
      </c>
      <c r="L111" s="80">
        <v>2007</v>
      </c>
      <c r="M111" s="80">
        <v>2008</v>
      </c>
      <c r="N111" s="80">
        <v>2009</v>
      </c>
      <c r="O111" s="80">
        <v>2010</v>
      </c>
      <c r="P111" s="80">
        <v>2011</v>
      </c>
      <c r="Q111" s="80">
        <v>2012</v>
      </c>
      <c r="R111" s="80">
        <v>2013</v>
      </c>
      <c r="S111" s="91">
        <v>2014</v>
      </c>
      <c r="T111" s="223">
        <v>2015</v>
      </c>
      <c r="U111" s="91">
        <v>2016</v>
      </c>
      <c r="V111" s="91">
        <v>2017</v>
      </c>
      <c r="W111" s="172">
        <v>2018</v>
      </c>
      <c r="X111" s="176">
        <v>2019</v>
      </c>
      <c r="Y111" s="80">
        <v>2020</v>
      </c>
      <c r="Z111" s="353">
        <v>2021</v>
      </c>
    </row>
    <row r="112" spans="1:26" ht="13.5" thickTop="1">
      <c r="A112" s="320"/>
      <c r="B112" s="241" t="s">
        <v>93</v>
      </c>
      <c r="C112" s="9"/>
      <c r="D112" s="9"/>
      <c r="E112" s="9"/>
      <c r="F112" s="297"/>
      <c r="G112" s="238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126"/>
      <c r="U112" s="238"/>
      <c r="V112" s="9"/>
      <c r="W112" s="9"/>
      <c r="X112" s="9"/>
      <c r="Y112" s="9"/>
      <c r="Z112" s="126"/>
    </row>
    <row r="113" spans="1:26" ht="12.75">
      <c r="A113" s="320" t="s">
        <v>143</v>
      </c>
      <c r="B113" s="238" t="s">
        <v>61</v>
      </c>
      <c r="C113" s="64">
        <v>37235</v>
      </c>
      <c r="D113" s="9" t="s">
        <v>24</v>
      </c>
      <c r="E113" s="35">
        <f>SUM(H113:Z113)</f>
        <v>1800000004.7651992</v>
      </c>
      <c r="F113" s="194"/>
      <c r="G113" s="238" t="s">
        <v>26</v>
      </c>
      <c r="H113" s="35"/>
      <c r="I113" s="63"/>
      <c r="J113" s="63"/>
      <c r="K113" s="63"/>
      <c r="L113" s="143">
        <f>2876180.44*C200</f>
        <v>120000000.31768</v>
      </c>
      <c r="M113" s="143">
        <f>2876180.44*C200</f>
        <v>120000000.31768</v>
      </c>
      <c r="N113" s="143">
        <f>2876180.44*C200</f>
        <v>120000000.31768</v>
      </c>
      <c r="O113" s="143">
        <f>2876180.44*C200</f>
        <v>120000000.31768</v>
      </c>
      <c r="P113" s="143">
        <f>2876180.44*C200</f>
        <v>120000000.31768</v>
      </c>
      <c r="Q113" s="143">
        <f>2876180.44*C200</f>
        <v>120000000.31768</v>
      </c>
      <c r="R113" s="143">
        <f>2876180.44*C200</f>
        <v>120000000.31768</v>
      </c>
      <c r="S113" s="143">
        <f>2876180.44*C200</f>
        <v>120000000.31768</v>
      </c>
      <c r="T113" s="273">
        <f>2876180.44*C200</f>
        <v>120000000.31768</v>
      </c>
      <c r="U113" s="367">
        <f>2876180.44*C200</f>
        <v>120000000.31768</v>
      </c>
      <c r="V113" s="143">
        <f>2876180.44*C200</f>
        <v>120000000.31768</v>
      </c>
      <c r="W113" s="143">
        <f>2876180.44*C200</f>
        <v>120000000.31768</v>
      </c>
      <c r="X113" s="143">
        <f>2876180.44*C200</f>
        <v>120000000.31768</v>
      </c>
      <c r="Y113" s="143">
        <f>2876180.44*C200</f>
        <v>120000000.31768</v>
      </c>
      <c r="Z113" s="273">
        <f>2876180.44*C200</f>
        <v>120000000.31768</v>
      </c>
    </row>
    <row r="114" spans="1:26" ht="12.75">
      <c r="A114" s="320"/>
      <c r="B114" s="239"/>
      <c r="C114" s="6"/>
      <c r="D114" s="6"/>
      <c r="E114" s="6"/>
      <c r="F114" s="195">
        <f>SUM(H114:Z114)</f>
        <v>1352468696.4</v>
      </c>
      <c r="G114" s="239" t="s">
        <v>27</v>
      </c>
      <c r="H114" s="69">
        <f>2700000*C200</f>
        <v>112649400</v>
      </c>
      <c r="I114" s="69">
        <f>2700000*C200</f>
        <v>112649400</v>
      </c>
      <c r="J114" s="69">
        <f>2700000*C200</f>
        <v>112649400</v>
      </c>
      <c r="K114" s="69">
        <f>2700000*C200</f>
        <v>112649400</v>
      </c>
      <c r="L114" s="69">
        <f>2700000*C200</f>
        <v>112649400</v>
      </c>
      <c r="M114" s="69">
        <f>2520180*C200</f>
        <v>105146949.96000001</v>
      </c>
      <c r="N114" s="69">
        <f>2340360*C200</f>
        <v>97644499.92</v>
      </c>
      <c r="O114" s="69">
        <f>2160540*C200</f>
        <v>90142049.88000001</v>
      </c>
      <c r="P114" s="69">
        <f>1980720*C200</f>
        <v>82639599.84</v>
      </c>
      <c r="Q114" s="69">
        <f>1800900*C200</f>
        <v>75137149.8</v>
      </c>
      <c r="R114" s="69">
        <f>1621080*C200</f>
        <v>67634699.76</v>
      </c>
      <c r="S114" s="69">
        <f>1441260*C200</f>
        <v>60132249.72</v>
      </c>
      <c r="T114" s="211">
        <f>1261440*C200</f>
        <v>52629799.68</v>
      </c>
      <c r="U114" s="291">
        <f>1081620*C200</f>
        <v>45127349.64</v>
      </c>
      <c r="V114" s="69">
        <f>901800*C200</f>
        <v>37624899.6</v>
      </c>
      <c r="W114" s="69">
        <f>721980*C200</f>
        <v>30122449.560000002</v>
      </c>
      <c r="X114" s="69">
        <f>542160*C200</f>
        <v>22619999.52</v>
      </c>
      <c r="Y114" s="69">
        <f>362340*C200</f>
        <v>15117549.48</v>
      </c>
      <c r="Z114" s="211">
        <f>179820*C200</f>
        <v>7502450.04</v>
      </c>
    </row>
    <row r="115" spans="1:26" ht="12.75">
      <c r="A115" s="320" t="s">
        <v>144</v>
      </c>
      <c r="B115" s="239" t="s">
        <v>61</v>
      </c>
      <c r="C115" s="7">
        <v>37316</v>
      </c>
      <c r="D115" s="6" t="s">
        <v>58</v>
      </c>
      <c r="E115" s="35">
        <f>SUM(H115:Z115)</f>
        <v>412000000</v>
      </c>
      <c r="F115" s="195"/>
      <c r="G115" s="239" t="s">
        <v>26</v>
      </c>
      <c r="H115" s="69">
        <v>41200000</v>
      </c>
      <c r="I115" s="69">
        <v>41200000</v>
      </c>
      <c r="J115" s="69">
        <v>41200000</v>
      </c>
      <c r="K115" s="69">
        <v>41200000</v>
      </c>
      <c r="L115" s="69">
        <v>41200000</v>
      </c>
      <c r="M115" s="69">
        <v>41200000</v>
      </c>
      <c r="N115" s="69">
        <v>41200000</v>
      </c>
      <c r="O115" s="69">
        <v>41200000</v>
      </c>
      <c r="P115" s="69">
        <v>41200000</v>
      </c>
      <c r="Q115" s="69">
        <v>41200000</v>
      </c>
      <c r="R115" s="69"/>
      <c r="S115" s="69"/>
      <c r="T115" s="211"/>
      <c r="U115" s="291"/>
      <c r="V115" s="69"/>
      <c r="W115" s="69"/>
      <c r="X115" s="69"/>
      <c r="Y115" s="69"/>
      <c r="Z115" s="211"/>
    </row>
    <row r="116" spans="1:26" ht="13.5" thickBot="1">
      <c r="A116" s="320"/>
      <c r="B116" s="239" t="s">
        <v>94</v>
      </c>
      <c r="C116" s="6"/>
      <c r="D116" s="6"/>
      <c r="E116" s="6"/>
      <c r="F116" s="195">
        <f>SUM(H116:Z116)</f>
        <v>140157000</v>
      </c>
      <c r="G116" s="239" t="s">
        <v>27</v>
      </c>
      <c r="H116" s="69">
        <v>9383000</v>
      </c>
      <c r="I116" s="69">
        <v>24514000</v>
      </c>
      <c r="J116" s="69">
        <v>26330000</v>
      </c>
      <c r="K116" s="69">
        <v>22570000</v>
      </c>
      <c r="L116" s="69">
        <v>18810000</v>
      </c>
      <c r="M116" s="69">
        <v>15050000</v>
      </c>
      <c r="N116" s="69">
        <v>11280000</v>
      </c>
      <c r="O116" s="69">
        <v>7520000</v>
      </c>
      <c r="P116" s="69">
        <v>3760000</v>
      </c>
      <c r="Q116" s="69">
        <v>940000</v>
      </c>
      <c r="R116" s="69"/>
      <c r="S116" s="69"/>
      <c r="T116" s="211"/>
      <c r="U116" s="291"/>
      <c r="V116" s="69"/>
      <c r="W116" s="277"/>
      <c r="X116" s="69"/>
      <c r="Y116" s="69"/>
      <c r="Z116" s="211"/>
    </row>
    <row r="117" spans="1:26" s="2" customFormat="1" ht="14.25" thickBot="1" thickTop="1">
      <c r="A117" s="351"/>
      <c r="B117" s="240" t="s">
        <v>7</v>
      </c>
      <c r="C117" s="16"/>
      <c r="D117" s="16"/>
      <c r="E117" s="38">
        <f>SUM(E113:E116)</f>
        <v>2212000004.765199</v>
      </c>
      <c r="F117" s="215">
        <f>SUM(F113:F116)</f>
        <v>1492625696.4</v>
      </c>
      <c r="G117" s="240"/>
      <c r="H117" s="38">
        <f aca="true" t="shared" si="4" ref="H117:Z117">SUM(H113:H116)</f>
        <v>163232400</v>
      </c>
      <c r="I117" s="38">
        <f t="shared" si="4"/>
        <v>178363400</v>
      </c>
      <c r="J117" s="38">
        <f t="shared" si="4"/>
        <v>180179400</v>
      </c>
      <c r="K117" s="38">
        <f t="shared" si="4"/>
        <v>176419400</v>
      </c>
      <c r="L117" s="38">
        <f t="shared" si="4"/>
        <v>292659400.31768</v>
      </c>
      <c r="M117" s="38">
        <f t="shared" si="4"/>
        <v>281396950.27768004</v>
      </c>
      <c r="N117" s="38">
        <f t="shared" si="4"/>
        <v>270124500.23768</v>
      </c>
      <c r="O117" s="38">
        <f t="shared" si="4"/>
        <v>258862050.19768</v>
      </c>
      <c r="P117" s="38">
        <f t="shared" si="4"/>
        <v>247599600.15768</v>
      </c>
      <c r="Q117" s="38">
        <f t="shared" si="4"/>
        <v>237277150.11768</v>
      </c>
      <c r="R117" s="38">
        <f t="shared" si="4"/>
        <v>187634700.07768</v>
      </c>
      <c r="S117" s="38">
        <f t="shared" si="4"/>
        <v>180132250.03768</v>
      </c>
      <c r="T117" s="215">
        <f t="shared" si="4"/>
        <v>172629799.99768</v>
      </c>
      <c r="U117" s="368">
        <f t="shared" si="4"/>
        <v>165127349.95768</v>
      </c>
      <c r="V117" s="38">
        <f t="shared" si="4"/>
        <v>157624899.91768</v>
      </c>
      <c r="W117" s="38">
        <f t="shared" si="4"/>
        <v>150122449.87768</v>
      </c>
      <c r="X117" s="38">
        <f t="shared" si="4"/>
        <v>142619999.83768</v>
      </c>
      <c r="Y117" s="38">
        <f t="shared" si="4"/>
        <v>135117549.79768</v>
      </c>
      <c r="Z117" s="215">
        <f t="shared" si="4"/>
        <v>127502450.35768001</v>
      </c>
    </row>
    <row r="118" spans="1:26" s="2" customFormat="1" ht="12.75">
      <c r="A118" s="321"/>
      <c r="B118" s="47"/>
      <c r="C118" s="47"/>
      <c r="D118" s="47"/>
      <c r="E118" s="60"/>
      <c r="F118" s="335">
        <f>SUM(E117:F117)</f>
        <v>3704625701.1651993</v>
      </c>
      <c r="G118" s="47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301"/>
      <c r="S118" s="365" t="s">
        <v>109</v>
      </c>
      <c r="T118" s="358">
        <f>SUM(U117:Z117)</f>
        <v>878114699.74608</v>
      </c>
      <c r="U118" s="60"/>
      <c r="V118" s="60"/>
      <c r="W118" s="60"/>
      <c r="X118" s="60"/>
      <c r="Y118" s="60"/>
      <c r="Z118" s="60"/>
    </row>
    <row r="119" spans="1:26" s="2" customFormat="1" ht="13.5" thickBot="1">
      <c r="A119" s="351"/>
      <c r="B119" s="157"/>
      <c r="C119" s="157"/>
      <c r="D119" s="157"/>
      <c r="E119" s="361"/>
      <c r="F119" s="371">
        <f>SUM(H117:AA117)</f>
        <v>3704625701.1651998</v>
      </c>
      <c r="G119" s="157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9"/>
      <c r="U119" s="60"/>
      <c r="V119" s="60"/>
      <c r="W119" s="60"/>
      <c r="X119" s="60"/>
      <c r="Y119" s="60"/>
      <c r="Z119" s="60"/>
    </row>
    <row r="120" spans="1:23" s="2" customFormat="1" ht="13.5" thickBot="1">
      <c r="A120" s="376"/>
      <c r="B120" s="377"/>
      <c r="C120" s="377"/>
      <c r="D120" s="377"/>
      <c r="E120" s="125"/>
      <c r="F120" s="125"/>
      <c r="G120" s="377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378"/>
      <c r="U120" s="47"/>
      <c r="V120" s="47"/>
      <c r="W120" s="47"/>
    </row>
    <row r="121" spans="1:23" s="1" customFormat="1" ht="12.75">
      <c r="A121" s="322" t="s">
        <v>157</v>
      </c>
      <c r="B121" s="325" t="s">
        <v>17</v>
      </c>
      <c r="C121" s="326" t="s">
        <v>18</v>
      </c>
      <c r="D121" s="235" t="s">
        <v>95</v>
      </c>
      <c r="E121" s="18" t="s">
        <v>159</v>
      </c>
      <c r="F121" s="150"/>
      <c r="G121" s="20"/>
      <c r="H121" s="21"/>
      <c r="I121" s="21" t="s">
        <v>36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150"/>
      <c r="U121" s="21"/>
      <c r="V121" s="21"/>
      <c r="W121" s="150"/>
    </row>
    <row r="122" spans="1:23" s="1" customFormat="1" ht="12.75">
      <c r="A122" s="323" t="s">
        <v>158</v>
      </c>
      <c r="B122" s="4"/>
      <c r="C122" s="327" t="s">
        <v>19</v>
      </c>
      <c r="D122" s="236" t="s">
        <v>89</v>
      </c>
      <c r="E122" s="329" t="s">
        <v>160</v>
      </c>
      <c r="F122" s="329" t="s">
        <v>25</v>
      </c>
      <c r="G122" s="90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279"/>
      <c r="T122" s="193"/>
      <c r="U122" s="4"/>
      <c r="V122" s="4"/>
      <c r="W122" s="193"/>
    </row>
    <row r="123" spans="1:23" s="1" customFormat="1" ht="13.5" thickBot="1">
      <c r="A123" s="324"/>
      <c r="B123" s="91"/>
      <c r="C123" s="328" t="s">
        <v>20</v>
      </c>
      <c r="D123" s="237" t="s">
        <v>96</v>
      </c>
      <c r="E123" s="330" t="s">
        <v>26</v>
      </c>
      <c r="F123" s="331" t="s">
        <v>27</v>
      </c>
      <c r="G123" s="172"/>
      <c r="H123" s="80">
        <v>2003</v>
      </c>
      <c r="I123" s="80">
        <v>2004</v>
      </c>
      <c r="J123" s="80">
        <v>2005</v>
      </c>
      <c r="K123" s="80">
        <v>2006</v>
      </c>
      <c r="L123" s="80">
        <v>2007</v>
      </c>
      <c r="M123" s="80">
        <v>2008</v>
      </c>
      <c r="N123" s="80">
        <v>2009</v>
      </c>
      <c r="O123" s="80">
        <v>2010</v>
      </c>
      <c r="P123" s="80">
        <v>2011</v>
      </c>
      <c r="Q123" s="80">
        <v>2012</v>
      </c>
      <c r="R123" s="80">
        <v>2013</v>
      </c>
      <c r="S123" s="91">
        <v>2014</v>
      </c>
      <c r="T123" s="353">
        <v>2015</v>
      </c>
      <c r="U123" s="80">
        <v>2016</v>
      </c>
      <c r="V123" s="80">
        <v>2017</v>
      </c>
      <c r="W123" s="353">
        <v>2018</v>
      </c>
    </row>
    <row r="124" spans="1:23" ht="13.5" thickTop="1">
      <c r="A124" s="320"/>
      <c r="B124" s="241" t="s">
        <v>32</v>
      </c>
      <c r="C124" s="9"/>
      <c r="D124" s="9"/>
      <c r="E124" s="9"/>
      <c r="F124" s="126"/>
      <c r="G124" s="238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4"/>
      <c r="T124" s="126"/>
      <c r="U124" s="238"/>
      <c r="V124" s="9"/>
      <c r="W124" s="9"/>
    </row>
    <row r="125" spans="1:23" ht="12.75">
      <c r="A125" s="320" t="s">
        <v>145</v>
      </c>
      <c r="B125" s="239" t="s">
        <v>33</v>
      </c>
      <c r="C125" s="7">
        <v>34711</v>
      </c>
      <c r="D125" s="6" t="s">
        <v>22</v>
      </c>
      <c r="E125" s="36">
        <f>SUM(H125:N125)</f>
        <v>56050400</v>
      </c>
      <c r="F125" s="195"/>
      <c r="G125" s="239" t="s">
        <v>26</v>
      </c>
      <c r="H125" s="36">
        <f>200000*C199</f>
        <v>8007200</v>
      </c>
      <c r="I125" s="36">
        <f>200000*C199</f>
        <v>8007200</v>
      </c>
      <c r="J125" s="36">
        <f>200000*C199</f>
        <v>8007200</v>
      </c>
      <c r="K125" s="36">
        <f>200000*C199</f>
        <v>8007200</v>
      </c>
      <c r="L125" s="36">
        <f>200000*C199</f>
        <v>8007200</v>
      </c>
      <c r="M125" s="36">
        <f>200000*C199</f>
        <v>8007200</v>
      </c>
      <c r="N125" s="36">
        <f>200000*C199</f>
        <v>8007200</v>
      </c>
      <c r="O125" s="6"/>
      <c r="P125" s="36"/>
      <c r="Q125" s="36"/>
      <c r="R125" s="36"/>
      <c r="S125" s="99"/>
      <c r="T125" s="106"/>
      <c r="U125" s="239"/>
      <c r="V125" s="6"/>
      <c r="W125" s="6"/>
    </row>
    <row r="126" spans="1:23" ht="12.75">
      <c r="A126" s="320"/>
      <c r="B126" s="239"/>
      <c r="C126" s="6"/>
      <c r="D126" s="6"/>
      <c r="E126" s="6"/>
      <c r="F126" s="195">
        <f>SUM(H126:N126)</f>
        <v>5832724.732000001</v>
      </c>
      <c r="G126" s="239" t="s">
        <v>27</v>
      </c>
      <c r="H126" s="36">
        <f>37560*C199</f>
        <v>1503752.1600000001</v>
      </c>
      <c r="I126" s="36">
        <f>31918*C199</f>
        <v>1277869.048</v>
      </c>
      <c r="J126" s="36">
        <f>26386*C199</f>
        <v>1056389.896</v>
      </c>
      <c r="K126" s="36">
        <f>20758*C199</f>
        <v>831067.2880000001</v>
      </c>
      <c r="L126" s="36">
        <f>15219*C199</f>
        <v>609307.8840000001</v>
      </c>
      <c r="M126" s="36">
        <f>9704*C199</f>
        <v>388509.34400000004</v>
      </c>
      <c r="N126" s="36">
        <f>4142*C199</f>
        <v>165829.112</v>
      </c>
      <c r="O126" s="6"/>
      <c r="P126" s="36"/>
      <c r="Q126" s="36"/>
      <c r="R126" s="36"/>
      <c r="S126" s="99"/>
      <c r="T126" s="106"/>
      <c r="U126" s="239"/>
      <c r="V126" s="6"/>
      <c r="W126" s="6"/>
    </row>
    <row r="127" spans="1:23" ht="12.75">
      <c r="A127" s="320" t="s">
        <v>146</v>
      </c>
      <c r="B127" s="239" t="s">
        <v>16</v>
      </c>
      <c r="C127" s="7">
        <v>35044</v>
      </c>
      <c r="D127" s="6" t="s">
        <v>22</v>
      </c>
      <c r="E127" s="36">
        <f>SUM(H127:L127)</f>
        <v>800726856.165</v>
      </c>
      <c r="F127" s="195"/>
      <c r="G127" s="239" t="s">
        <v>26</v>
      </c>
      <c r="H127" s="36">
        <f>4444482.5*C199</f>
        <v>177939301.37</v>
      </c>
      <c r="I127" s="36">
        <f>4444482.5*C199</f>
        <v>177939301.37</v>
      </c>
      <c r="J127" s="36">
        <f>4444482.5*C199</f>
        <v>177939301.37</v>
      </c>
      <c r="K127" s="36">
        <f>4444482.5*C199</f>
        <v>177939301.37</v>
      </c>
      <c r="L127" s="36">
        <f>2222241.25*C199</f>
        <v>88969650.685</v>
      </c>
      <c r="M127" s="6"/>
      <c r="N127" s="36"/>
      <c r="O127" s="36"/>
      <c r="P127" s="36"/>
      <c r="Q127" s="36"/>
      <c r="R127" s="36"/>
      <c r="S127" s="99"/>
      <c r="T127" s="106"/>
      <c r="U127" s="239"/>
      <c r="V127" s="6"/>
      <c r="W127" s="6"/>
    </row>
    <row r="128" spans="1:23" ht="13.5" thickBot="1">
      <c r="A128" s="320"/>
      <c r="B128" s="56"/>
      <c r="C128" s="14"/>
      <c r="D128" s="14"/>
      <c r="E128" s="14"/>
      <c r="F128" s="214">
        <f>SUM(H128:L128)</f>
        <v>137150851.57412001</v>
      </c>
      <c r="G128" s="56" t="s">
        <v>27</v>
      </c>
      <c r="H128" s="37">
        <f>1294148.86*C199</f>
        <v>51812543.75896001</v>
      </c>
      <c r="I128" s="37">
        <f>989643.26*C199</f>
        <v>39621357.55736</v>
      </c>
      <c r="J128" s="37">
        <f>685137.65*C199</f>
        <v>27430170.9554</v>
      </c>
      <c r="K128" s="37">
        <f>380632*C199</f>
        <v>15238982.752</v>
      </c>
      <c r="L128" s="37">
        <f>76126.4*C199</f>
        <v>3047796.5504</v>
      </c>
      <c r="M128" s="14"/>
      <c r="N128" s="37"/>
      <c r="O128" s="37"/>
      <c r="P128" s="37"/>
      <c r="Q128" s="37"/>
      <c r="R128" s="37"/>
      <c r="S128" s="355"/>
      <c r="T128" s="105"/>
      <c r="U128" s="239"/>
      <c r="V128" s="6"/>
      <c r="W128" s="6"/>
    </row>
    <row r="129" spans="1:23" s="2" customFormat="1" ht="14.25" thickBot="1" thickTop="1">
      <c r="A129" s="351"/>
      <c r="B129" s="133" t="s">
        <v>7</v>
      </c>
      <c r="C129" s="30"/>
      <c r="D129" s="30"/>
      <c r="E129" s="39">
        <f>SUM(E125:E128)</f>
        <v>856777256.165</v>
      </c>
      <c r="F129" s="247">
        <f>SUM(F125:F128)</f>
        <v>142983576.30612</v>
      </c>
      <c r="G129" s="133"/>
      <c r="H129" s="39">
        <f aca="true" t="shared" si="5" ref="H129:N129">SUM(H125:H128)</f>
        <v>239262797.28896</v>
      </c>
      <c r="I129" s="39">
        <f t="shared" si="5"/>
        <v>226845727.97536</v>
      </c>
      <c r="J129" s="39">
        <f t="shared" si="5"/>
        <v>214433062.2214</v>
      </c>
      <c r="K129" s="39">
        <f t="shared" si="5"/>
        <v>202016551.41</v>
      </c>
      <c r="L129" s="39">
        <f t="shared" si="5"/>
        <v>100633955.11940001</v>
      </c>
      <c r="M129" s="39">
        <f t="shared" si="5"/>
        <v>8395709.344</v>
      </c>
      <c r="N129" s="39">
        <f t="shared" si="5"/>
        <v>8173029.112</v>
      </c>
      <c r="O129" s="39"/>
      <c r="P129" s="39"/>
      <c r="Q129" s="39"/>
      <c r="R129" s="39"/>
      <c r="S129" s="356"/>
      <c r="T129" s="107"/>
      <c r="U129" s="372"/>
      <c r="V129" s="178"/>
      <c r="W129" s="178"/>
    </row>
    <row r="130" spans="1:23" s="2" customFormat="1" ht="12.75">
      <c r="A130" s="321"/>
      <c r="B130" s="47"/>
      <c r="C130" s="47"/>
      <c r="D130" s="47"/>
      <c r="E130" s="60"/>
      <c r="F130" s="334">
        <f>SUM(E129:F129)</f>
        <v>999760832.47112</v>
      </c>
      <c r="G130" s="47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360"/>
      <c r="U130" s="47"/>
      <c r="V130" s="47"/>
      <c r="W130" s="47"/>
    </row>
    <row r="131" spans="1:23" s="2" customFormat="1" ht="12.75">
      <c r="A131" s="321"/>
      <c r="B131" s="47"/>
      <c r="C131" s="47"/>
      <c r="D131" s="47"/>
      <c r="E131" s="60"/>
      <c r="F131" s="334">
        <f>SUM(H129:O129)</f>
        <v>999760832.47112</v>
      </c>
      <c r="G131" s="47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360"/>
      <c r="U131" s="47"/>
      <c r="V131" s="47"/>
      <c r="W131" s="47"/>
    </row>
    <row r="132" spans="1:23" ht="13.5" thickBot="1">
      <c r="A132" s="320"/>
      <c r="B132" s="47"/>
      <c r="C132" s="15"/>
      <c r="D132" s="15"/>
      <c r="E132" s="15"/>
      <c r="F132" s="202"/>
      <c r="G132" s="15"/>
      <c r="H132" s="15"/>
      <c r="I132" s="15"/>
      <c r="J132" s="15"/>
      <c r="K132" s="92"/>
      <c r="L132" s="92"/>
      <c r="M132" s="92"/>
      <c r="N132" s="92"/>
      <c r="O132" s="92"/>
      <c r="P132" s="92"/>
      <c r="Q132" s="92"/>
      <c r="R132" s="92"/>
      <c r="S132" s="92"/>
      <c r="T132" s="359"/>
      <c r="U132" s="92"/>
      <c r="V132" s="92"/>
      <c r="W132" s="92"/>
    </row>
    <row r="133" spans="1:23" s="1" customFormat="1" ht="12.75">
      <c r="A133" s="322" t="s">
        <v>157</v>
      </c>
      <c r="B133" s="325" t="s">
        <v>17</v>
      </c>
      <c r="C133" s="326" t="s">
        <v>18</v>
      </c>
      <c r="D133" s="235" t="s">
        <v>95</v>
      </c>
      <c r="E133" s="18" t="s">
        <v>159</v>
      </c>
      <c r="F133" s="150"/>
      <c r="G133" s="20"/>
      <c r="H133" s="21"/>
      <c r="I133" s="21" t="s">
        <v>36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4"/>
      <c r="T133" s="193"/>
      <c r="W133" s="20"/>
    </row>
    <row r="134" spans="1:23" s="1" customFormat="1" ht="12.75">
      <c r="A134" s="323" t="s">
        <v>158</v>
      </c>
      <c r="B134" s="4"/>
      <c r="C134" s="327" t="s">
        <v>19</v>
      </c>
      <c r="D134" s="236" t="s">
        <v>89</v>
      </c>
      <c r="E134" s="329" t="s">
        <v>160</v>
      </c>
      <c r="F134" s="329" t="s">
        <v>25</v>
      </c>
      <c r="G134" s="90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279"/>
      <c r="T134" s="349"/>
      <c r="W134" s="90"/>
    </row>
    <row r="135" spans="1:23" s="1" customFormat="1" ht="13.5" thickBot="1">
      <c r="A135" s="324"/>
      <c r="B135" s="91"/>
      <c r="C135" s="328" t="s">
        <v>20</v>
      </c>
      <c r="D135" s="237" t="s">
        <v>96</v>
      </c>
      <c r="E135" s="330" t="s">
        <v>26</v>
      </c>
      <c r="F135" s="331" t="s">
        <v>27</v>
      </c>
      <c r="G135" s="172"/>
      <c r="H135" s="80">
        <v>2003</v>
      </c>
      <c r="I135" s="80">
        <v>2004</v>
      </c>
      <c r="J135" s="80">
        <v>2005</v>
      </c>
      <c r="K135" s="80">
        <v>2006</v>
      </c>
      <c r="L135" s="80">
        <v>2007</v>
      </c>
      <c r="M135" s="80">
        <v>2008</v>
      </c>
      <c r="N135" s="80">
        <v>2009</v>
      </c>
      <c r="O135" s="80">
        <v>2010</v>
      </c>
      <c r="P135" s="80">
        <v>2011</v>
      </c>
      <c r="Q135" s="80">
        <v>2012</v>
      </c>
      <c r="R135" s="80">
        <v>2013</v>
      </c>
      <c r="S135" s="91">
        <v>2014</v>
      </c>
      <c r="T135" s="223">
        <v>2015</v>
      </c>
      <c r="U135" s="91">
        <v>2016</v>
      </c>
      <c r="V135" s="91">
        <v>2017</v>
      </c>
      <c r="W135" s="172">
        <v>2018</v>
      </c>
    </row>
    <row r="136" spans="1:23" ht="13.5" thickTop="1">
      <c r="A136" s="320"/>
      <c r="B136" s="238"/>
      <c r="C136" s="9"/>
      <c r="D136" s="9"/>
      <c r="E136" s="9"/>
      <c r="F136" s="126"/>
      <c r="G136" s="238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106"/>
      <c r="U136" s="239"/>
      <c r="V136" s="6"/>
      <c r="W136" s="106"/>
    </row>
    <row r="137" spans="1:23" ht="12.75">
      <c r="A137" s="320"/>
      <c r="B137" s="302" t="s">
        <v>30</v>
      </c>
      <c r="C137" s="7">
        <v>34058</v>
      </c>
      <c r="D137" s="6" t="s">
        <v>24</v>
      </c>
      <c r="E137" s="36">
        <f>SUM(H137:M137)</f>
        <v>1125712633.30454</v>
      </c>
      <c r="F137" s="106"/>
      <c r="G137" s="239" t="s">
        <v>26</v>
      </c>
      <c r="H137" s="69">
        <f>4905685.83*C200</f>
        <v>204675024.19926</v>
      </c>
      <c r="I137" s="69">
        <f>4905685.83*C200</f>
        <v>204675024.19926</v>
      </c>
      <c r="J137" s="69">
        <f>4905685.83*C200</f>
        <v>204675024.19926</v>
      </c>
      <c r="K137" s="69">
        <f>4905685.83*C200</f>
        <v>204675024.19926</v>
      </c>
      <c r="L137" s="69">
        <f>4905685.83*C200</f>
        <v>204675024.19926</v>
      </c>
      <c r="M137" s="69">
        <f>2452842.92*C200</f>
        <v>102337512.30824</v>
      </c>
      <c r="N137" s="280"/>
      <c r="O137" s="69"/>
      <c r="P137" s="69"/>
      <c r="Q137" s="69"/>
      <c r="R137" s="36"/>
      <c r="S137" s="36"/>
      <c r="T137" s="106"/>
      <c r="U137" s="239"/>
      <c r="V137" s="6"/>
      <c r="W137" s="106"/>
    </row>
    <row r="138" spans="1:23" ht="13.5" thickBot="1">
      <c r="A138" s="320" t="s">
        <v>147</v>
      </c>
      <c r="B138" s="56" t="s">
        <v>31</v>
      </c>
      <c r="C138" s="50"/>
      <c r="D138" s="14"/>
      <c r="E138" s="14"/>
      <c r="F138" s="36">
        <f>SUM(H138:N138)</f>
        <v>220183224.69244</v>
      </c>
      <c r="G138" s="56" t="s">
        <v>27</v>
      </c>
      <c r="H138" s="102">
        <f>1679169.23*C200</f>
        <v>70058298.61406</v>
      </c>
      <c r="I138" s="102">
        <f>1359327.47*C200</f>
        <v>56713860.70334</v>
      </c>
      <c r="J138" s="102">
        <f>1039485.72*C200</f>
        <v>43369423.20984</v>
      </c>
      <c r="K138" s="102">
        <f>719643.95*C200</f>
        <v>30024984.881899998</v>
      </c>
      <c r="L138" s="102">
        <f>399802.21*C200</f>
        <v>16680547.805620002</v>
      </c>
      <c r="M138" s="102">
        <f>79960.44*C200</f>
        <v>3336109.47768</v>
      </c>
      <c r="N138" s="102"/>
      <c r="O138" s="102"/>
      <c r="P138" s="102"/>
      <c r="Q138" s="102"/>
      <c r="R138" s="37"/>
      <c r="S138" s="37"/>
      <c r="T138" s="105"/>
      <c r="U138" s="56"/>
      <c r="V138" s="14"/>
      <c r="W138" s="105"/>
    </row>
    <row r="139" spans="1:23" s="2" customFormat="1" ht="14.25" thickBot="1" thickTop="1">
      <c r="A139" s="321"/>
      <c r="B139" s="240" t="s">
        <v>7</v>
      </c>
      <c r="C139" s="16"/>
      <c r="D139" s="16"/>
      <c r="E139" s="38">
        <f>SUM(E137:E138)</f>
        <v>1125712633.30454</v>
      </c>
      <c r="F139" s="38">
        <f>SUM(F137:F138)</f>
        <v>220183224.69244</v>
      </c>
      <c r="G139" s="240"/>
      <c r="H139" s="38">
        <f aca="true" t="shared" si="6" ref="H139:M139">SUM(H137:H138)</f>
        <v>274733322.81332</v>
      </c>
      <c r="I139" s="38">
        <f t="shared" si="6"/>
        <v>261388884.9026</v>
      </c>
      <c r="J139" s="38">
        <f t="shared" si="6"/>
        <v>248044447.4091</v>
      </c>
      <c r="K139" s="38">
        <f t="shared" si="6"/>
        <v>234700009.08116</v>
      </c>
      <c r="L139" s="38">
        <f t="shared" si="6"/>
        <v>221355572.00488</v>
      </c>
      <c r="M139" s="38">
        <f t="shared" si="6"/>
        <v>105673621.78592</v>
      </c>
      <c r="N139" s="38"/>
      <c r="O139" s="38"/>
      <c r="P139" s="38"/>
      <c r="Q139" s="38"/>
      <c r="R139" s="38"/>
      <c r="S139" s="38"/>
      <c r="T139" s="111"/>
      <c r="U139" s="240"/>
      <c r="V139" s="16"/>
      <c r="W139" s="111"/>
    </row>
    <row r="140" spans="1:23" s="2" customFormat="1" ht="12.75">
      <c r="A140" s="321"/>
      <c r="B140" s="47"/>
      <c r="C140" s="47"/>
      <c r="D140" s="47"/>
      <c r="E140" s="60"/>
      <c r="F140" s="335">
        <f>SUM(E139:F139)</f>
        <v>1345895857.99698</v>
      </c>
      <c r="G140" s="47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360"/>
      <c r="U140" s="47"/>
      <c r="V140" s="47"/>
      <c r="W140" s="47"/>
    </row>
    <row r="141" spans="1:23" s="2" customFormat="1" ht="12.75">
      <c r="A141" s="321"/>
      <c r="B141" s="47"/>
      <c r="C141" s="47"/>
      <c r="D141" s="47"/>
      <c r="E141" s="60"/>
      <c r="F141" s="335">
        <f>SUM(H139:N139)</f>
        <v>1345895857.99698</v>
      </c>
      <c r="G141" s="47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360"/>
      <c r="U141" s="47"/>
      <c r="V141" s="47"/>
      <c r="W141" s="47"/>
    </row>
    <row r="142" spans="1:23" s="1" customFormat="1" ht="13.5" thickBot="1">
      <c r="A142" s="320"/>
      <c r="B142" s="15"/>
      <c r="C142" s="4"/>
      <c r="D142" s="4"/>
      <c r="E142" s="4"/>
      <c r="F142" s="4"/>
      <c r="G142" s="4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193"/>
      <c r="U142" s="4"/>
      <c r="V142" s="4"/>
      <c r="W142" s="4"/>
    </row>
    <row r="143" spans="1:23" s="1" customFormat="1" ht="12.75">
      <c r="A143" s="320"/>
      <c r="B143" s="318"/>
      <c r="C143" s="54"/>
      <c r="D143" s="54"/>
      <c r="E143" s="54"/>
      <c r="F143" s="103"/>
      <c r="G143" s="24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103"/>
      <c r="U143" s="245"/>
      <c r="V143" s="54"/>
      <c r="W143" s="103"/>
    </row>
    <row r="144" spans="1:23" ht="12.75">
      <c r="A144" s="320"/>
      <c r="B144" s="319" t="s">
        <v>35</v>
      </c>
      <c r="C144" s="42">
        <v>36348</v>
      </c>
      <c r="D144" s="43" t="s">
        <v>24</v>
      </c>
      <c r="E144" s="36">
        <f>SUM(H144:R144)</f>
        <v>1870647592</v>
      </c>
      <c r="F144" s="249"/>
      <c r="G144" s="242" t="s">
        <v>26</v>
      </c>
      <c r="H144" s="44">
        <f>4076000*C200</f>
        <v>170058872</v>
      </c>
      <c r="I144" s="44">
        <f>4076000*C200</f>
        <v>170058872</v>
      </c>
      <c r="J144" s="44">
        <f>4076000*C200</f>
        <v>170058872</v>
      </c>
      <c r="K144" s="44">
        <f>4076000*C200</f>
        <v>170058872</v>
      </c>
      <c r="L144" s="44">
        <f>4076000*C200</f>
        <v>170058872</v>
      </c>
      <c r="M144" s="44">
        <f>4076000*C200</f>
        <v>170058872</v>
      </c>
      <c r="N144" s="44">
        <f>4076000*C200</f>
        <v>170058872</v>
      </c>
      <c r="O144" s="44">
        <f>4076000*C200</f>
        <v>170058872</v>
      </c>
      <c r="P144" s="44">
        <f>4076000*C200</f>
        <v>170058872</v>
      </c>
      <c r="Q144" s="44">
        <f>4076000*C200</f>
        <v>170058872</v>
      </c>
      <c r="R144" s="44">
        <f>4076000*C200</f>
        <v>170058872</v>
      </c>
      <c r="S144" s="6"/>
      <c r="T144" s="106"/>
      <c r="U144" s="239"/>
      <c r="V144" s="6"/>
      <c r="W144" s="106"/>
    </row>
    <row r="145" spans="1:23" s="15" customFormat="1" ht="13.5" thickBot="1">
      <c r="A145" s="320" t="s">
        <v>148</v>
      </c>
      <c r="B145" s="56" t="s">
        <v>16</v>
      </c>
      <c r="C145" s="14"/>
      <c r="D145" s="14"/>
      <c r="E145" s="14"/>
      <c r="F145" s="214">
        <f>SUM(H145:R145)</f>
        <v>313525587.70174</v>
      </c>
      <c r="G145" s="56" t="s">
        <v>27</v>
      </c>
      <c r="H145" s="37">
        <f>1301302.67*C200</f>
        <v>54292949.99774</v>
      </c>
      <c r="I145" s="37">
        <f>1181021*C200</f>
        <v>49274558.162</v>
      </c>
      <c r="J145" s="37">
        <f>1053646*C200</f>
        <v>43960218.412</v>
      </c>
      <c r="K145" s="37">
        <f>929667.67*C200</f>
        <v>38787594.52774</v>
      </c>
      <c r="L145" s="37">
        <f>805689*C200</f>
        <v>33614956.458000004</v>
      </c>
      <c r="M145" s="37">
        <f>683749*C200</f>
        <v>28527375.778</v>
      </c>
      <c r="N145" s="37">
        <f>557732.67*C200</f>
        <v>23269722.45774</v>
      </c>
      <c r="O145" s="37">
        <f>433754.33*C200</f>
        <v>18097098.156260002</v>
      </c>
      <c r="P145" s="37">
        <f>309776*C200</f>
        <v>12924474.272</v>
      </c>
      <c r="Q145" s="37">
        <f>196477*C200</f>
        <v>8197413.394</v>
      </c>
      <c r="R145" s="37">
        <f>61819.33*C200</f>
        <v>2579226.0862600002</v>
      </c>
      <c r="S145" s="14"/>
      <c r="T145" s="105"/>
      <c r="U145" s="56"/>
      <c r="V145" s="14"/>
      <c r="W145" s="105"/>
    </row>
    <row r="146" spans="1:23" s="47" customFormat="1" ht="14.25" thickBot="1" thickTop="1">
      <c r="A146" s="351"/>
      <c r="B146" s="26" t="s">
        <v>7</v>
      </c>
      <c r="C146" s="16"/>
      <c r="D146" s="16"/>
      <c r="E146" s="38">
        <f>SUM(E144:E145)</f>
        <v>1870647592</v>
      </c>
      <c r="F146" s="215">
        <f>SUM(F144:F145)</f>
        <v>313525587.70174</v>
      </c>
      <c r="G146" s="26"/>
      <c r="H146" s="38">
        <f aca="true" t="shared" si="7" ref="H146:R146">SUM(H144:H145)</f>
        <v>224351821.99774</v>
      </c>
      <c r="I146" s="38">
        <f t="shared" si="7"/>
        <v>219333430.162</v>
      </c>
      <c r="J146" s="38">
        <f t="shared" si="7"/>
        <v>214019090.412</v>
      </c>
      <c r="K146" s="38">
        <f t="shared" si="7"/>
        <v>208846466.52774</v>
      </c>
      <c r="L146" s="38">
        <f t="shared" si="7"/>
        <v>203673828.458</v>
      </c>
      <c r="M146" s="38">
        <f t="shared" si="7"/>
        <v>198586247.778</v>
      </c>
      <c r="N146" s="38">
        <f t="shared" si="7"/>
        <v>193328594.45774</v>
      </c>
      <c r="O146" s="38">
        <f t="shared" si="7"/>
        <v>188155970.15626</v>
      </c>
      <c r="P146" s="38">
        <f t="shared" si="7"/>
        <v>182983346.272</v>
      </c>
      <c r="Q146" s="38">
        <f t="shared" si="7"/>
        <v>178256285.394</v>
      </c>
      <c r="R146" s="38">
        <f t="shared" si="7"/>
        <v>172638098.08626</v>
      </c>
      <c r="S146" s="38"/>
      <c r="T146" s="111"/>
      <c r="U146" s="240"/>
      <c r="V146" s="16"/>
      <c r="W146" s="111"/>
    </row>
    <row r="147" spans="1:20" s="47" customFormat="1" ht="12.75">
      <c r="A147" s="332"/>
      <c r="B147" s="15"/>
      <c r="C147" s="15"/>
      <c r="D147" s="15"/>
      <c r="E147" s="15"/>
      <c r="F147" s="335">
        <f>SUM(E146:F146)</f>
        <v>2184173179.7017403</v>
      </c>
      <c r="G147" s="15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360"/>
    </row>
    <row r="148" spans="1:20" s="47" customFormat="1" ht="12.75">
      <c r="A148" s="332"/>
      <c r="B148" s="15"/>
      <c r="C148" s="15"/>
      <c r="D148" s="15"/>
      <c r="E148" s="15"/>
      <c r="F148" s="335">
        <f>SUM(H146:R146)</f>
        <v>2184173179.70174</v>
      </c>
      <c r="G148" s="15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360"/>
    </row>
    <row r="149" spans="1:23" s="47" customFormat="1" ht="13.5" thickBot="1">
      <c r="A149" s="380"/>
      <c r="B149" s="92"/>
      <c r="C149" s="92"/>
      <c r="D149" s="92"/>
      <c r="E149" s="92"/>
      <c r="F149" s="92"/>
      <c r="G149" s="92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/>
      <c r="R149" s="333"/>
      <c r="S149" s="333"/>
      <c r="T149" s="298"/>
      <c r="U149" s="157"/>
      <c r="V149" s="157"/>
      <c r="W149" s="157"/>
    </row>
    <row r="150" spans="1:23" s="1" customFormat="1" ht="12.75">
      <c r="A150" s="323" t="s">
        <v>157</v>
      </c>
      <c r="B150" s="325" t="s">
        <v>17</v>
      </c>
      <c r="C150" s="326" t="s">
        <v>18</v>
      </c>
      <c r="D150" s="235" t="s">
        <v>95</v>
      </c>
      <c r="E150" s="18" t="s">
        <v>159</v>
      </c>
      <c r="F150" s="150"/>
      <c r="G150" s="20"/>
      <c r="H150" s="21"/>
      <c r="I150" s="21" t="s">
        <v>36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50"/>
      <c r="U150" s="21"/>
      <c r="V150" s="21"/>
      <c r="W150" s="150"/>
    </row>
    <row r="151" spans="1:23" s="1" customFormat="1" ht="12.75">
      <c r="A151" s="323" t="s">
        <v>158</v>
      </c>
      <c r="B151" s="4"/>
      <c r="C151" s="327" t="s">
        <v>19</v>
      </c>
      <c r="D151" s="236" t="s">
        <v>89</v>
      </c>
      <c r="E151" s="329" t="s">
        <v>160</v>
      </c>
      <c r="F151" s="329" t="s">
        <v>25</v>
      </c>
      <c r="G151" s="9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279"/>
      <c r="T151" s="349"/>
      <c r="U151" s="4"/>
      <c r="V151" s="4"/>
      <c r="W151" s="193"/>
    </row>
    <row r="152" spans="1:23" s="1" customFormat="1" ht="13.5" thickBot="1">
      <c r="A152" s="324"/>
      <c r="B152" s="91"/>
      <c r="C152" s="328" t="s">
        <v>20</v>
      </c>
      <c r="D152" s="237" t="s">
        <v>96</v>
      </c>
      <c r="E152" s="330" t="s">
        <v>26</v>
      </c>
      <c r="F152" s="331" t="s">
        <v>27</v>
      </c>
      <c r="G152" s="172"/>
      <c r="H152" s="80">
        <v>2003</v>
      </c>
      <c r="I152" s="80">
        <v>2004</v>
      </c>
      <c r="J152" s="80">
        <v>2005</v>
      </c>
      <c r="K152" s="80">
        <v>2006</v>
      </c>
      <c r="L152" s="80">
        <v>2007</v>
      </c>
      <c r="M152" s="80">
        <v>2008</v>
      </c>
      <c r="N152" s="80">
        <v>2009</v>
      </c>
      <c r="O152" s="80">
        <v>2010</v>
      </c>
      <c r="P152" s="80">
        <v>2011</v>
      </c>
      <c r="Q152" s="80">
        <v>2012</v>
      </c>
      <c r="R152" s="80">
        <v>2013</v>
      </c>
      <c r="S152" s="91">
        <v>2014</v>
      </c>
      <c r="T152" s="223">
        <v>2015</v>
      </c>
      <c r="U152" s="91">
        <v>2016</v>
      </c>
      <c r="V152" s="91">
        <v>2017</v>
      </c>
      <c r="W152" s="223">
        <v>2018</v>
      </c>
    </row>
    <row r="153" spans="1:23" s="47" customFormat="1" ht="13.5" thickTop="1">
      <c r="A153" s="321"/>
      <c r="B153" s="238"/>
      <c r="C153" s="9"/>
      <c r="D153" s="9"/>
      <c r="E153" s="9"/>
      <c r="F153" s="126"/>
      <c r="G153" s="238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115"/>
      <c r="U153" s="373"/>
      <c r="V153" s="78"/>
      <c r="W153" s="115"/>
    </row>
    <row r="154" spans="1:23" s="47" customFormat="1" ht="12.75">
      <c r="A154" s="321"/>
      <c r="B154" s="302" t="s">
        <v>44</v>
      </c>
      <c r="C154" s="7">
        <v>36644</v>
      </c>
      <c r="D154" s="6" t="s">
        <v>22</v>
      </c>
      <c r="E154" s="36">
        <f>SUM(H154:M154)</f>
        <v>61975728</v>
      </c>
      <c r="F154" s="195"/>
      <c r="G154" s="239" t="s">
        <v>26</v>
      </c>
      <c r="H154" s="36">
        <f>1548000*C199</f>
        <v>61975728</v>
      </c>
      <c r="I154" s="36"/>
      <c r="J154" s="36"/>
      <c r="K154" s="36"/>
      <c r="L154" s="36"/>
      <c r="M154" s="36"/>
      <c r="N154" s="6"/>
      <c r="O154" s="36"/>
      <c r="P154" s="36"/>
      <c r="Q154" s="36"/>
      <c r="R154" s="36"/>
      <c r="S154" s="36"/>
      <c r="T154" s="115"/>
      <c r="U154" s="373"/>
      <c r="V154" s="78"/>
      <c r="W154" s="115"/>
    </row>
    <row r="155" spans="1:23" s="47" customFormat="1" ht="13.5" thickBot="1">
      <c r="A155" s="320" t="s">
        <v>149</v>
      </c>
      <c r="B155" s="56" t="s">
        <v>43</v>
      </c>
      <c r="C155" s="50"/>
      <c r="D155" s="14"/>
      <c r="E155" s="14"/>
      <c r="F155" s="214"/>
      <c r="G155" s="56" t="s">
        <v>27</v>
      </c>
      <c r="H155" s="37"/>
      <c r="I155" s="37"/>
      <c r="J155" s="37"/>
      <c r="K155" s="37"/>
      <c r="L155" s="37"/>
      <c r="M155" s="37"/>
      <c r="N155" s="14"/>
      <c r="O155" s="37"/>
      <c r="P155" s="37"/>
      <c r="Q155" s="37"/>
      <c r="R155" s="37"/>
      <c r="S155" s="37"/>
      <c r="T155" s="120"/>
      <c r="U155" s="374"/>
      <c r="V155" s="70"/>
      <c r="W155" s="120"/>
    </row>
    <row r="156" spans="1:23" s="47" customFormat="1" ht="14.25" thickBot="1" thickTop="1">
      <c r="A156" s="321"/>
      <c r="B156" s="240" t="s">
        <v>7</v>
      </c>
      <c r="C156" s="16"/>
      <c r="D156" s="16"/>
      <c r="E156" s="38">
        <f>SUM(E154:E155)</f>
        <v>61975728</v>
      </c>
      <c r="F156" s="215"/>
      <c r="G156" s="240"/>
      <c r="H156" s="38">
        <f>SUM(H154:H155)</f>
        <v>61975728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111"/>
      <c r="U156" s="240"/>
      <c r="V156" s="16"/>
      <c r="W156" s="111"/>
    </row>
    <row r="157" spans="1:23" s="47" customFormat="1" ht="13.5" thickBot="1">
      <c r="A157" s="321"/>
      <c r="B157" s="133"/>
      <c r="C157" s="130"/>
      <c r="D157" s="130"/>
      <c r="E157" s="130"/>
      <c r="F157" s="132"/>
      <c r="G157" s="244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07"/>
      <c r="U157" s="133"/>
      <c r="V157" s="30"/>
      <c r="W157" s="107"/>
    </row>
    <row r="158" spans="1:23" s="47" customFormat="1" ht="12.75">
      <c r="A158" s="321"/>
      <c r="B158" s="302" t="s">
        <v>45</v>
      </c>
      <c r="C158" s="12"/>
      <c r="D158" s="12"/>
      <c r="E158" s="12"/>
      <c r="F158" s="110"/>
      <c r="G158" s="241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114"/>
      <c r="U158" s="89"/>
      <c r="V158" s="45"/>
      <c r="W158" s="114"/>
    </row>
    <row r="159" spans="1:23" s="47" customFormat="1" ht="12.75">
      <c r="A159" s="320" t="s">
        <v>150</v>
      </c>
      <c r="B159" s="239" t="s">
        <v>55</v>
      </c>
      <c r="C159" s="7">
        <v>36704</v>
      </c>
      <c r="D159" s="6" t="s">
        <v>24</v>
      </c>
      <c r="E159" s="36">
        <f>SUM(H159:O159)</f>
        <v>256339968</v>
      </c>
      <c r="F159" s="195"/>
      <c r="G159" s="239" t="s">
        <v>26</v>
      </c>
      <c r="H159" s="36"/>
      <c r="I159" s="36"/>
      <c r="J159" s="6"/>
      <c r="K159" s="36">
        <f>1228800*C200</f>
        <v>51267993.6</v>
      </c>
      <c r="L159" s="36">
        <f>1228800*C200</f>
        <v>51267993.6</v>
      </c>
      <c r="M159" s="36">
        <f>1228800*C200</f>
        <v>51267993.6</v>
      </c>
      <c r="N159" s="36">
        <f>1228800*C200</f>
        <v>51267993.6</v>
      </c>
      <c r="O159" s="36">
        <f>1228800*C200</f>
        <v>51267993.6</v>
      </c>
      <c r="P159" s="36"/>
      <c r="Q159" s="36"/>
      <c r="R159" s="36"/>
      <c r="S159" s="36"/>
      <c r="T159" s="115"/>
      <c r="U159" s="373"/>
      <c r="V159" s="78"/>
      <c r="W159" s="115"/>
    </row>
    <row r="160" spans="1:23" s="47" customFormat="1" ht="12.75">
      <c r="A160" s="379"/>
      <c r="C160" s="7"/>
      <c r="D160" s="6"/>
      <c r="E160" s="6"/>
      <c r="F160" s="195">
        <f>SUM(H160:O160)</f>
        <v>54264342.47400001</v>
      </c>
      <c r="G160" s="239" t="s">
        <v>27</v>
      </c>
      <c r="H160" s="36">
        <f>236715*C200</f>
        <v>9876223.23</v>
      </c>
      <c r="I160" s="36">
        <f>236715*C200</f>
        <v>9876223.23</v>
      </c>
      <c r="J160" s="36">
        <f>236715*C200</f>
        <v>9876223.23</v>
      </c>
      <c r="K160" s="36">
        <f>212001.6*C200</f>
        <v>8845130.7552</v>
      </c>
      <c r="L160" s="36">
        <f>165580.8*C200</f>
        <v>6908362.1376</v>
      </c>
      <c r="M160" s="36">
        <f>118272*C200</f>
        <v>4934544.384000001</v>
      </c>
      <c r="N160" s="36">
        <f>70963.2*C200</f>
        <v>2960726.6304</v>
      </c>
      <c r="O160" s="36">
        <f>23654.4*C200</f>
        <v>986908.8768000001</v>
      </c>
      <c r="P160" s="36"/>
      <c r="Q160" s="36"/>
      <c r="R160" s="36"/>
      <c r="S160" s="36"/>
      <c r="T160" s="115"/>
      <c r="U160" s="373"/>
      <c r="V160" s="78"/>
      <c r="W160" s="115"/>
    </row>
    <row r="161" spans="1:23" s="47" customFormat="1" ht="12.75">
      <c r="A161" s="320" t="s">
        <v>151</v>
      </c>
      <c r="B161" s="239" t="s">
        <v>55</v>
      </c>
      <c r="C161" s="64">
        <v>37153</v>
      </c>
      <c r="D161" s="9" t="s">
        <v>24</v>
      </c>
      <c r="E161" s="35">
        <f>SUM(H161:P161)</f>
        <v>335444880</v>
      </c>
      <c r="F161" s="197"/>
      <c r="G161" s="28" t="s">
        <v>26</v>
      </c>
      <c r="H161" s="63"/>
      <c r="I161" s="63"/>
      <c r="J161" s="63"/>
      <c r="K161" s="63"/>
      <c r="L161" s="36">
        <f>1608000*C200</f>
        <v>67088976</v>
      </c>
      <c r="M161" s="36">
        <f>1608000*C200</f>
        <v>67088976</v>
      </c>
      <c r="N161" s="36">
        <f>1608000*C200</f>
        <v>67088976</v>
      </c>
      <c r="O161" s="36">
        <f>1608000*C200</f>
        <v>67088976</v>
      </c>
      <c r="P161" s="36">
        <f>1608000*C200</f>
        <v>67088976</v>
      </c>
      <c r="Q161" s="36"/>
      <c r="R161" s="36"/>
      <c r="S161" s="36"/>
      <c r="T161" s="115"/>
      <c r="U161" s="373"/>
      <c r="V161" s="78"/>
      <c r="W161" s="115"/>
    </row>
    <row r="162" spans="1:23" s="47" customFormat="1" ht="12.75">
      <c r="A162" s="379"/>
      <c r="C162" s="7"/>
      <c r="D162" s="6"/>
      <c r="E162" s="6"/>
      <c r="F162" s="195">
        <f>SUM(H162:P162)</f>
        <v>87602682.072</v>
      </c>
      <c r="G162" s="239" t="s">
        <v>27</v>
      </c>
      <c r="H162" s="36">
        <f>300000*C200</f>
        <v>12516600</v>
      </c>
      <c r="I162" s="36">
        <f>300000*C200</f>
        <v>12516600</v>
      </c>
      <c r="J162" s="36">
        <f>300000*C200</f>
        <v>12516600</v>
      </c>
      <c r="K162" s="36">
        <f>300000*C200</f>
        <v>12516600</v>
      </c>
      <c r="L162" s="36">
        <f>299892*C200</f>
        <v>12512094.024</v>
      </c>
      <c r="M162" s="36">
        <f>239913.6*C200</f>
        <v>10009675.2192</v>
      </c>
      <c r="N162" s="36">
        <f>179935.2*C200</f>
        <v>7507256.414400001</v>
      </c>
      <c r="O162" s="36">
        <f>119956.8*C200</f>
        <v>5004837.6096</v>
      </c>
      <c r="P162" s="36">
        <f>59978.4*C200</f>
        <v>2502418.8048</v>
      </c>
      <c r="Q162" s="36"/>
      <c r="R162" s="36"/>
      <c r="S162" s="36"/>
      <c r="T162" s="115"/>
      <c r="U162" s="373"/>
      <c r="V162" s="78"/>
      <c r="W162" s="115"/>
    </row>
    <row r="163" spans="1:23" s="47" customFormat="1" ht="12.75">
      <c r="A163" s="320" t="s">
        <v>152</v>
      </c>
      <c r="B163" s="239" t="s">
        <v>55</v>
      </c>
      <c r="C163" s="83">
        <v>37608</v>
      </c>
      <c r="D163" s="62" t="s">
        <v>24</v>
      </c>
      <c r="E163" s="35">
        <f>SUM(H163:R163)</f>
        <v>350464800</v>
      </c>
      <c r="F163" s="197"/>
      <c r="G163" s="28" t="s">
        <v>26</v>
      </c>
      <c r="H163" s="63"/>
      <c r="I163" s="63"/>
      <c r="J163" s="63"/>
      <c r="K163" s="63"/>
      <c r="L163" s="36">
        <f>1400000*C200</f>
        <v>58410800</v>
      </c>
      <c r="M163" s="36">
        <f>1400000*C200</f>
        <v>58410800</v>
      </c>
      <c r="N163" s="36">
        <f>1400000*C200</f>
        <v>58410800</v>
      </c>
      <c r="O163" s="36">
        <f>1400000*C200</f>
        <v>58410800</v>
      </c>
      <c r="P163" s="36">
        <f>1400000*C200</f>
        <v>58410800</v>
      </c>
      <c r="Q163" s="36">
        <f>1400000*C200</f>
        <v>58410800</v>
      </c>
      <c r="R163" s="63"/>
      <c r="S163" s="63"/>
      <c r="T163" s="290"/>
      <c r="U163" s="375"/>
      <c r="V163" s="65"/>
      <c r="W163" s="290"/>
    </row>
    <row r="164" spans="1:23" s="47" customFormat="1" ht="13.5" thickBot="1">
      <c r="A164" s="379"/>
      <c r="C164" s="83"/>
      <c r="D164" s="62"/>
      <c r="E164" s="62"/>
      <c r="F164" s="195">
        <f>SUM(H164:R164)</f>
        <v>71227798.4</v>
      </c>
      <c r="G164" s="56" t="s">
        <v>27</v>
      </c>
      <c r="H164" s="36">
        <f>213500*C200</f>
        <v>8907647</v>
      </c>
      <c r="I164" s="36">
        <f>213500*C200</f>
        <v>8907647</v>
      </c>
      <c r="J164" s="36">
        <f>213500*C200</f>
        <v>8907647</v>
      </c>
      <c r="K164" s="36">
        <f>213500*C200</f>
        <v>8907647</v>
      </c>
      <c r="L164" s="36">
        <f>213500*C200</f>
        <v>8907647</v>
      </c>
      <c r="M164" s="36">
        <f>213500*C200</f>
        <v>8907647</v>
      </c>
      <c r="N164" s="36">
        <f>170000*C200</f>
        <v>7092740</v>
      </c>
      <c r="O164" s="36">
        <f>128100*C200</f>
        <v>5344588.2</v>
      </c>
      <c r="P164" s="36">
        <f>85400*C200</f>
        <v>3563058.8000000003</v>
      </c>
      <c r="Q164" s="36">
        <f>42700*C200</f>
        <v>1781529.4000000001</v>
      </c>
      <c r="R164" s="63"/>
      <c r="S164" s="63"/>
      <c r="T164" s="290"/>
      <c r="U164" s="375"/>
      <c r="V164" s="65"/>
      <c r="W164" s="290"/>
    </row>
    <row r="165" spans="1:23" s="47" customFormat="1" ht="14.25" thickBot="1" thickTop="1">
      <c r="A165" s="351"/>
      <c r="B165" s="240" t="s">
        <v>7</v>
      </c>
      <c r="C165" s="16"/>
      <c r="D165" s="16"/>
      <c r="E165" s="38">
        <f>SUM(E159:E164)</f>
        <v>942249648</v>
      </c>
      <c r="F165" s="215">
        <f>SUM(F159:F164)</f>
        <v>213094822.946</v>
      </c>
      <c r="G165" s="240"/>
      <c r="H165" s="38">
        <f aca="true" t="shared" si="8" ref="H165:Q165">SUM(H159:H164)</f>
        <v>31300470.23</v>
      </c>
      <c r="I165" s="38">
        <f t="shared" si="8"/>
        <v>31300470.23</v>
      </c>
      <c r="J165" s="38">
        <f t="shared" si="8"/>
        <v>31300470.23</v>
      </c>
      <c r="K165" s="38">
        <f t="shared" si="8"/>
        <v>81537371.3552</v>
      </c>
      <c r="L165" s="38">
        <f t="shared" si="8"/>
        <v>205095872.7616</v>
      </c>
      <c r="M165" s="38">
        <f t="shared" si="8"/>
        <v>200619636.20319998</v>
      </c>
      <c r="N165" s="38">
        <f t="shared" si="8"/>
        <v>194328492.6448</v>
      </c>
      <c r="O165" s="38">
        <f t="shared" si="8"/>
        <v>188104104.2864</v>
      </c>
      <c r="P165" s="38">
        <f t="shared" si="8"/>
        <v>131565253.6048</v>
      </c>
      <c r="Q165" s="38">
        <f t="shared" si="8"/>
        <v>60192329.4</v>
      </c>
      <c r="R165" s="39"/>
      <c r="S165" s="39"/>
      <c r="T165" s="107"/>
      <c r="U165" s="133"/>
      <c r="V165" s="30"/>
      <c r="W165" s="107"/>
    </row>
    <row r="166" spans="1:20" s="47" customFormat="1" ht="12.75">
      <c r="A166" s="321"/>
      <c r="E166" s="60"/>
      <c r="F166" s="335">
        <f>SUM(E165:F165)</f>
        <v>1155344470.946</v>
      </c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360"/>
    </row>
    <row r="167" spans="1:20" s="47" customFormat="1" ht="13.5" thickBot="1">
      <c r="A167" s="351"/>
      <c r="B167" s="156"/>
      <c r="C167" s="157"/>
      <c r="D167" s="157"/>
      <c r="E167" s="361"/>
      <c r="F167" s="371">
        <f>SUM(H165:Q165)</f>
        <v>1155344470.946</v>
      </c>
      <c r="G167" s="157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298"/>
    </row>
    <row r="168" spans="1:19" s="47" customFormat="1" ht="12.75">
      <c r="A168" s="332"/>
      <c r="B168" s="15"/>
      <c r="C168" s="4"/>
      <c r="D168" s="4"/>
      <c r="E168" s="4"/>
      <c r="F168" s="4"/>
      <c r="G168" s="4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</row>
    <row r="169" spans="1:20" s="47" customFormat="1" ht="13.5" thickBot="1">
      <c r="A169" s="321"/>
      <c r="B169" s="15"/>
      <c r="C169" s="4"/>
      <c r="D169" s="4"/>
      <c r="E169" s="4"/>
      <c r="F169" s="4"/>
      <c r="G169" s="4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360"/>
    </row>
    <row r="170" spans="1:23" s="1" customFormat="1" ht="12.75">
      <c r="A170" s="322" t="s">
        <v>157</v>
      </c>
      <c r="B170" s="325" t="s">
        <v>17</v>
      </c>
      <c r="C170" s="326" t="s">
        <v>18</v>
      </c>
      <c r="D170" s="235" t="s">
        <v>95</v>
      </c>
      <c r="E170" s="18" t="s">
        <v>159</v>
      </c>
      <c r="F170" s="150"/>
      <c r="G170" s="20"/>
      <c r="H170" s="21"/>
      <c r="I170" s="21" t="s">
        <v>36</v>
      </c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150"/>
      <c r="U170" s="21"/>
      <c r="V170" s="21"/>
      <c r="W170" s="150"/>
    </row>
    <row r="171" spans="1:23" s="1" customFormat="1" ht="12.75">
      <c r="A171" s="323" t="s">
        <v>158</v>
      </c>
      <c r="B171" s="4"/>
      <c r="C171" s="327" t="s">
        <v>19</v>
      </c>
      <c r="D171" s="236" t="s">
        <v>89</v>
      </c>
      <c r="E171" s="329" t="s">
        <v>160</v>
      </c>
      <c r="F171" s="329" t="s">
        <v>25</v>
      </c>
      <c r="G171" s="90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279"/>
      <c r="T171" s="349"/>
      <c r="U171" s="279"/>
      <c r="V171" s="279"/>
      <c r="W171" s="349"/>
    </row>
    <row r="172" spans="1:23" s="1" customFormat="1" ht="13.5" thickBot="1">
      <c r="A172" s="324"/>
      <c r="B172" s="91"/>
      <c r="C172" s="328" t="s">
        <v>20</v>
      </c>
      <c r="D172" s="237" t="s">
        <v>96</v>
      </c>
      <c r="E172" s="330" t="s">
        <v>26</v>
      </c>
      <c r="F172" s="331" t="s">
        <v>27</v>
      </c>
      <c r="G172" s="172"/>
      <c r="H172" s="80">
        <v>2003</v>
      </c>
      <c r="I172" s="80">
        <v>2004</v>
      </c>
      <c r="J172" s="80">
        <v>2005</v>
      </c>
      <c r="K172" s="80">
        <v>2006</v>
      </c>
      <c r="L172" s="80">
        <v>2007</v>
      </c>
      <c r="M172" s="80">
        <v>2008</v>
      </c>
      <c r="N172" s="80">
        <v>2009</v>
      </c>
      <c r="O172" s="80">
        <v>2010</v>
      </c>
      <c r="P172" s="80">
        <v>2011</v>
      </c>
      <c r="Q172" s="80">
        <v>2012</v>
      </c>
      <c r="R172" s="80">
        <v>2013</v>
      </c>
      <c r="S172" s="91">
        <v>2014</v>
      </c>
      <c r="T172" s="223">
        <v>2015</v>
      </c>
      <c r="U172" s="91">
        <v>2016</v>
      </c>
      <c r="V172" s="91">
        <v>2017</v>
      </c>
      <c r="W172" s="223">
        <v>2018</v>
      </c>
    </row>
    <row r="173" spans="1:23" s="1" customFormat="1" ht="13.5" thickTop="1">
      <c r="A173" s="323"/>
      <c r="B173" s="302" t="s">
        <v>34</v>
      </c>
      <c r="C173" s="327"/>
      <c r="D173" s="236"/>
      <c r="E173" s="381"/>
      <c r="F173" s="382"/>
      <c r="G173" s="90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4"/>
      <c r="T173" s="193"/>
      <c r="U173" s="4"/>
      <c r="V173" s="4"/>
      <c r="W173" s="193"/>
    </row>
    <row r="174" spans="1:23" ht="12.75">
      <c r="A174" s="320" t="s">
        <v>153</v>
      </c>
      <c r="B174" s="239" t="s">
        <v>12</v>
      </c>
      <c r="C174" s="7">
        <v>36048</v>
      </c>
      <c r="D174" s="6" t="s">
        <v>24</v>
      </c>
      <c r="E174" s="36">
        <f>SUM(H174:M174)</f>
        <v>588571443.75876</v>
      </c>
      <c r="F174" s="195"/>
      <c r="G174" s="239" t="s">
        <v>26</v>
      </c>
      <c r="H174" s="36">
        <f>3195574.26*C200</f>
        <v>133325749.27572</v>
      </c>
      <c r="I174" s="36">
        <f>3195574.26*C200</f>
        <v>133325749.27572</v>
      </c>
      <c r="J174" s="36">
        <f>2571944.02*C200</f>
        <v>107306648.40244001</v>
      </c>
      <c r="K174" s="36">
        <f>2571944.02*C200</f>
        <v>107306648.40244001</v>
      </c>
      <c r="L174" s="36">
        <f>2571944.02*C200</f>
        <v>107306648.40244001</v>
      </c>
      <c r="M174" s="36"/>
      <c r="N174" s="6"/>
      <c r="O174" s="36"/>
      <c r="P174" s="36"/>
      <c r="Q174" s="36"/>
      <c r="R174" s="36"/>
      <c r="S174" s="36"/>
      <c r="T174" s="106"/>
      <c r="U174" s="239"/>
      <c r="V174" s="6"/>
      <c r="W174" s="106"/>
    </row>
    <row r="175" spans="1:23" ht="12.75">
      <c r="A175" s="389"/>
      <c r="C175" s="7"/>
      <c r="D175" s="6"/>
      <c r="E175" s="6"/>
      <c r="F175" s="195">
        <f>SUM(H175:M175)</f>
        <v>55763292.522980005</v>
      </c>
      <c r="G175" s="239" t="s">
        <v>27</v>
      </c>
      <c r="H175" s="36">
        <f>496035.77*C200</f>
        <v>20695604.395940002</v>
      </c>
      <c r="I175" s="36">
        <f>360230.87*C200</f>
        <v>15029552.358140001</v>
      </c>
      <c r="J175" s="36">
        <f>293969.91*C200</f>
        <v>12265012.58502</v>
      </c>
      <c r="K175" s="36">
        <f>158158*C200</f>
        <v>6598668.076</v>
      </c>
      <c r="L175" s="36">
        <f>28149.54*C200</f>
        <v>1174455.10788</v>
      </c>
      <c r="M175" s="36"/>
      <c r="N175" s="6"/>
      <c r="O175" s="36"/>
      <c r="P175" s="36"/>
      <c r="Q175" s="36"/>
      <c r="R175" s="36"/>
      <c r="S175" s="36"/>
      <c r="T175" s="106"/>
      <c r="U175" s="239"/>
      <c r="V175" s="6"/>
      <c r="W175" s="106"/>
    </row>
    <row r="176" spans="1:23" ht="12.75">
      <c r="A176" s="320" t="s">
        <v>154</v>
      </c>
      <c r="B176" s="384" t="s">
        <v>12</v>
      </c>
      <c r="C176" s="83">
        <v>36881</v>
      </c>
      <c r="D176" s="62" t="s">
        <v>24</v>
      </c>
      <c r="E176" s="36">
        <f>SUM(H176:W176)</f>
        <v>208609997.49668002</v>
      </c>
      <c r="F176" s="197"/>
      <c r="G176" s="238" t="s">
        <v>26</v>
      </c>
      <c r="H176" s="36"/>
      <c r="I176" s="36">
        <f>416666.67*C200</f>
        <v>17384166.80574</v>
      </c>
      <c r="J176" s="36">
        <f>416666.67*C200</f>
        <v>17384166.80574</v>
      </c>
      <c r="K176" s="36">
        <f>416666.66*C200</f>
        <v>17384166.38852</v>
      </c>
      <c r="L176" s="36">
        <f>416666.66*C200</f>
        <v>17384166.38852</v>
      </c>
      <c r="M176" s="36">
        <f>416666.66*C200</f>
        <v>17384166.38852</v>
      </c>
      <c r="N176" s="36">
        <f>416666.66*C200</f>
        <v>17384166.38852</v>
      </c>
      <c r="O176" s="36">
        <f>416666.66*C200</f>
        <v>17384166.38852</v>
      </c>
      <c r="P176" s="36">
        <f>416666.66*C200</f>
        <v>17384166.38852</v>
      </c>
      <c r="Q176" s="36">
        <f>416666.66*C200</f>
        <v>17384166.38852</v>
      </c>
      <c r="R176" s="36">
        <f>416666.66*C200</f>
        <v>17384166.38852</v>
      </c>
      <c r="S176" s="36">
        <f>416666.66*C200</f>
        <v>17384166.38852</v>
      </c>
      <c r="T176" s="195">
        <f>416666.66*C200</f>
        <v>17384166.38852</v>
      </c>
      <c r="U176" s="293"/>
      <c r="V176" s="36"/>
      <c r="W176" s="195"/>
    </row>
    <row r="177" spans="1:23" ht="12.75">
      <c r="A177" s="320"/>
      <c r="B177" s="250" t="s">
        <v>97</v>
      </c>
      <c r="C177" s="7"/>
      <c r="D177" s="6"/>
      <c r="E177" s="6"/>
      <c r="F177" s="36">
        <f>SUM(H177:W177)</f>
        <v>69738292.96015999</v>
      </c>
      <c r="G177" s="6" t="s">
        <v>27</v>
      </c>
      <c r="H177" s="36">
        <f>199343.01*C200</f>
        <v>8316989.063220001</v>
      </c>
      <c r="I177" s="36">
        <f>228498.63*C200</f>
        <v>9533419.84086</v>
      </c>
      <c r="J177" s="36">
        <f>206532.48*C200</f>
        <v>8616948.130560001</v>
      </c>
      <c r="K177" s="36">
        <f>187782.42*C200</f>
        <v>7834658.127240001</v>
      </c>
      <c r="L177" s="36">
        <f>169032.36*C200</f>
        <v>7052368.123919999</v>
      </c>
      <c r="M177" s="36">
        <f>150639.24*C200</f>
        <v>6284970.37128</v>
      </c>
      <c r="N177" s="36">
        <f>131532.24*C200</f>
        <v>5487788.11728</v>
      </c>
      <c r="O177" s="36">
        <f>112782.18*C200</f>
        <v>4705498.11396</v>
      </c>
      <c r="P177" s="36">
        <f>94032.12*C200</f>
        <v>3923208.11064</v>
      </c>
      <c r="Q177" s="36">
        <f>75487.52*C200</f>
        <v>3149490.3094400004</v>
      </c>
      <c r="R177" s="36">
        <f>56532*C200</f>
        <v>2358628.1040000003</v>
      </c>
      <c r="S177" s="36">
        <f>37781.94*C200</f>
        <v>1576338.1006800001</v>
      </c>
      <c r="T177" s="195">
        <f>21523.14*C200</f>
        <v>897988.44708</v>
      </c>
      <c r="U177" s="239"/>
      <c r="V177" s="6"/>
      <c r="W177" s="106"/>
    </row>
    <row r="178" spans="1:23" ht="12.75">
      <c r="A178" s="320"/>
      <c r="B178" s="250" t="s">
        <v>98</v>
      </c>
      <c r="C178" s="42"/>
      <c r="D178" s="43"/>
      <c r="E178" s="43"/>
      <c r="F178" s="44"/>
      <c r="G178" s="363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248"/>
      <c r="U178" s="15"/>
      <c r="V178" s="15"/>
      <c r="W178" s="202"/>
    </row>
    <row r="179" spans="1:23" ht="12.75">
      <c r="A179" s="320" t="s">
        <v>155</v>
      </c>
      <c r="B179" s="384" t="s">
        <v>12</v>
      </c>
      <c r="C179" s="7">
        <v>36881</v>
      </c>
      <c r="D179" s="6" t="s">
        <v>24</v>
      </c>
      <c r="E179" s="36">
        <f>SUM(H179:W179)</f>
        <v>41722000</v>
      </c>
      <c r="F179" s="36"/>
      <c r="G179" s="28" t="s">
        <v>26</v>
      </c>
      <c r="H179" s="36">
        <f>62500*C200</f>
        <v>2607625</v>
      </c>
      <c r="I179" s="36">
        <f>125000*C200</f>
        <v>5215250</v>
      </c>
      <c r="J179" s="36">
        <f>125000*C200</f>
        <v>5215250</v>
      </c>
      <c r="K179" s="36">
        <f>125000*C200</f>
        <v>5215250</v>
      </c>
      <c r="L179" s="36">
        <f>125000*C200</f>
        <v>5215250</v>
      </c>
      <c r="M179" s="36">
        <f>125000*C200</f>
        <v>5215250</v>
      </c>
      <c r="N179" s="36">
        <f>125000*C200</f>
        <v>5215250</v>
      </c>
      <c r="O179" s="36">
        <f>125000*C200</f>
        <v>5215250</v>
      </c>
      <c r="P179" s="36">
        <f>62500*C200</f>
        <v>2607625</v>
      </c>
      <c r="Q179" s="36"/>
      <c r="R179" s="36"/>
      <c r="S179" s="36"/>
      <c r="T179" s="106"/>
      <c r="U179" s="239"/>
      <c r="V179" s="6"/>
      <c r="W179" s="106"/>
    </row>
    <row r="180" spans="1:23" ht="12.75">
      <c r="A180" s="320"/>
      <c r="B180" s="385" t="s">
        <v>99</v>
      </c>
      <c r="C180" s="7"/>
      <c r="D180" s="6"/>
      <c r="E180" s="6"/>
      <c r="F180" s="36">
        <f>SUM(H180:W180)</f>
        <v>8386255.510399999</v>
      </c>
      <c r="G180" s="239" t="s">
        <v>27</v>
      </c>
      <c r="H180" s="36">
        <f>39868.61*C200</f>
        <v>1663398.1464200001</v>
      </c>
      <c r="I180" s="36">
        <f>33192.8*C200</f>
        <v>1384870.0016</v>
      </c>
      <c r="J180" s="36">
        <f>35144.69*C200</f>
        <v>1466306.7561800003</v>
      </c>
      <c r="K180" s="36">
        <f>29519.69*C200</f>
        <v>1231620.50618</v>
      </c>
      <c r="L180" s="36">
        <f>23894.7*C200</f>
        <v>996934.6734000001</v>
      </c>
      <c r="M180" s="36">
        <f>18323.63*C200</f>
        <v>764498.49086</v>
      </c>
      <c r="N180" s="36">
        <f>12644.69*C200</f>
        <v>527561.75618</v>
      </c>
      <c r="O180" s="36">
        <f>7019.7*C200</f>
        <v>292875.9234</v>
      </c>
      <c r="P180" s="36">
        <f>1394.69*C200</f>
        <v>58189.256180000004</v>
      </c>
      <c r="Q180" s="36"/>
      <c r="R180" s="36"/>
      <c r="S180" s="36"/>
      <c r="T180" s="106"/>
      <c r="U180" s="239"/>
      <c r="V180" s="6"/>
      <c r="W180" s="106"/>
    </row>
    <row r="181" spans="1:23" ht="12.75">
      <c r="A181" s="320"/>
      <c r="B181" s="386" t="s">
        <v>98</v>
      </c>
      <c r="C181" s="278"/>
      <c r="D181" s="62"/>
      <c r="E181" s="62"/>
      <c r="F181" s="63"/>
      <c r="G181" s="28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139"/>
      <c r="U181" s="28"/>
      <c r="V181" s="62"/>
      <c r="W181" s="139"/>
    </row>
    <row r="182" spans="1:23" ht="12.75">
      <c r="A182" s="320" t="s">
        <v>156</v>
      </c>
      <c r="B182" s="387" t="s">
        <v>16</v>
      </c>
      <c r="C182" s="42">
        <v>37578</v>
      </c>
      <c r="D182" s="43" t="s">
        <v>58</v>
      </c>
      <c r="E182" s="281"/>
      <c r="F182" s="44"/>
      <c r="G182" s="28" t="s">
        <v>26</v>
      </c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348"/>
      <c r="U182" s="242"/>
      <c r="V182" s="43"/>
      <c r="W182" s="348"/>
    </row>
    <row r="183" spans="1:26" ht="13.5" thickBot="1">
      <c r="A183" s="390"/>
      <c r="B183" s="388"/>
      <c r="C183" s="50"/>
      <c r="D183" s="14"/>
      <c r="E183" s="14"/>
      <c r="F183" s="275"/>
      <c r="G183" s="56" t="s">
        <v>27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105"/>
      <c r="U183" s="56"/>
      <c r="V183" s="14"/>
      <c r="W183" s="105"/>
      <c r="X183" s="15"/>
      <c r="Y183" s="15"/>
      <c r="Z183" s="15"/>
    </row>
    <row r="184" spans="1:26" ht="14.25" thickBot="1" thickTop="1">
      <c r="A184" s="352"/>
      <c r="B184" s="26" t="s">
        <v>7</v>
      </c>
      <c r="C184" s="282"/>
      <c r="D184" s="101"/>
      <c r="E184" s="38">
        <f>SUM(E174:E183)</f>
        <v>838903441.25544</v>
      </c>
      <c r="F184" s="38">
        <f>SUM(F174:F183)</f>
        <v>133887840.99353999</v>
      </c>
      <c r="G184" s="101"/>
      <c r="H184" s="38">
        <f>SUM(H174:H183)</f>
        <v>166609365.8813</v>
      </c>
      <c r="I184" s="38">
        <f aca="true" t="shared" si="9" ref="I184:T184">SUM(I174:I183)</f>
        <v>181873008.28206</v>
      </c>
      <c r="J184" s="38">
        <f t="shared" si="9"/>
        <v>152254332.67994002</v>
      </c>
      <c r="K184" s="38">
        <f t="shared" si="9"/>
        <v>145571011.50038</v>
      </c>
      <c r="L184" s="38">
        <f t="shared" si="9"/>
        <v>139129822.69616002</v>
      </c>
      <c r="M184" s="38">
        <f t="shared" si="9"/>
        <v>29648885.25066</v>
      </c>
      <c r="N184" s="38">
        <f t="shared" si="9"/>
        <v>28614766.261979997</v>
      </c>
      <c r="O184" s="38">
        <f t="shared" si="9"/>
        <v>27597790.42588</v>
      </c>
      <c r="P184" s="38">
        <f t="shared" si="9"/>
        <v>23973188.75534</v>
      </c>
      <c r="Q184" s="38">
        <f t="shared" si="9"/>
        <v>20533656.69796</v>
      </c>
      <c r="R184" s="38">
        <f t="shared" si="9"/>
        <v>19742794.492519997</v>
      </c>
      <c r="S184" s="38">
        <f t="shared" si="9"/>
        <v>18960504.4892</v>
      </c>
      <c r="T184" s="215">
        <f t="shared" si="9"/>
        <v>18282154.8356</v>
      </c>
      <c r="U184" s="243"/>
      <c r="V184" s="101"/>
      <c r="W184" s="121"/>
      <c r="X184" s="15"/>
      <c r="Y184" s="15"/>
      <c r="Z184" s="15"/>
    </row>
    <row r="185" spans="1:26" ht="12.75">
      <c r="A185" s="336"/>
      <c r="B185" s="250"/>
      <c r="C185" s="339"/>
      <c r="D185" s="15"/>
      <c r="E185" s="15"/>
      <c r="F185" s="335">
        <f>SUM(E184:F184)</f>
        <v>972791282.24898</v>
      </c>
      <c r="G185" s="15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202"/>
      <c r="U185" s="15"/>
      <c r="V185" s="15"/>
      <c r="W185" s="15"/>
      <c r="X185" s="15"/>
      <c r="Y185" s="15"/>
      <c r="Z185" s="15"/>
    </row>
    <row r="186" spans="1:26" ht="13.5" thickBot="1">
      <c r="A186" s="337"/>
      <c r="B186" s="340"/>
      <c r="C186" s="341"/>
      <c r="D186" s="92"/>
      <c r="E186" s="92"/>
      <c r="F186" s="371">
        <f>SUM(H184:X184)</f>
        <v>972791282.2489799</v>
      </c>
      <c r="G186" s="92"/>
      <c r="H186" s="333"/>
      <c r="I186" s="333"/>
      <c r="J186" s="333"/>
      <c r="K186" s="333"/>
      <c r="L186" s="333"/>
      <c r="M186" s="333"/>
      <c r="N186" s="333"/>
      <c r="O186" s="333"/>
      <c r="P186" s="333"/>
      <c r="Q186" s="333"/>
      <c r="R186" s="333"/>
      <c r="S186" s="333"/>
      <c r="T186" s="359"/>
      <c r="U186" s="15"/>
      <c r="V186" s="15"/>
      <c r="W186" s="15"/>
      <c r="X186" s="15"/>
      <c r="Y186" s="15"/>
      <c r="Z186" s="15"/>
    </row>
    <row r="187" spans="1:26" ht="13.5" thickBot="1">
      <c r="A187" s="337"/>
      <c r="B187" s="340"/>
      <c r="C187" s="341"/>
      <c r="D187" s="92"/>
      <c r="E187" s="92"/>
      <c r="F187" s="342"/>
      <c r="G187" s="92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92"/>
      <c r="U187" s="92"/>
      <c r="V187" s="92"/>
      <c r="W187" s="92"/>
      <c r="X187" s="15"/>
      <c r="Y187" s="15"/>
      <c r="Z187" s="15"/>
    </row>
    <row r="188" spans="1:26" ht="12.75">
      <c r="A188" s="336"/>
      <c r="B188" s="343" t="s">
        <v>106</v>
      </c>
      <c r="C188" s="344">
        <v>37595</v>
      </c>
      <c r="D188" s="225" t="s">
        <v>24</v>
      </c>
      <c r="E188" s="345"/>
      <c r="F188" s="345"/>
      <c r="G188" s="225" t="s">
        <v>26</v>
      </c>
      <c r="H188" s="55"/>
      <c r="I188" s="346"/>
      <c r="J188" s="346"/>
      <c r="K188" s="346"/>
      <c r="L188" s="346"/>
      <c r="M188" s="346"/>
      <c r="N188" s="346"/>
      <c r="O188" s="346"/>
      <c r="P188" s="346"/>
      <c r="Q188" s="346"/>
      <c r="R188" s="346"/>
      <c r="S188" s="346"/>
      <c r="T188" s="225"/>
      <c r="U188" s="225"/>
      <c r="V188" s="225"/>
      <c r="W188" s="347"/>
      <c r="X188" s="15"/>
      <c r="Y188" s="15"/>
      <c r="Z188" s="15"/>
    </row>
    <row r="189" spans="1:26" ht="13.5" thickBot="1">
      <c r="A189" s="336" t="s">
        <v>156</v>
      </c>
      <c r="B189" s="338"/>
      <c r="C189" s="50"/>
      <c r="D189" s="14"/>
      <c r="E189" s="14"/>
      <c r="F189" s="275"/>
      <c r="G189" s="14" t="s">
        <v>27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14"/>
      <c r="U189" s="14"/>
      <c r="V189" s="14"/>
      <c r="W189" s="105"/>
      <c r="X189" s="15"/>
      <c r="Y189" s="15"/>
      <c r="Z189" s="15"/>
    </row>
    <row r="190" spans="1:28" s="2" customFormat="1" ht="14.25" thickBot="1" thickTop="1">
      <c r="A190" s="332"/>
      <c r="B190" s="29" t="s">
        <v>7</v>
      </c>
      <c r="C190" s="30"/>
      <c r="D190" s="30"/>
      <c r="E190" s="39"/>
      <c r="F190" s="247"/>
      <c r="G190" s="133"/>
      <c r="H190" s="350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247"/>
      <c r="X190" s="47"/>
      <c r="Y190" s="47"/>
      <c r="Z190" s="47"/>
      <c r="AB190" s="87"/>
    </row>
    <row r="191" spans="1:28" s="1" customFormat="1" ht="13.5" thickBot="1">
      <c r="A191" s="336"/>
      <c r="B191" s="29"/>
      <c r="C191" s="130"/>
      <c r="D191" s="130"/>
      <c r="E191" s="130"/>
      <c r="F191" s="132"/>
      <c r="G191" s="244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0"/>
      <c r="U191" s="130"/>
      <c r="V191" s="130"/>
      <c r="W191" s="132"/>
      <c r="X191" s="284"/>
      <c r="Y191" s="284"/>
      <c r="Z191" s="284"/>
      <c r="AB191" s="88"/>
    </row>
    <row r="192" spans="1:26" ht="16.5" thickBot="1">
      <c r="A192" s="337"/>
      <c r="B192" s="173" t="s">
        <v>39</v>
      </c>
      <c r="C192" s="31"/>
      <c r="D192" s="31"/>
      <c r="E192" s="75">
        <f>E190+E184+E165+E156+E146+E139+E129+E117+E105+E91+E59+E45+E35</f>
        <v>98666353936.18188</v>
      </c>
      <c r="F192" s="204">
        <f>SUM(F190+F184+F165+F156+F146+F139+F129+F117+F105+F91+F59+F45+F35)</f>
        <v>39163486733.85996</v>
      </c>
      <c r="G192" s="246"/>
      <c r="H192" s="75">
        <f aca="true" t="shared" si="10" ref="H192:Z192">H190+H184+H165+H156+H146+H139+H129+H117+H105+H91+H59+H45+H35</f>
        <v>13873077932.69186</v>
      </c>
      <c r="I192" s="75">
        <f t="shared" si="10"/>
        <v>13320810854.669739</v>
      </c>
      <c r="J192" s="75">
        <f t="shared" si="10"/>
        <v>21133707000.81516</v>
      </c>
      <c r="K192" s="75">
        <f t="shared" si="10"/>
        <v>24105195582.26998</v>
      </c>
      <c r="L192" s="75">
        <f t="shared" si="10"/>
        <v>20607241873.620663</v>
      </c>
      <c r="M192" s="75">
        <f t="shared" si="10"/>
        <v>8217484829.029921</v>
      </c>
      <c r="N192" s="75">
        <f t="shared" si="10"/>
        <v>6758104481.91974</v>
      </c>
      <c r="O192" s="75">
        <f t="shared" si="10"/>
        <v>6381360805.962622</v>
      </c>
      <c r="P192" s="75">
        <f t="shared" si="10"/>
        <v>4780058932.31982</v>
      </c>
      <c r="Q192" s="75">
        <f t="shared" si="10"/>
        <v>3925320491.77964</v>
      </c>
      <c r="R192" s="75">
        <f t="shared" si="10"/>
        <v>3564388152.89646</v>
      </c>
      <c r="S192" s="75">
        <f t="shared" si="10"/>
        <v>9203718131.31688</v>
      </c>
      <c r="T192" s="75">
        <f t="shared" si="10"/>
        <v>1081256901.00328</v>
      </c>
      <c r="U192" s="75">
        <f t="shared" si="10"/>
        <v>165127349.95768</v>
      </c>
      <c r="V192" s="75">
        <f t="shared" si="10"/>
        <v>157624899.91768</v>
      </c>
      <c r="W192" s="204">
        <f t="shared" si="10"/>
        <v>150122449.87768</v>
      </c>
      <c r="X192" s="246">
        <f t="shared" si="10"/>
        <v>142619999.83768</v>
      </c>
      <c r="Y192" s="75">
        <f t="shared" si="10"/>
        <v>135117549.79768</v>
      </c>
      <c r="Z192" s="75">
        <f t="shared" si="10"/>
        <v>127502450.35768001</v>
      </c>
    </row>
    <row r="193" spans="2:26" ht="15.75">
      <c r="B193" s="294"/>
      <c r="C193" s="15"/>
      <c r="D193" s="15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303" t="s">
        <v>162</v>
      </c>
      <c r="T193" s="58">
        <f>SUM(U192:Z192)</f>
        <v>878114699.74608</v>
      </c>
      <c r="U193" s="58"/>
      <c r="V193" s="58"/>
      <c r="W193" s="58"/>
      <c r="X193" s="58"/>
      <c r="Y193" s="58"/>
      <c r="Z193" s="58"/>
    </row>
    <row r="194" spans="2:26" ht="15.75">
      <c r="B194" s="295" t="s">
        <v>108</v>
      </c>
      <c r="C194" s="15"/>
      <c r="D194" s="15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2:26" ht="15.75">
      <c r="B195" s="294"/>
      <c r="C195" s="15"/>
      <c r="D195" s="15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2:26" ht="15.75">
      <c r="B196" s="294"/>
      <c r="C196" s="15"/>
      <c r="D196" s="15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7:26" ht="12.75">
      <c r="G197" t="s">
        <v>161</v>
      </c>
      <c r="H197" s="52">
        <f aca="true" t="shared" si="11" ref="H197:Z197">SUM(H7+H9+H11+H13+H15+H17+H19+H21+H23+H25+H27+H29+H31+H33+H43+H53+H55+H57+H67+H69+H71+H73+H75+H77+H79+H81+H83+H85+H87+H89+H99+H101+H103+H113+H115+H125+H127+H137+H144+H154+H159+H161+H163+H174+H176+H179+H182+H188)</f>
        <v>6656629371.397599</v>
      </c>
      <c r="I197" s="52">
        <f t="shared" si="11"/>
        <v>6540848347.617459</v>
      </c>
      <c r="J197" s="52">
        <f t="shared" si="11"/>
        <v>15200454470.74418</v>
      </c>
      <c r="K197" s="52">
        <f t="shared" si="11"/>
        <v>19304742015.526955</v>
      </c>
      <c r="L197" s="52">
        <f t="shared" si="11"/>
        <v>17009471830.359638</v>
      </c>
      <c r="M197" s="52">
        <f t="shared" si="11"/>
        <v>5779105794.213521</v>
      </c>
      <c r="N197" s="52">
        <f t="shared" si="11"/>
        <v>4709482236.951321</v>
      </c>
      <c r="O197" s="52">
        <f t="shared" si="11"/>
        <v>4658169289.13412</v>
      </c>
      <c r="P197" s="52">
        <f t="shared" si="11"/>
        <v>3362040439.7061996</v>
      </c>
      <c r="Q197" s="52">
        <f t="shared" si="11"/>
        <v>2706493838.7061996</v>
      </c>
      <c r="R197" s="52">
        <f t="shared" si="11"/>
        <v>2526883038.7061996</v>
      </c>
      <c r="S197" s="52">
        <f t="shared" si="11"/>
        <v>8548104166.336201</v>
      </c>
      <c r="T197" s="52">
        <f t="shared" si="11"/>
        <v>943929094.8762</v>
      </c>
      <c r="U197" s="52">
        <f t="shared" si="11"/>
        <v>120000000.31768</v>
      </c>
      <c r="V197" s="52">
        <f t="shared" si="11"/>
        <v>120000000.31768</v>
      </c>
      <c r="W197" s="52">
        <f t="shared" si="11"/>
        <v>120000000.31768</v>
      </c>
      <c r="X197" s="52">
        <f t="shared" si="11"/>
        <v>120000000.31768</v>
      </c>
      <c r="Y197" s="52">
        <f t="shared" si="11"/>
        <v>120000000.31768</v>
      </c>
      <c r="Z197" s="52">
        <f t="shared" si="11"/>
        <v>120000000.31768</v>
      </c>
    </row>
    <row r="198" spans="2:26" ht="13.5" thickBot="1">
      <c r="B198" t="s">
        <v>105</v>
      </c>
      <c r="E198" s="52"/>
      <c r="F198" s="52"/>
      <c r="G198" s="92" t="s">
        <v>163</v>
      </c>
      <c r="H198" s="333">
        <f aca="true" t="shared" si="12" ref="H198:Z198">SUM(H189+H183+H180+H177+H175+H164+H162+H160+H155+H145+H138+H128+H126+H116+H114+H104+H102+H100+H90+H88+H86+H84+H82+H80+H78+H76+H74+H72+H70+H68+H58+H56+H54+H44+H34+H32+H30+H28+H26+H24+H22+H20+H18+H16+H14+H12+H10+H8)</f>
        <v>7216448561.294262</v>
      </c>
      <c r="I198" s="333">
        <f t="shared" si="12"/>
        <v>6779962507.052279</v>
      </c>
      <c r="J198" s="333">
        <f t="shared" si="12"/>
        <v>5933252530.07098</v>
      </c>
      <c r="K198" s="333">
        <f t="shared" si="12"/>
        <v>4800453566.743021</v>
      </c>
      <c r="L198" s="333">
        <f t="shared" si="12"/>
        <v>3597770043.26102</v>
      </c>
      <c r="M198" s="333">
        <f t="shared" si="12"/>
        <v>2438379034.8163996</v>
      </c>
      <c r="N198" s="333">
        <f t="shared" si="12"/>
        <v>2048622244.9684198</v>
      </c>
      <c r="O198" s="333">
        <f t="shared" si="12"/>
        <v>1723191516.8285</v>
      </c>
      <c r="P198" s="333">
        <f t="shared" si="12"/>
        <v>1418018492.6136198</v>
      </c>
      <c r="Q198" s="333">
        <f t="shared" si="12"/>
        <v>1218826653.07344</v>
      </c>
      <c r="R198" s="333">
        <f t="shared" si="12"/>
        <v>1037505114.19026</v>
      </c>
      <c r="S198" s="333">
        <f t="shared" si="12"/>
        <v>655613964.98068</v>
      </c>
      <c r="T198" s="333">
        <f t="shared" si="12"/>
        <v>137327806.12708</v>
      </c>
      <c r="U198" s="333">
        <f t="shared" si="12"/>
        <v>45127349.64</v>
      </c>
      <c r="V198" s="333">
        <f t="shared" si="12"/>
        <v>37624899.6</v>
      </c>
      <c r="W198" s="333">
        <f t="shared" si="12"/>
        <v>30122449.560000002</v>
      </c>
      <c r="X198" s="333">
        <f t="shared" si="12"/>
        <v>22619999.52</v>
      </c>
      <c r="Y198" s="333">
        <f t="shared" si="12"/>
        <v>15117549.48</v>
      </c>
      <c r="Z198" s="333">
        <f t="shared" si="12"/>
        <v>7502450.04</v>
      </c>
    </row>
    <row r="199" spans="2:26" ht="12.75">
      <c r="B199" t="s">
        <v>22</v>
      </c>
      <c r="C199">
        <v>40.036</v>
      </c>
      <c r="E199" s="52">
        <f>SUM(E192:F192)</f>
        <v>137829840670.04184</v>
      </c>
      <c r="F199" s="52"/>
      <c r="G199" t="s">
        <v>164</v>
      </c>
      <c r="H199" s="52">
        <f>SUM(H197:H198)</f>
        <v>13873077932.69186</v>
      </c>
      <c r="I199" s="52">
        <f>SUM(I197:I198)</f>
        <v>13320810854.669739</v>
      </c>
      <c r="J199" s="52">
        <f aca="true" t="shared" si="13" ref="J199:Z199">SUM(J197:J198)</f>
        <v>21133707000.815163</v>
      </c>
      <c r="K199" s="52">
        <f t="shared" si="13"/>
        <v>24105195582.269974</v>
      </c>
      <c r="L199" s="52">
        <f t="shared" si="13"/>
        <v>20607241873.62066</v>
      </c>
      <c r="M199" s="52">
        <f t="shared" si="13"/>
        <v>8217484829.029921</v>
      </c>
      <c r="N199" s="52">
        <f t="shared" si="13"/>
        <v>6758104481.919741</v>
      </c>
      <c r="O199" s="52">
        <f t="shared" si="13"/>
        <v>6381360805.96262</v>
      </c>
      <c r="P199" s="52">
        <f t="shared" si="13"/>
        <v>4780058932.319819</v>
      </c>
      <c r="Q199" s="52">
        <f t="shared" si="13"/>
        <v>3925320491.7796397</v>
      </c>
      <c r="R199" s="52">
        <f t="shared" si="13"/>
        <v>3564388152.8964596</v>
      </c>
      <c r="S199" s="52">
        <f t="shared" si="13"/>
        <v>9203718131.316881</v>
      </c>
      <c r="T199" s="52">
        <f t="shared" si="13"/>
        <v>1081256901.00328</v>
      </c>
      <c r="U199" s="52">
        <f t="shared" si="13"/>
        <v>165127349.95768</v>
      </c>
      <c r="V199" s="52">
        <f t="shared" si="13"/>
        <v>157624899.91768</v>
      </c>
      <c r="W199" s="52">
        <f t="shared" si="13"/>
        <v>150122449.87768</v>
      </c>
      <c r="X199" s="52">
        <f t="shared" si="13"/>
        <v>142619999.83768</v>
      </c>
      <c r="Y199" s="52">
        <f t="shared" si="13"/>
        <v>135117549.79768</v>
      </c>
      <c r="Z199" s="52">
        <f t="shared" si="13"/>
        <v>127502450.35768001</v>
      </c>
    </row>
    <row r="200" spans="2:20" ht="12.75">
      <c r="B200" t="s">
        <v>24</v>
      </c>
      <c r="C200">
        <v>41.722</v>
      </c>
      <c r="F200" s="52"/>
      <c r="I200" s="52"/>
      <c r="T200" t="s">
        <v>165</v>
      </c>
    </row>
    <row r="201" spans="2:20" ht="13.5" thickBot="1">
      <c r="B201" t="s">
        <v>58</v>
      </c>
      <c r="C201">
        <v>1</v>
      </c>
      <c r="E201" s="52">
        <f>SUM(H192:Z192)</f>
        <v>137829840670.04184</v>
      </c>
      <c r="F201" s="52"/>
      <c r="S201" s="303" t="s">
        <v>162</v>
      </c>
      <c r="T201" s="333">
        <f>SUM(U192:Z192)</f>
        <v>878114699.74608</v>
      </c>
    </row>
    <row r="202" ht="12.75">
      <c r="T202" s="52">
        <f>SUM(T199+T201)</f>
        <v>1959371600.74936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3"/>
  <headerFooter alignWithMargins="0">
    <oddHeader>&amp;C&amp;"Arial CE,Tučné"&amp;14Zostatok úverov so štátnou zárukou k 31.12.2002&amp;R
&amp;12tabuľka č.1 - 4. strana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9" sqref="D9"/>
    </sheetView>
  </sheetViews>
  <sheetFormatPr defaultColWidth="9.00390625" defaultRowHeight="12.75"/>
  <cols>
    <col min="1" max="1" width="33.125" style="0" customWidth="1"/>
    <col min="2" max="4" width="18.125" style="0" customWidth="1"/>
  </cols>
  <sheetData>
    <row r="1" spans="1:2" ht="18">
      <c r="A1" s="224" t="s">
        <v>103</v>
      </c>
      <c r="B1" s="224"/>
    </row>
    <row r="2" spans="1:2" ht="18">
      <c r="A2" s="224"/>
      <c r="B2" s="224"/>
    </row>
    <row r="3" spans="1:2" ht="18">
      <c r="A3" s="224"/>
      <c r="B3" s="224"/>
    </row>
    <row r="4" ht="13.5" thickBot="1"/>
    <row r="5" spans="1:4" ht="13.5" thickBot="1">
      <c r="A5" s="253" t="s">
        <v>17</v>
      </c>
      <c r="B5" s="254" t="s">
        <v>100</v>
      </c>
      <c r="C5" s="254" t="s">
        <v>101</v>
      </c>
      <c r="D5" s="255"/>
    </row>
    <row r="6" spans="1:4" ht="13.5" thickBot="1">
      <c r="A6" s="256"/>
      <c r="B6" s="257" t="s">
        <v>25</v>
      </c>
      <c r="C6" s="257" t="s">
        <v>25</v>
      </c>
      <c r="D6" s="258"/>
    </row>
    <row r="7" spans="1:4" ht="12.75">
      <c r="A7" s="23" t="s">
        <v>2</v>
      </c>
      <c r="B7" s="9"/>
      <c r="C7" s="9"/>
      <c r="D7" s="126"/>
    </row>
    <row r="8" spans="1:4" ht="12.75">
      <c r="A8" s="24" t="s">
        <v>82</v>
      </c>
      <c r="B8" s="36">
        <v>5223741066.42</v>
      </c>
      <c r="C8" s="36"/>
      <c r="D8" s="211"/>
    </row>
    <row r="9" spans="1:4" ht="12.75">
      <c r="A9" s="24" t="s">
        <v>83</v>
      </c>
      <c r="B9" s="36"/>
      <c r="C9" s="36">
        <v>3428359201.52</v>
      </c>
      <c r="D9" s="211"/>
    </row>
    <row r="10" spans="1:4" ht="13.5" thickBot="1">
      <c r="A10" s="264" t="s">
        <v>39</v>
      </c>
      <c r="B10" s="265"/>
      <c r="C10" s="265"/>
      <c r="D10" s="266">
        <f>SUM(B8+C9)</f>
        <v>8652100267.94</v>
      </c>
    </row>
    <row r="11" spans="1:4" ht="12.75">
      <c r="A11" s="136" t="s">
        <v>14</v>
      </c>
      <c r="B11" s="274"/>
      <c r="C11" s="274"/>
      <c r="D11" s="221"/>
    </row>
    <row r="12" spans="1:4" ht="12.75">
      <c r="A12" s="24" t="s">
        <v>82</v>
      </c>
      <c r="B12" s="69">
        <v>655095000</v>
      </c>
      <c r="C12" s="69"/>
      <c r="D12" s="211"/>
    </row>
    <row r="13" spans="1:4" ht="12.75">
      <c r="A13" s="24" t="s">
        <v>83</v>
      </c>
      <c r="B13" s="228"/>
      <c r="C13" s="69">
        <v>2895594585.89</v>
      </c>
      <c r="D13" s="259"/>
    </row>
    <row r="14" spans="1:4" ht="13.5" thickBot="1">
      <c r="A14" s="264" t="s">
        <v>39</v>
      </c>
      <c r="B14" s="265"/>
      <c r="C14" s="265"/>
      <c r="D14" s="266">
        <f>SUM(B12+C13)</f>
        <v>3550689585.89</v>
      </c>
    </row>
    <row r="15" spans="1:4" ht="12.75">
      <c r="A15" s="23" t="s">
        <v>8</v>
      </c>
      <c r="B15" s="40"/>
      <c r="C15" s="35"/>
      <c r="D15" s="273"/>
    </row>
    <row r="16" spans="1:4" ht="12.75">
      <c r="A16" s="24" t="s">
        <v>82</v>
      </c>
      <c r="B16" s="36"/>
      <c r="C16" s="36"/>
      <c r="D16" s="211"/>
    </row>
    <row r="17" spans="1:4" ht="12.75">
      <c r="A17" s="24" t="s">
        <v>83</v>
      </c>
      <c r="B17" s="36"/>
      <c r="C17" s="36">
        <v>654095000</v>
      </c>
      <c r="D17" s="211"/>
    </row>
    <row r="18" spans="1:4" ht="13.5" thickBot="1">
      <c r="A18" s="264" t="s">
        <v>39</v>
      </c>
      <c r="B18" s="265"/>
      <c r="C18" s="265"/>
      <c r="D18" s="266">
        <f>SUM(B16+C17)</f>
        <v>654095000</v>
      </c>
    </row>
    <row r="19" spans="1:4" ht="12.75">
      <c r="A19" s="234" t="s">
        <v>63</v>
      </c>
      <c r="B19" s="35"/>
      <c r="C19" s="35"/>
      <c r="D19" s="126"/>
    </row>
    <row r="20" spans="1:4" ht="12.75">
      <c r="A20" s="24" t="s">
        <v>82</v>
      </c>
      <c r="B20" s="227"/>
      <c r="C20" s="227"/>
      <c r="D20" s="104"/>
    </row>
    <row r="21" spans="1:4" ht="12.75">
      <c r="A21" s="24" t="s">
        <v>83</v>
      </c>
      <c r="B21" s="227"/>
      <c r="C21" s="69">
        <v>551189965.34</v>
      </c>
      <c r="D21" s="104"/>
    </row>
    <row r="22" spans="1:4" ht="13.5" thickBot="1">
      <c r="A22" s="264" t="s">
        <v>39</v>
      </c>
      <c r="B22" s="272"/>
      <c r="C22" s="272"/>
      <c r="D22" s="266">
        <f>SUM(B20+C21)</f>
        <v>551189965.34</v>
      </c>
    </row>
    <row r="23" spans="1:4" ht="12.75">
      <c r="A23" s="23" t="s">
        <v>42</v>
      </c>
      <c r="B23" s="40"/>
      <c r="C23" s="35"/>
      <c r="D23" s="194"/>
    </row>
    <row r="24" spans="1:4" ht="12.75">
      <c r="A24" s="24" t="s">
        <v>82</v>
      </c>
      <c r="B24" s="36">
        <v>261683238.02</v>
      </c>
      <c r="C24" s="36"/>
      <c r="D24" s="195"/>
    </row>
    <row r="25" spans="1:4" ht="12.75">
      <c r="A25" s="24" t="s">
        <v>83</v>
      </c>
      <c r="B25" s="36"/>
      <c r="C25" s="36">
        <v>90551748.63</v>
      </c>
      <c r="D25" s="195"/>
    </row>
    <row r="26" spans="1:4" ht="13.5" thickBot="1">
      <c r="A26" s="264" t="s">
        <v>39</v>
      </c>
      <c r="B26" s="265"/>
      <c r="C26" s="265"/>
      <c r="D26" s="266">
        <f>SUM(B24+C25)</f>
        <v>352234986.65</v>
      </c>
    </row>
    <row r="27" spans="1:4" ht="12.75">
      <c r="A27" s="23" t="s">
        <v>32</v>
      </c>
      <c r="B27" s="40"/>
      <c r="C27" s="35"/>
      <c r="D27" s="194"/>
    </row>
    <row r="28" spans="1:4" ht="12.75">
      <c r="A28" s="24" t="s">
        <v>82</v>
      </c>
      <c r="B28" s="36">
        <v>209512605.58</v>
      </c>
      <c r="C28" s="69"/>
      <c r="D28" s="211"/>
    </row>
    <row r="29" spans="1:4" ht="12.75">
      <c r="A29" s="24" t="s">
        <v>83</v>
      </c>
      <c r="B29" s="36"/>
      <c r="C29" s="69">
        <v>62557453.63</v>
      </c>
      <c r="D29" s="211"/>
    </row>
    <row r="30" spans="1:4" ht="13.5" thickBot="1">
      <c r="A30" s="264" t="s">
        <v>39</v>
      </c>
      <c r="B30" s="265"/>
      <c r="C30" s="265"/>
      <c r="D30" s="266">
        <f>SUM(B28+C29)</f>
        <v>272070059.21000004</v>
      </c>
    </row>
    <row r="31" spans="1:4" ht="12.75">
      <c r="A31" s="23" t="s">
        <v>30</v>
      </c>
      <c r="B31" s="40"/>
      <c r="C31" s="35"/>
      <c r="D31" s="194"/>
    </row>
    <row r="32" spans="1:4" ht="12.75">
      <c r="A32" s="116" t="s">
        <v>82</v>
      </c>
      <c r="B32" s="69">
        <v>240201500</v>
      </c>
      <c r="C32" s="66"/>
      <c r="D32" s="260"/>
    </row>
    <row r="33" spans="1:4" ht="13.5" thickBot="1">
      <c r="A33" s="264" t="s">
        <v>39</v>
      </c>
      <c r="B33" s="265"/>
      <c r="C33" s="265"/>
      <c r="D33" s="266">
        <f>SUM(B32)</f>
        <v>240201500</v>
      </c>
    </row>
    <row r="34" spans="1:4" ht="12.75">
      <c r="A34" s="23" t="s">
        <v>35</v>
      </c>
      <c r="B34" s="35"/>
      <c r="C34" s="40"/>
      <c r="D34" s="221"/>
    </row>
    <row r="35" spans="1:4" ht="12.75">
      <c r="A35" s="24" t="s">
        <v>82</v>
      </c>
      <c r="B35" s="69">
        <v>178011148</v>
      </c>
      <c r="C35" s="69"/>
      <c r="D35" s="104"/>
    </row>
    <row r="36" spans="1:4" ht="12.75">
      <c r="A36" s="24" t="s">
        <v>83</v>
      </c>
      <c r="B36" s="69"/>
      <c r="C36" s="69">
        <v>50466160.46</v>
      </c>
      <c r="D36" s="104"/>
    </row>
    <row r="37" spans="1:4" ht="13.5" thickBot="1">
      <c r="A37" s="264" t="s">
        <v>39</v>
      </c>
      <c r="B37" s="267"/>
      <c r="C37" s="267"/>
      <c r="D37" s="266">
        <f>SUM(B35+C36)</f>
        <v>228477308.46</v>
      </c>
    </row>
    <row r="38" spans="1:4" ht="12.75">
      <c r="A38" s="23" t="s">
        <v>93</v>
      </c>
      <c r="B38" s="143"/>
      <c r="C38" s="143"/>
      <c r="D38" s="221"/>
    </row>
    <row r="39" spans="1:4" ht="12.75">
      <c r="A39" s="24" t="s">
        <v>82</v>
      </c>
      <c r="B39" s="69">
        <v>41200000</v>
      </c>
      <c r="C39" s="69"/>
      <c r="D39" s="104"/>
    </row>
    <row r="40" spans="1:4" ht="12.75">
      <c r="A40" s="24" t="s">
        <v>83</v>
      </c>
      <c r="B40" s="69"/>
      <c r="C40" s="69">
        <v>144247100</v>
      </c>
      <c r="D40" s="104"/>
    </row>
    <row r="41" spans="1:4" ht="13.5" thickBot="1">
      <c r="A41" s="264" t="s">
        <v>39</v>
      </c>
      <c r="B41" s="267"/>
      <c r="C41" s="267"/>
      <c r="D41" s="266">
        <f>SUM(B39+C40)</f>
        <v>185447100</v>
      </c>
    </row>
    <row r="42" spans="1:4" ht="12.75">
      <c r="A42" s="23" t="s">
        <v>34</v>
      </c>
      <c r="B42" s="143"/>
      <c r="C42" s="143"/>
      <c r="D42" s="221"/>
    </row>
    <row r="43" spans="1:4" ht="12.75">
      <c r="A43" s="24" t="s">
        <v>82</v>
      </c>
      <c r="B43" s="69">
        <v>139560314.66</v>
      </c>
      <c r="C43" s="69"/>
      <c r="D43" s="104"/>
    </row>
    <row r="44" spans="1:4" ht="12.75">
      <c r="A44" s="24" t="s">
        <v>83</v>
      </c>
      <c r="B44" s="69"/>
      <c r="C44" s="69">
        <v>33292671.21</v>
      </c>
      <c r="D44" s="104"/>
    </row>
    <row r="45" spans="1:4" ht="13.5" thickBot="1">
      <c r="A45" s="264" t="s">
        <v>39</v>
      </c>
      <c r="B45" s="267"/>
      <c r="C45" s="267"/>
      <c r="D45" s="266">
        <f>SUM(B43+C44)</f>
        <v>172852985.87</v>
      </c>
    </row>
    <row r="46" spans="1:4" ht="12.75">
      <c r="A46" s="268" t="s">
        <v>48</v>
      </c>
      <c r="B46" s="269"/>
      <c r="C46" s="270"/>
      <c r="D46" s="271"/>
    </row>
    <row r="47" spans="1:4" ht="12.75">
      <c r="A47" s="24" t="s">
        <v>82</v>
      </c>
      <c r="B47" s="69">
        <v>83755249.38</v>
      </c>
      <c r="C47" s="69"/>
      <c r="D47" s="104"/>
    </row>
    <row r="48" spans="1:4" ht="12.75">
      <c r="A48" s="24" t="s">
        <v>83</v>
      </c>
      <c r="B48" s="69"/>
      <c r="C48" s="69">
        <v>22284172.97</v>
      </c>
      <c r="D48" s="104"/>
    </row>
    <row r="49" spans="1:4" ht="13.5" thickBot="1">
      <c r="A49" s="264" t="s">
        <v>39</v>
      </c>
      <c r="B49" s="267"/>
      <c r="C49" s="267"/>
      <c r="D49" s="266">
        <f>SUM(B47+C48)</f>
        <v>106039422.35</v>
      </c>
    </row>
    <row r="50" spans="1:4" ht="12.75">
      <c r="A50" s="23" t="s">
        <v>44</v>
      </c>
      <c r="B50" s="12"/>
      <c r="C50" s="35"/>
      <c r="D50" s="194"/>
    </row>
    <row r="51" spans="1:4" ht="12.75">
      <c r="A51" s="71" t="s">
        <v>82</v>
      </c>
      <c r="B51" s="69">
        <v>69830280</v>
      </c>
      <c r="C51" s="66"/>
      <c r="D51" s="260"/>
    </row>
    <row r="52" spans="1:4" ht="13.5" thickBot="1">
      <c r="A52" s="264" t="s">
        <v>39</v>
      </c>
      <c r="B52" s="265"/>
      <c r="C52" s="265"/>
      <c r="D52" s="266">
        <f>SUM(B51)</f>
        <v>69830280</v>
      </c>
    </row>
    <row r="53" spans="1:4" ht="12.75">
      <c r="A53" s="23" t="s">
        <v>45</v>
      </c>
      <c r="B53" s="12"/>
      <c r="C53" s="35"/>
      <c r="D53" s="194"/>
    </row>
    <row r="54" spans="1:5" ht="12.75">
      <c r="A54" s="24" t="s">
        <v>82</v>
      </c>
      <c r="B54" s="69"/>
      <c r="C54" s="69"/>
      <c r="D54" s="104"/>
      <c r="E54" s="4"/>
    </row>
    <row r="55" spans="1:5" ht="12.75">
      <c r="A55" s="24" t="s">
        <v>83</v>
      </c>
      <c r="B55" s="69"/>
      <c r="C55" s="69">
        <v>23439954.2</v>
      </c>
      <c r="D55" s="104"/>
      <c r="E55" s="4"/>
    </row>
    <row r="56" spans="1:5" ht="13.5" thickBot="1">
      <c r="A56" s="261" t="s">
        <v>39</v>
      </c>
      <c r="B56" s="262"/>
      <c r="C56" s="262"/>
      <c r="D56" s="263">
        <f>SUM(B54+C55)</f>
        <v>23439954.2</v>
      </c>
      <c r="E56" s="251"/>
    </row>
    <row r="57" spans="1:5" ht="13.5" thickBot="1">
      <c r="A57" s="200" t="s">
        <v>102</v>
      </c>
      <c r="B57" s="252">
        <f>SUM(B8:B56)</f>
        <v>7102590402.06</v>
      </c>
      <c r="C57" s="252">
        <f>SUM(C8:C56)</f>
        <v>7956078013.85</v>
      </c>
      <c r="D57" s="201">
        <f>SUM(D8:D56)</f>
        <v>15058668415.91</v>
      </c>
      <c r="E57" s="251"/>
    </row>
    <row r="58" ht="12.75">
      <c r="A58" t="s">
        <v>81</v>
      </c>
    </row>
    <row r="59" spans="3:4" ht="12.75">
      <c r="C59" s="52"/>
      <c r="D59" s="5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3"/>
  <sheetViews>
    <sheetView workbookViewId="0" topLeftCell="A177">
      <selection activeCell="C200" sqref="C200"/>
    </sheetView>
  </sheetViews>
  <sheetFormatPr defaultColWidth="9.00390625" defaultRowHeight="12.75"/>
  <cols>
    <col min="1" max="1" width="32.25390625" style="0" customWidth="1"/>
    <col min="2" max="2" width="14.625" style="0" customWidth="1"/>
    <col min="5" max="5" width="20.875" style="0" customWidth="1"/>
    <col min="6" max="6" width="15.25390625" style="0" bestFit="1" customWidth="1"/>
  </cols>
  <sheetData>
    <row r="1" spans="1:3" ht="18">
      <c r="A1" s="224" t="s">
        <v>91</v>
      </c>
      <c r="B1" s="224"/>
      <c r="C1" s="224"/>
    </row>
    <row r="2" spans="1:3" ht="18">
      <c r="A2" s="224"/>
      <c r="B2" s="224"/>
      <c r="C2" s="224"/>
    </row>
    <row r="3" spans="1:3" ht="18">
      <c r="A3" s="224"/>
      <c r="B3" s="224"/>
      <c r="C3" s="224"/>
    </row>
    <row r="4" ht="13.5" thickBot="1"/>
    <row r="5" spans="1:5" ht="12.75">
      <c r="A5" s="17" t="s">
        <v>17</v>
      </c>
      <c r="B5" s="18" t="s">
        <v>18</v>
      </c>
      <c r="C5" s="19" t="s">
        <v>88</v>
      </c>
      <c r="D5" s="19"/>
      <c r="E5" s="150" t="s">
        <v>85</v>
      </c>
    </row>
    <row r="6" spans="1:5" ht="12.75">
      <c r="A6" s="22"/>
      <c r="B6" s="3" t="s">
        <v>19</v>
      </c>
      <c r="C6" s="8" t="s">
        <v>89</v>
      </c>
      <c r="D6" s="8"/>
      <c r="E6" s="193" t="s">
        <v>87</v>
      </c>
    </row>
    <row r="7" spans="1:5" ht="13.5" thickBot="1">
      <c r="A7" s="170"/>
      <c r="B7" s="169" t="s">
        <v>20</v>
      </c>
      <c r="C7" s="171" t="s">
        <v>90</v>
      </c>
      <c r="D7" s="171"/>
      <c r="E7" s="223" t="s">
        <v>86</v>
      </c>
    </row>
    <row r="8" spans="1:5" ht="13.5" thickTop="1">
      <c r="A8" s="23" t="s">
        <v>2</v>
      </c>
      <c r="B8" s="9"/>
      <c r="C8" s="9"/>
      <c r="D8" s="9"/>
      <c r="E8" s="194"/>
    </row>
    <row r="9" spans="1:5" ht="12.75">
      <c r="A9" s="24" t="s">
        <v>0</v>
      </c>
      <c r="B9" s="7">
        <v>33472</v>
      </c>
      <c r="C9" s="6" t="s">
        <v>24</v>
      </c>
      <c r="D9" s="6" t="s">
        <v>26</v>
      </c>
      <c r="E9" s="195">
        <f>1026008.99*B196</f>
        <v>44808890.62027</v>
      </c>
    </row>
    <row r="10" spans="1:5" ht="12.75">
      <c r="A10" s="24"/>
      <c r="B10" s="6"/>
      <c r="C10" s="6"/>
      <c r="D10" s="6" t="s">
        <v>27</v>
      </c>
      <c r="E10" s="195">
        <f>28728.25*B196</f>
        <v>1254648.86225</v>
      </c>
    </row>
    <row r="11" spans="1:5" ht="12.75">
      <c r="A11" s="24" t="s">
        <v>13</v>
      </c>
      <c r="B11" s="7">
        <v>35271</v>
      </c>
      <c r="C11" s="6" t="s">
        <v>24</v>
      </c>
      <c r="D11" s="6" t="s">
        <v>26</v>
      </c>
      <c r="E11" s="195">
        <f>5606316.5*B196</f>
        <v>244844660.5045</v>
      </c>
    </row>
    <row r="12" spans="1:5" ht="12.75">
      <c r="A12" s="24"/>
      <c r="B12" s="6"/>
      <c r="C12" s="6"/>
      <c r="D12" s="6" t="s">
        <v>27</v>
      </c>
      <c r="E12" s="195">
        <f>1903831.97*B196</f>
        <v>83146053.62581</v>
      </c>
    </row>
    <row r="13" spans="1:5" ht="12.75">
      <c r="A13" s="24" t="s">
        <v>1</v>
      </c>
      <c r="B13" s="7">
        <v>35271</v>
      </c>
      <c r="C13" s="6" t="s">
        <v>24</v>
      </c>
      <c r="D13" s="6" t="s">
        <v>26</v>
      </c>
      <c r="E13" s="195">
        <f>3272268.04*B196</f>
        <v>142909762.11092</v>
      </c>
    </row>
    <row r="14" spans="1:5" ht="12.75">
      <c r="A14" s="24"/>
      <c r="B14" s="6"/>
      <c r="C14" s="6"/>
      <c r="D14" s="6" t="s">
        <v>27</v>
      </c>
      <c r="E14" s="195">
        <f>694467.09*B196</f>
        <v>30329461.22157</v>
      </c>
    </row>
    <row r="15" spans="1:5" ht="12.75">
      <c r="A15" s="24" t="s">
        <v>3</v>
      </c>
      <c r="B15" s="7">
        <v>35237</v>
      </c>
      <c r="C15" s="6" t="s">
        <v>22</v>
      </c>
      <c r="D15" s="6" t="s">
        <v>26</v>
      </c>
      <c r="E15" s="195">
        <f>20000000*B195</f>
        <v>902200000</v>
      </c>
    </row>
    <row r="16" spans="1:5" ht="12.75">
      <c r="A16" s="24"/>
      <c r="B16" s="6"/>
      <c r="C16" s="6"/>
      <c r="D16" s="6" t="s">
        <v>27</v>
      </c>
      <c r="E16" s="195">
        <f>6917083.33*B195</f>
        <v>312029629.0163</v>
      </c>
    </row>
    <row r="17" spans="1:5" ht="12.75">
      <c r="A17" s="24" t="s">
        <v>4</v>
      </c>
      <c r="B17" s="7">
        <v>35242</v>
      </c>
      <c r="C17" s="6" t="s">
        <v>24</v>
      </c>
      <c r="D17" s="6" t="s">
        <v>26</v>
      </c>
      <c r="E17" s="196">
        <f>5112918.81*B196</f>
        <v>223296503.18912998</v>
      </c>
    </row>
    <row r="18" spans="1:5" ht="12.75">
      <c r="A18" s="24"/>
      <c r="B18" s="6"/>
      <c r="C18" s="6"/>
      <c r="D18" s="6" t="s">
        <v>27</v>
      </c>
      <c r="E18" s="195">
        <f>1297094.24*B196</f>
        <v>56647996.74352</v>
      </c>
    </row>
    <row r="19" spans="1:5" ht="12.75">
      <c r="A19" s="24" t="s">
        <v>5</v>
      </c>
      <c r="B19" s="7">
        <v>35268</v>
      </c>
      <c r="C19" s="6" t="s">
        <v>22</v>
      </c>
      <c r="D19" s="6" t="s">
        <v>26</v>
      </c>
      <c r="E19" s="195">
        <f>11875000*B195</f>
        <v>535681250</v>
      </c>
    </row>
    <row r="20" spans="1:5" ht="12.75">
      <c r="A20" s="24"/>
      <c r="B20" s="6"/>
      <c r="C20" s="6"/>
      <c r="D20" s="6" t="s">
        <v>27</v>
      </c>
      <c r="E20" s="195">
        <f>3791423.61*B195</f>
        <v>171031119.04709998</v>
      </c>
    </row>
    <row r="21" spans="1:5" ht="12.75">
      <c r="A21" s="24" t="s">
        <v>6</v>
      </c>
      <c r="B21" s="7">
        <v>35268</v>
      </c>
      <c r="C21" s="6" t="s">
        <v>58</v>
      </c>
      <c r="D21" s="6" t="s">
        <v>26</v>
      </c>
      <c r="E21" s="195">
        <f>900000000*B197</f>
        <v>900000000</v>
      </c>
    </row>
    <row r="22" spans="1:5" ht="12.75">
      <c r="A22" s="24"/>
      <c r="B22" s="6"/>
      <c r="C22" s="6"/>
      <c r="D22" s="6" t="s">
        <v>27</v>
      </c>
      <c r="E22" s="195">
        <f>337162500*B197</f>
        <v>337162500</v>
      </c>
    </row>
    <row r="23" spans="1:5" ht="12.75">
      <c r="A23" s="51" t="s">
        <v>41</v>
      </c>
      <c r="B23" s="64">
        <v>36503</v>
      </c>
      <c r="C23" s="6" t="s">
        <v>58</v>
      </c>
      <c r="D23" s="9" t="s">
        <v>26</v>
      </c>
      <c r="E23" s="194">
        <v>1500000000</v>
      </c>
    </row>
    <row r="24" spans="1:5" ht="12.75">
      <c r="A24" s="61"/>
      <c r="B24" s="62"/>
      <c r="C24" s="62"/>
      <c r="D24" s="62" t="s">
        <v>27</v>
      </c>
      <c r="E24" s="197">
        <f>204360000*B197</f>
        <v>204360000</v>
      </c>
    </row>
    <row r="25" spans="1:5" ht="12.75">
      <c r="A25" s="24" t="s">
        <v>43</v>
      </c>
      <c r="B25" s="7">
        <v>36643</v>
      </c>
      <c r="C25" s="6" t="s">
        <v>58</v>
      </c>
      <c r="D25" s="6" t="s">
        <v>26</v>
      </c>
      <c r="E25" s="195">
        <v>250000000</v>
      </c>
    </row>
    <row r="26" spans="1:5" ht="12.75">
      <c r="A26" s="24"/>
      <c r="B26" s="6"/>
      <c r="C26" s="6"/>
      <c r="D26" s="6" t="s">
        <v>27</v>
      </c>
      <c r="E26" s="195">
        <v>75000000</v>
      </c>
    </row>
    <row r="27" spans="1:5" ht="12.75">
      <c r="A27" s="24" t="s">
        <v>43</v>
      </c>
      <c r="B27" s="7">
        <v>36672</v>
      </c>
      <c r="C27" s="6" t="s">
        <v>58</v>
      </c>
      <c r="D27" s="6" t="s">
        <v>26</v>
      </c>
      <c r="E27" s="195"/>
    </row>
    <row r="28" spans="1:5" ht="12.75">
      <c r="A28" s="24"/>
      <c r="B28" s="6"/>
      <c r="C28" s="6"/>
      <c r="D28" s="6" t="s">
        <v>27</v>
      </c>
      <c r="E28" s="195">
        <v>300000000</v>
      </c>
    </row>
    <row r="29" spans="1:5" ht="12.75">
      <c r="A29" s="24" t="s">
        <v>15</v>
      </c>
      <c r="B29" s="7">
        <v>36717</v>
      </c>
      <c r="C29" s="6" t="s">
        <v>58</v>
      </c>
      <c r="D29" s="6" t="s">
        <v>26</v>
      </c>
      <c r="E29" s="195"/>
    </row>
    <row r="30" spans="1:5" ht="12.75">
      <c r="A30" s="24"/>
      <c r="B30" s="6"/>
      <c r="C30" s="6"/>
      <c r="D30" s="6" t="s">
        <v>27</v>
      </c>
      <c r="E30" s="195">
        <v>479700000</v>
      </c>
    </row>
    <row r="31" spans="1:5" ht="12.75">
      <c r="A31" s="24" t="s">
        <v>54</v>
      </c>
      <c r="B31" s="7">
        <v>36993</v>
      </c>
      <c r="C31" s="6" t="s">
        <v>58</v>
      </c>
      <c r="D31" s="6" t="s">
        <v>26</v>
      </c>
      <c r="E31" s="194"/>
    </row>
    <row r="32" spans="1:5" ht="12.75">
      <c r="A32" s="61"/>
      <c r="B32" s="62"/>
      <c r="C32" s="62"/>
      <c r="D32" s="6" t="s">
        <v>27</v>
      </c>
      <c r="E32" s="197">
        <v>267900000</v>
      </c>
    </row>
    <row r="33" spans="1:5" ht="12.75">
      <c r="A33" s="24" t="s">
        <v>57</v>
      </c>
      <c r="B33" s="7">
        <v>37253</v>
      </c>
      <c r="C33" s="6" t="s">
        <v>58</v>
      </c>
      <c r="D33" s="6" t="s">
        <v>26</v>
      </c>
      <c r="E33" s="195">
        <f>230000000*B197</f>
        <v>230000000</v>
      </c>
    </row>
    <row r="34" spans="1:5" ht="12.75">
      <c r="A34" s="24" t="s">
        <v>59</v>
      </c>
      <c r="B34" s="6"/>
      <c r="C34" s="6"/>
      <c r="D34" s="6" t="s">
        <v>27</v>
      </c>
      <c r="E34" s="195">
        <f>623560518*B197</f>
        <v>623560518</v>
      </c>
    </row>
    <row r="35" spans="1:5" ht="12.75">
      <c r="A35" s="24" t="s">
        <v>57</v>
      </c>
      <c r="B35" s="7">
        <v>37253</v>
      </c>
      <c r="C35" s="6" t="s">
        <v>58</v>
      </c>
      <c r="D35" s="6" t="s">
        <v>26</v>
      </c>
      <c r="E35" s="195">
        <f>250000000*B197</f>
        <v>250000000</v>
      </c>
    </row>
    <row r="36" spans="1:5" ht="13.5" thickBot="1">
      <c r="A36" s="177" t="s">
        <v>60</v>
      </c>
      <c r="B36" s="33"/>
      <c r="C36" s="33"/>
      <c r="D36" s="33" t="s">
        <v>27</v>
      </c>
      <c r="E36" s="198">
        <f>486237275*B197</f>
        <v>486237275</v>
      </c>
    </row>
    <row r="37" spans="1:5" ht="12.75">
      <c r="A37" s="51" t="s">
        <v>82</v>
      </c>
      <c r="B37" s="9"/>
      <c r="C37" s="9"/>
      <c r="D37" s="9" t="s">
        <v>26</v>
      </c>
      <c r="E37" s="194">
        <f>SUM(E35+E33+E31+E29+E27+E25+E23+E21+E19+E17+E15+E13+E11+E9)</f>
        <v>5223741066.42482</v>
      </c>
    </row>
    <row r="38" spans="1:5" ht="13.5" thickBot="1">
      <c r="A38" s="177" t="s">
        <v>83</v>
      </c>
      <c r="B38" s="178"/>
      <c r="C38" s="178"/>
      <c r="D38" s="33" t="s">
        <v>27</v>
      </c>
      <c r="E38" s="199">
        <f>SUM(E36+E34+E32+E30+E28+E26+E24+E22+E20+E18+E16+E14+E12+E10)</f>
        <v>3428359201.51655</v>
      </c>
    </row>
    <row r="39" spans="1:5" ht="13.5" thickBot="1">
      <c r="A39" s="200" t="s">
        <v>39</v>
      </c>
      <c r="B39" s="181"/>
      <c r="C39" s="181"/>
      <c r="D39" s="181"/>
      <c r="E39" s="201">
        <f>SUM(E37:E38)</f>
        <v>8652100267.94137</v>
      </c>
    </row>
    <row r="40" spans="1:5" ht="13.5" thickBot="1">
      <c r="A40" s="108"/>
      <c r="B40" s="15"/>
      <c r="C40" s="15"/>
      <c r="D40" s="15"/>
      <c r="E40" s="202"/>
    </row>
    <row r="41" spans="1:5" ht="12.75">
      <c r="A41" s="17" t="s">
        <v>17</v>
      </c>
      <c r="B41" s="18" t="s">
        <v>18</v>
      </c>
      <c r="C41" s="19" t="s">
        <v>88</v>
      </c>
      <c r="D41" s="19"/>
      <c r="E41" s="150" t="s">
        <v>85</v>
      </c>
    </row>
    <row r="42" spans="1:5" ht="12.75">
      <c r="A42" s="22"/>
      <c r="B42" s="3" t="s">
        <v>19</v>
      </c>
      <c r="C42" s="8" t="s">
        <v>89</v>
      </c>
      <c r="D42" s="8"/>
      <c r="E42" s="193" t="s">
        <v>87</v>
      </c>
    </row>
    <row r="43" spans="1:5" ht="13.5" thickBot="1">
      <c r="A43" s="170"/>
      <c r="B43" s="169" t="s">
        <v>20</v>
      </c>
      <c r="C43" s="171" t="s">
        <v>90</v>
      </c>
      <c r="D43" s="171"/>
      <c r="E43" s="223" t="s">
        <v>86</v>
      </c>
    </row>
    <row r="44" spans="1:5" ht="13.5" thickTop="1">
      <c r="A44" s="23" t="s">
        <v>8</v>
      </c>
      <c r="B44" s="9"/>
      <c r="C44" s="9"/>
      <c r="D44" s="9"/>
      <c r="E44" s="194"/>
    </row>
    <row r="45" spans="1:5" ht="12.75">
      <c r="A45" s="24" t="s">
        <v>9</v>
      </c>
      <c r="B45" s="7">
        <v>35415</v>
      </c>
      <c r="C45" s="6" t="s">
        <v>22</v>
      </c>
      <c r="D45" s="6" t="s">
        <v>26</v>
      </c>
      <c r="E45" s="195"/>
    </row>
    <row r="46" spans="1:5" ht="12.75">
      <c r="A46" s="24"/>
      <c r="B46" s="6"/>
      <c r="C46" s="6"/>
      <c r="D46" s="6" t="s">
        <v>27</v>
      </c>
      <c r="E46" s="195">
        <f>14500000*B195</f>
        <v>654095000</v>
      </c>
    </row>
    <row r="47" spans="1:5" ht="13.5" thickBot="1">
      <c r="A47" s="179" t="s">
        <v>83</v>
      </c>
      <c r="B47" s="180"/>
      <c r="C47" s="180"/>
      <c r="D47" s="180"/>
      <c r="E47" s="203">
        <f>SUM(E45:E46)</f>
        <v>654095000</v>
      </c>
    </row>
    <row r="48" spans="1:5" ht="13.5" thickBot="1">
      <c r="A48" s="200" t="s">
        <v>84</v>
      </c>
      <c r="B48" s="181"/>
      <c r="C48" s="181"/>
      <c r="D48" s="181"/>
      <c r="E48" s="201">
        <f>SUM(E46)</f>
        <v>654095000</v>
      </c>
    </row>
    <row r="49" spans="1:5" ht="13.5" thickBot="1">
      <c r="A49" s="108"/>
      <c r="B49" s="15"/>
      <c r="C49" s="15"/>
      <c r="D49" s="15"/>
      <c r="E49" s="202"/>
    </row>
    <row r="50" spans="1:5" ht="12.75">
      <c r="A50" s="17" t="s">
        <v>17</v>
      </c>
      <c r="B50" s="18" t="s">
        <v>18</v>
      </c>
      <c r="C50" s="19" t="s">
        <v>88</v>
      </c>
      <c r="D50" s="19"/>
      <c r="E50" s="150" t="s">
        <v>85</v>
      </c>
    </row>
    <row r="51" spans="1:5" ht="12.75">
      <c r="A51" s="22"/>
      <c r="B51" s="3" t="s">
        <v>19</v>
      </c>
      <c r="C51" s="8" t="s">
        <v>89</v>
      </c>
      <c r="D51" s="8"/>
      <c r="E51" s="193" t="s">
        <v>87</v>
      </c>
    </row>
    <row r="52" spans="1:5" ht="13.5" thickBot="1">
      <c r="A52" s="170"/>
      <c r="B52" s="169" t="s">
        <v>20</v>
      </c>
      <c r="C52" s="171" t="s">
        <v>90</v>
      </c>
      <c r="D52" s="171"/>
      <c r="E52" s="223" t="s">
        <v>86</v>
      </c>
    </row>
    <row r="53" spans="1:5" ht="13.5" thickTop="1">
      <c r="A53" s="23" t="s">
        <v>42</v>
      </c>
      <c r="B53" s="9"/>
      <c r="C53" s="9"/>
      <c r="D53" s="9"/>
      <c r="E53" s="194"/>
    </row>
    <row r="54" spans="1:5" ht="12.75">
      <c r="A54" s="24" t="s">
        <v>62</v>
      </c>
      <c r="B54" s="7">
        <v>34150</v>
      </c>
      <c r="C54" s="6" t="s">
        <v>24</v>
      </c>
      <c r="D54" s="6" t="s">
        <v>26</v>
      </c>
      <c r="E54" s="195">
        <f>1500437.16*B196</f>
        <v>65528592.08868</v>
      </c>
    </row>
    <row r="55" spans="1:5" ht="12.75">
      <c r="A55" s="24"/>
      <c r="B55" s="6"/>
      <c r="C55" s="6"/>
      <c r="D55" s="6" t="s">
        <v>27</v>
      </c>
      <c r="E55" s="195">
        <f>505137.93*B196</f>
        <v>22060888.81689</v>
      </c>
    </row>
    <row r="56" spans="1:5" ht="12.75">
      <c r="A56" s="24" t="s">
        <v>11</v>
      </c>
      <c r="B56" s="7">
        <v>34470</v>
      </c>
      <c r="C56" s="6" t="s">
        <v>22</v>
      </c>
      <c r="D56" s="6" t="s">
        <v>26</v>
      </c>
      <c r="E56" s="195">
        <f>3417700*B195</f>
        <v>154172447</v>
      </c>
    </row>
    <row r="57" spans="1:5" ht="12.75">
      <c r="A57" s="24"/>
      <c r="B57" s="6"/>
      <c r="C57" s="6"/>
      <c r="D57" s="6" t="s">
        <v>27</v>
      </c>
      <c r="E57" s="195">
        <f>1116261.35*B195</f>
        <v>50354549.498500004</v>
      </c>
    </row>
    <row r="58" spans="1:5" ht="12.75">
      <c r="A58" s="24" t="s">
        <v>47</v>
      </c>
      <c r="B58" s="7">
        <v>34582</v>
      </c>
      <c r="C58" s="6" t="s">
        <v>24</v>
      </c>
      <c r="D58" s="6" t="s">
        <v>26</v>
      </c>
      <c r="E58" s="195">
        <f>961284.98*B196</f>
        <v>41982198.93154</v>
      </c>
    </row>
    <row r="59" spans="1:5" ht="13.5" thickBot="1">
      <c r="A59" s="177"/>
      <c r="B59" s="33"/>
      <c r="C59" s="33"/>
      <c r="D59" s="33" t="s">
        <v>27</v>
      </c>
      <c r="E59" s="198">
        <f>415275.12*B196</f>
        <v>18136310.31576</v>
      </c>
    </row>
    <row r="60" spans="1:5" ht="13.5" thickBot="1">
      <c r="A60" s="229" t="s">
        <v>82</v>
      </c>
      <c r="B60" s="59"/>
      <c r="C60" s="59"/>
      <c r="D60" s="59"/>
      <c r="E60" s="231">
        <f>SUM(E58+E56+E54)</f>
        <v>261683238.02022</v>
      </c>
    </row>
    <row r="61" spans="1:5" ht="13.5" thickBot="1">
      <c r="A61" s="129" t="s">
        <v>83</v>
      </c>
      <c r="B61" s="31"/>
      <c r="C61" s="31"/>
      <c r="D61" s="31"/>
      <c r="E61" s="204">
        <f>SUM(E59+E57+E55)</f>
        <v>90551748.63115</v>
      </c>
    </row>
    <row r="62" spans="1:5" ht="13.5" thickBot="1">
      <c r="A62" s="182" t="s">
        <v>39</v>
      </c>
      <c r="B62" s="183"/>
      <c r="C62" s="183"/>
      <c r="D62" s="183"/>
      <c r="E62" s="205">
        <f>SUM(SUM(E60:E61))</f>
        <v>352234986.65137005</v>
      </c>
    </row>
    <row r="63" spans="1:5" ht="13.5" thickBot="1">
      <c r="A63" s="108"/>
      <c r="B63" s="15"/>
      <c r="C63" s="15"/>
      <c r="D63" s="15"/>
      <c r="E63" s="202"/>
    </row>
    <row r="64" spans="1:5" ht="12.75">
      <c r="A64" s="17" t="s">
        <v>17</v>
      </c>
      <c r="B64" s="18" t="s">
        <v>18</v>
      </c>
      <c r="C64" s="19" t="s">
        <v>88</v>
      </c>
      <c r="D64" s="19"/>
      <c r="E64" s="150" t="s">
        <v>85</v>
      </c>
    </row>
    <row r="65" spans="1:5" ht="12.75">
      <c r="A65" s="22"/>
      <c r="B65" s="3" t="s">
        <v>19</v>
      </c>
      <c r="C65" s="8" t="s">
        <v>89</v>
      </c>
      <c r="D65" s="8"/>
      <c r="E65" s="193" t="s">
        <v>87</v>
      </c>
    </row>
    <row r="66" spans="1:5" ht="13.5" thickBot="1">
      <c r="A66" s="170"/>
      <c r="B66" s="169" t="s">
        <v>20</v>
      </c>
      <c r="C66" s="171" t="s">
        <v>90</v>
      </c>
      <c r="D66" s="171"/>
      <c r="E66" s="223" t="s">
        <v>86</v>
      </c>
    </row>
    <row r="67" spans="1:5" ht="13.5" thickTop="1">
      <c r="A67" s="136" t="s">
        <v>14</v>
      </c>
      <c r="B67" s="9"/>
      <c r="C67" s="9"/>
      <c r="D67" s="9"/>
      <c r="E67" s="194"/>
    </row>
    <row r="68" spans="1:5" ht="12.75">
      <c r="A68" s="184" t="s">
        <v>78</v>
      </c>
      <c r="B68" s="7">
        <v>36364</v>
      </c>
      <c r="C68" s="6" t="s">
        <v>24</v>
      </c>
      <c r="D68" s="6" t="s">
        <v>26</v>
      </c>
      <c r="E68" s="195"/>
    </row>
    <row r="69" spans="1:5" ht="12.75">
      <c r="A69" s="185"/>
      <c r="B69" s="7"/>
      <c r="C69" s="6"/>
      <c r="D69" s="6" t="s">
        <v>27</v>
      </c>
      <c r="E69" s="195">
        <f>6060000*B196</f>
        <v>264658380</v>
      </c>
    </row>
    <row r="70" spans="1:5" ht="12.75">
      <c r="A70" s="184" t="s">
        <v>79</v>
      </c>
      <c r="B70" s="7">
        <v>36623</v>
      </c>
      <c r="C70" s="6" t="s">
        <v>24</v>
      </c>
      <c r="D70" s="6" t="s">
        <v>26</v>
      </c>
      <c r="E70" s="195"/>
    </row>
    <row r="71" spans="1:5" ht="12.75">
      <c r="A71" s="185"/>
      <c r="B71" s="6"/>
      <c r="C71" s="6"/>
      <c r="D71" s="6" t="s">
        <v>27</v>
      </c>
      <c r="E71" s="195">
        <f>1132000*B196</f>
        <v>49437836</v>
      </c>
    </row>
    <row r="72" spans="1:5" ht="12.75">
      <c r="A72" s="184" t="s">
        <v>68</v>
      </c>
      <c r="B72" s="7">
        <v>36672</v>
      </c>
      <c r="C72" s="6" t="s">
        <v>24</v>
      </c>
      <c r="D72" s="6" t="s">
        <v>26</v>
      </c>
      <c r="E72" s="195"/>
    </row>
    <row r="73" spans="1:5" ht="12.75">
      <c r="A73" s="185"/>
      <c r="B73" s="6"/>
      <c r="C73" s="6"/>
      <c r="D73" s="6" t="s">
        <v>27</v>
      </c>
      <c r="E73" s="195">
        <f>12400000*B196</f>
        <v>541545200</v>
      </c>
    </row>
    <row r="74" spans="1:5" ht="12.75">
      <c r="A74" s="186" t="s">
        <v>69</v>
      </c>
      <c r="B74" s="83">
        <v>36795</v>
      </c>
      <c r="C74" s="62" t="s">
        <v>24</v>
      </c>
      <c r="D74" s="6" t="s">
        <v>26</v>
      </c>
      <c r="E74" s="195"/>
    </row>
    <row r="75" spans="1:5" ht="12.75">
      <c r="A75" s="185"/>
      <c r="B75" s="6"/>
      <c r="C75" s="6"/>
      <c r="D75" s="6" t="s">
        <v>27</v>
      </c>
      <c r="E75" s="195">
        <f>3600000*B196</f>
        <v>157222800</v>
      </c>
    </row>
    <row r="76" spans="1:5" ht="12.75">
      <c r="A76" s="184" t="s">
        <v>77</v>
      </c>
      <c r="B76" s="7">
        <v>36882</v>
      </c>
      <c r="C76" s="6" t="s">
        <v>24</v>
      </c>
      <c r="D76" s="6" t="s">
        <v>26</v>
      </c>
      <c r="E76" s="195"/>
    </row>
    <row r="77" spans="1:5" ht="12.75">
      <c r="A77" s="187" t="s">
        <v>76</v>
      </c>
      <c r="B77" s="6"/>
      <c r="C77" s="6"/>
      <c r="D77" s="6" t="s">
        <v>27</v>
      </c>
      <c r="E77" s="196">
        <f>793500*B196</f>
        <v>34654525.5</v>
      </c>
    </row>
    <row r="78" spans="1:5" ht="12.75">
      <c r="A78" s="184" t="s">
        <v>70</v>
      </c>
      <c r="B78" s="7">
        <v>37046</v>
      </c>
      <c r="C78" s="6" t="s">
        <v>58</v>
      </c>
      <c r="D78" s="6" t="s">
        <v>26</v>
      </c>
      <c r="E78" s="195"/>
    </row>
    <row r="79" spans="1:5" ht="12.75">
      <c r="A79" s="185"/>
      <c r="B79" s="6"/>
      <c r="C79" s="6"/>
      <c r="D79" s="6" t="s">
        <v>27</v>
      </c>
      <c r="E79" s="195">
        <v>285916666.67</v>
      </c>
    </row>
    <row r="80" spans="1:5" ht="12.75">
      <c r="A80" s="184" t="s">
        <v>71</v>
      </c>
      <c r="B80" s="7">
        <v>37046</v>
      </c>
      <c r="C80" s="6" t="s">
        <v>58</v>
      </c>
      <c r="D80" s="6" t="s">
        <v>26</v>
      </c>
      <c r="E80" s="195"/>
    </row>
    <row r="81" spans="1:5" ht="12.75">
      <c r="A81" s="185"/>
      <c r="B81" s="6"/>
      <c r="C81" s="6"/>
      <c r="D81" s="6" t="s">
        <v>27</v>
      </c>
      <c r="E81" s="195">
        <v>519200000</v>
      </c>
    </row>
    <row r="82" spans="1:5" ht="12.75">
      <c r="A82" s="186" t="s">
        <v>72</v>
      </c>
      <c r="B82" s="83">
        <v>36600</v>
      </c>
      <c r="C82" s="62" t="s">
        <v>24</v>
      </c>
      <c r="D82" s="62" t="s">
        <v>26</v>
      </c>
      <c r="E82" s="197">
        <f>15000000*B196</f>
        <v>655095000</v>
      </c>
    </row>
    <row r="83" spans="1:5" ht="12.75">
      <c r="A83" s="185"/>
      <c r="B83" s="6"/>
      <c r="C83" s="6"/>
      <c r="D83" s="6" t="s">
        <v>27</v>
      </c>
      <c r="E83" s="195">
        <f>2297431.67*B196</f>
        <v>100335733.32391</v>
      </c>
    </row>
    <row r="84" spans="1:5" ht="12.75">
      <c r="A84" s="186" t="s">
        <v>73</v>
      </c>
      <c r="B84" s="83">
        <v>37375</v>
      </c>
      <c r="C84" s="6" t="s">
        <v>58</v>
      </c>
      <c r="D84" s="62" t="s">
        <v>26</v>
      </c>
      <c r="E84" s="197"/>
    </row>
    <row r="85" spans="1:5" ht="12.75">
      <c r="A85" s="185"/>
      <c r="B85" s="6"/>
      <c r="C85" s="6"/>
      <c r="D85" s="6" t="s">
        <v>27</v>
      </c>
      <c r="E85" s="195">
        <v>176822222.2</v>
      </c>
    </row>
    <row r="86" spans="1:5" ht="12.75">
      <c r="A86" s="184" t="s">
        <v>74</v>
      </c>
      <c r="B86" s="83">
        <v>37418</v>
      </c>
      <c r="C86" s="6" t="s">
        <v>58</v>
      </c>
      <c r="D86" s="62" t="s">
        <v>26</v>
      </c>
      <c r="E86" s="197"/>
    </row>
    <row r="87" spans="1:5" ht="12.75">
      <c r="A87" s="185"/>
      <c r="B87" s="6"/>
      <c r="C87" s="6"/>
      <c r="D87" s="6" t="s">
        <v>27</v>
      </c>
      <c r="E87" s="195">
        <v>614822222.2</v>
      </c>
    </row>
    <row r="88" spans="1:5" ht="12.75">
      <c r="A88" s="206" t="s">
        <v>80</v>
      </c>
      <c r="B88" s="7">
        <v>37502</v>
      </c>
      <c r="C88" s="6" t="s">
        <v>58</v>
      </c>
      <c r="D88" s="62" t="s">
        <v>26</v>
      </c>
      <c r="E88" s="195"/>
    </row>
    <row r="89" spans="1:5" ht="13.5" thickBot="1">
      <c r="A89" s="207"/>
      <c r="B89" s="33"/>
      <c r="C89" s="33"/>
      <c r="D89" s="33" t="s">
        <v>27</v>
      </c>
      <c r="E89" s="199">
        <v>150979000</v>
      </c>
    </row>
    <row r="90" spans="1:6" ht="13.5" thickBot="1">
      <c r="A90" s="229" t="s">
        <v>82</v>
      </c>
      <c r="B90" s="59"/>
      <c r="C90" s="59"/>
      <c r="D90" s="59" t="s">
        <v>26</v>
      </c>
      <c r="E90" s="230">
        <f>SUM(E88+E86+E84+E82+E80+E78+E76+E74+E72+E70+E68)</f>
        <v>655095000</v>
      </c>
      <c r="F90" s="52"/>
    </row>
    <row r="91" spans="1:5" ht="13.5" thickBot="1">
      <c r="A91" s="129" t="s">
        <v>83</v>
      </c>
      <c r="B91" s="31"/>
      <c r="C91" s="31"/>
      <c r="D91" s="31" t="s">
        <v>27</v>
      </c>
      <c r="E91" s="203">
        <f>SUM(E89+E87+E85+E83+E81+E79+E77+E75+E73+E71+E69)</f>
        <v>2895594585.8939104</v>
      </c>
    </row>
    <row r="92" spans="1:5" ht="13.5" thickBot="1">
      <c r="A92" s="182" t="s">
        <v>39</v>
      </c>
      <c r="B92" s="30"/>
      <c r="C92" s="30"/>
      <c r="D92" s="39"/>
      <c r="E92" s="205">
        <f>SUM(E90:E91)</f>
        <v>3550689585.8939104</v>
      </c>
    </row>
    <row r="93" spans="1:5" ht="13.5" thickBot="1">
      <c r="A93" s="191"/>
      <c r="B93" s="192"/>
      <c r="C93" s="65"/>
      <c r="D93" s="76"/>
      <c r="E93" s="209"/>
    </row>
    <row r="94" spans="1:5" ht="12.75">
      <c r="A94" s="17" t="s">
        <v>17</v>
      </c>
      <c r="B94" s="18" t="s">
        <v>18</v>
      </c>
      <c r="C94" s="19" t="s">
        <v>88</v>
      </c>
      <c r="D94" s="19"/>
      <c r="E94" s="150" t="s">
        <v>85</v>
      </c>
    </row>
    <row r="95" spans="1:5" ht="12.75">
      <c r="A95" s="22"/>
      <c r="B95" s="3" t="s">
        <v>19</v>
      </c>
      <c r="C95" s="8" t="s">
        <v>89</v>
      </c>
      <c r="D95" s="8"/>
      <c r="E95" s="193" t="s">
        <v>87</v>
      </c>
    </row>
    <row r="96" spans="1:5" ht="13.5" thickBot="1">
      <c r="A96" s="170"/>
      <c r="B96" s="169" t="s">
        <v>20</v>
      </c>
      <c r="C96" s="171" t="s">
        <v>90</v>
      </c>
      <c r="D96" s="171"/>
      <c r="E96" s="223" t="s">
        <v>86</v>
      </c>
    </row>
    <row r="97" spans="1:5" ht="13.5" thickTop="1">
      <c r="A97" s="188" t="s">
        <v>63</v>
      </c>
      <c r="B97" s="15"/>
      <c r="C97" s="15"/>
      <c r="D97" s="15"/>
      <c r="E97" s="193"/>
    </row>
    <row r="98" spans="1:5" ht="12.75">
      <c r="A98" s="185" t="s">
        <v>49</v>
      </c>
      <c r="B98" s="7">
        <v>36882</v>
      </c>
      <c r="C98" s="6" t="s">
        <v>24</v>
      </c>
      <c r="D98" s="6" t="s">
        <v>26</v>
      </c>
      <c r="E98" s="104"/>
    </row>
    <row r="99" spans="1:5" ht="12.75">
      <c r="A99" s="187" t="s">
        <v>64</v>
      </c>
      <c r="B99" s="6"/>
      <c r="C99" s="6"/>
      <c r="D99" s="6" t="s">
        <v>27</v>
      </c>
      <c r="E99" s="195">
        <f>2380500*B196</f>
        <v>103963576.5</v>
      </c>
    </row>
    <row r="100" spans="1:5" ht="12.75">
      <c r="A100" s="184" t="s">
        <v>65</v>
      </c>
      <c r="B100" s="7">
        <v>37046</v>
      </c>
      <c r="C100" s="6" t="s">
        <v>58</v>
      </c>
      <c r="D100" s="6" t="s">
        <v>26</v>
      </c>
      <c r="E100" s="195"/>
    </row>
    <row r="101" spans="1:5" ht="12.75">
      <c r="A101" s="189" t="s">
        <v>75</v>
      </c>
      <c r="B101" s="43"/>
      <c r="C101" s="43"/>
      <c r="D101" s="43" t="s">
        <v>27</v>
      </c>
      <c r="E101" s="195">
        <v>177430555.51</v>
      </c>
    </row>
    <row r="102" spans="1:5" ht="12.75">
      <c r="A102" s="206" t="s">
        <v>66</v>
      </c>
      <c r="B102" s="7">
        <v>37428</v>
      </c>
      <c r="C102" s="6" t="s">
        <v>58</v>
      </c>
      <c r="D102" s="6" t="s">
        <v>26</v>
      </c>
      <c r="E102" s="106"/>
    </row>
    <row r="103" spans="1:5" ht="13.5" thickBot="1">
      <c r="A103" s="210"/>
      <c r="B103" s="33"/>
      <c r="C103" s="33"/>
      <c r="D103" s="33" t="s">
        <v>27</v>
      </c>
      <c r="E103" s="198">
        <v>269795833.33</v>
      </c>
    </row>
    <row r="104" spans="1:5" ht="13.5" thickBot="1">
      <c r="A104" s="179" t="s">
        <v>83</v>
      </c>
      <c r="B104" s="180"/>
      <c r="C104" s="180"/>
      <c r="D104" s="180"/>
      <c r="E104" s="203">
        <f>SUM(E99:E103)</f>
        <v>551189965.3399999</v>
      </c>
    </row>
    <row r="105" spans="1:5" ht="13.5" thickBot="1">
      <c r="A105" s="200" t="s">
        <v>84</v>
      </c>
      <c r="B105" s="181"/>
      <c r="C105" s="181"/>
      <c r="D105" s="181"/>
      <c r="E105" s="201">
        <f>SUM(E104)</f>
        <v>551189965.3399999</v>
      </c>
    </row>
    <row r="106" spans="1:5" ht="13.5" thickBot="1">
      <c r="A106" s="190"/>
      <c r="B106" s="27"/>
      <c r="C106" s="62"/>
      <c r="D106" s="62"/>
      <c r="E106" s="202"/>
    </row>
    <row r="107" spans="1:5" ht="12.75">
      <c r="A107" s="17" t="s">
        <v>17</v>
      </c>
      <c r="B107" s="18" t="s">
        <v>18</v>
      </c>
      <c r="C107" s="19" t="s">
        <v>88</v>
      </c>
      <c r="D107" s="19"/>
      <c r="E107" s="150" t="s">
        <v>85</v>
      </c>
    </row>
    <row r="108" spans="1:5" ht="12.75">
      <c r="A108" s="22"/>
      <c r="B108" s="3" t="s">
        <v>19</v>
      </c>
      <c r="C108" s="8" t="s">
        <v>89</v>
      </c>
      <c r="D108" s="8"/>
      <c r="E108" s="193" t="s">
        <v>87</v>
      </c>
    </row>
    <row r="109" spans="1:5" ht="13.5" thickBot="1">
      <c r="A109" s="170"/>
      <c r="B109" s="169" t="s">
        <v>20</v>
      </c>
      <c r="C109" s="171" t="s">
        <v>90</v>
      </c>
      <c r="D109" s="171"/>
      <c r="E109" s="223" t="s">
        <v>86</v>
      </c>
    </row>
    <row r="110" spans="1:5" ht="13.5" thickTop="1">
      <c r="A110" s="145" t="s">
        <v>50</v>
      </c>
      <c r="B110" s="9"/>
      <c r="C110" s="15"/>
      <c r="D110" s="15"/>
      <c r="E110" s="194"/>
    </row>
    <row r="111" spans="1:5" ht="12.75">
      <c r="A111" s="24"/>
      <c r="B111" s="64">
        <v>36999</v>
      </c>
      <c r="C111" s="6" t="s">
        <v>58</v>
      </c>
      <c r="D111" s="6" t="s">
        <v>26</v>
      </c>
      <c r="E111" s="195"/>
    </row>
    <row r="112" spans="1:5" ht="12.75">
      <c r="A112" s="24"/>
      <c r="B112" s="6"/>
      <c r="C112" s="6"/>
      <c r="D112" s="6" t="s">
        <v>27</v>
      </c>
      <c r="E112" s="195"/>
    </row>
    <row r="113" spans="1:5" ht="12.75">
      <c r="A113" s="51" t="s">
        <v>61</v>
      </c>
      <c r="B113" s="64">
        <v>37235</v>
      </c>
      <c r="C113" s="9" t="s">
        <v>24</v>
      </c>
      <c r="D113" s="9" t="s">
        <v>26</v>
      </c>
      <c r="E113" s="194"/>
    </row>
    <row r="114" spans="1:5" ht="12.75">
      <c r="A114" s="24"/>
      <c r="B114" s="6"/>
      <c r="C114" s="6"/>
      <c r="D114" s="6" t="s">
        <v>27</v>
      </c>
      <c r="E114" s="211">
        <f>2700000*B196</f>
        <v>117917100</v>
      </c>
    </row>
    <row r="115" spans="1:5" ht="12.75">
      <c r="A115" s="24" t="s">
        <v>61</v>
      </c>
      <c r="B115" s="7">
        <v>37316</v>
      </c>
      <c r="C115" s="6" t="s">
        <v>58</v>
      </c>
      <c r="D115" s="6" t="s">
        <v>26</v>
      </c>
      <c r="E115" s="211">
        <v>41200000</v>
      </c>
    </row>
    <row r="116" spans="1:5" ht="13.5" thickBot="1">
      <c r="A116" s="177"/>
      <c r="B116" s="33"/>
      <c r="C116" s="33"/>
      <c r="D116" s="33" t="s">
        <v>27</v>
      </c>
      <c r="E116" s="199">
        <v>26330000</v>
      </c>
    </row>
    <row r="117" spans="1:5" ht="12.75">
      <c r="A117" s="61" t="s">
        <v>82</v>
      </c>
      <c r="B117" s="62"/>
      <c r="C117" s="62"/>
      <c r="D117" s="62" t="s">
        <v>26</v>
      </c>
      <c r="E117" s="208">
        <f>SUM(E111+E113+E115)</f>
        <v>41200000</v>
      </c>
    </row>
    <row r="118" spans="1:5" ht="13.5" thickBot="1">
      <c r="A118" s="129" t="s">
        <v>83</v>
      </c>
      <c r="B118" s="31"/>
      <c r="C118" s="31"/>
      <c r="D118" s="33" t="s">
        <v>27</v>
      </c>
      <c r="E118" s="203">
        <f>SUM(E112+E114+E116)</f>
        <v>144247100</v>
      </c>
    </row>
    <row r="119" spans="1:5" ht="13.5" thickBot="1">
      <c r="A119" s="182" t="s">
        <v>39</v>
      </c>
      <c r="B119" s="30"/>
      <c r="C119" s="30"/>
      <c r="D119" s="39"/>
      <c r="E119" s="205">
        <f>SUM(E117:E118)</f>
        <v>185447100</v>
      </c>
    </row>
    <row r="120" spans="1:5" ht="13.5" thickBot="1">
      <c r="A120" s="112"/>
      <c r="B120" s="96"/>
      <c r="C120" s="96"/>
      <c r="D120" s="96"/>
      <c r="E120" s="212"/>
    </row>
    <row r="121" spans="1:5" ht="13.5" thickBot="1">
      <c r="A121" s="108"/>
      <c r="B121" s="15"/>
      <c r="C121" s="15"/>
      <c r="D121" s="15"/>
      <c r="E121" s="202"/>
    </row>
    <row r="122" spans="1:5" ht="12.75">
      <c r="A122" s="17" t="s">
        <v>17</v>
      </c>
      <c r="B122" s="18" t="s">
        <v>18</v>
      </c>
      <c r="C122" s="19" t="s">
        <v>88</v>
      </c>
      <c r="D122" s="19"/>
      <c r="E122" s="150" t="s">
        <v>85</v>
      </c>
    </row>
    <row r="123" spans="1:5" ht="12.75">
      <c r="A123" s="22"/>
      <c r="B123" s="3" t="s">
        <v>19</v>
      </c>
      <c r="C123" s="8" t="s">
        <v>89</v>
      </c>
      <c r="D123" s="8"/>
      <c r="E123" s="193" t="s">
        <v>87</v>
      </c>
    </row>
    <row r="124" spans="1:5" ht="13.5" thickBot="1">
      <c r="A124" s="170"/>
      <c r="B124" s="169" t="s">
        <v>20</v>
      </c>
      <c r="C124" s="171" t="s">
        <v>90</v>
      </c>
      <c r="D124" s="171"/>
      <c r="E124" s="223" t="s">
        <v>86</v>
      </c>
    </row>
    <row r="125" spans="1:5" ht="13.5" thickTop="1">
      <c r="A125" s="23" t="s">
        <v>32</v>
      </c>
      <c r="B125" s="9"/>
      <c r="C125" s="9"/>
      <c r="D125" s="9"/>
      <c r="E125" s="194"/>
    </row>
    <row r="126" spans="1:5" ht="12.75">
      <c r="A126" s="24" t="s">
        <v>33</v>
      </c>
      <c r="B126" s="7">
        <v>34711</v>
      </c>
      <c r="C126" s="6" t="s">
        <v>22</v>
      </c>
      <c r="D126" s="6" t="s">
        <v>26</v>
      </c>
      <c r="E126" s="195">
        <f>200000*B195</f>
        <v>9022000</v>
      </c>
    </row>
    <row r="127" spans="1:5" ht="12.75">
      <c r="A127" s="24"/>
      <c r="B127" s="6"/>
      <c r="C127" s="6"/>
      <c r="D127" s="6" t="s">
        <v>27</v>
      </c>
      <c r="E127" s="195">
        <f>92626.88*B195</f>
        <v>4178398.5568000004</v>
      </c>
    </row>
    <row r="128" spans="1:5" ht="12.75">
      <c r="A128" s="24" t="s">
        <v>16</v>
      </c>
      <c r="B128" s="7">
        <v>35044</v>
      </c>
      <c r="C128" s="6" t="s">
        <v>22</v>
      </c>
      <c r="D128" s="6" t="s">
        <v>26</v>
      </c>
      <c r="E128" s="195">
        <f>4444482.5*B195</f>
        <v>200490605.575</v>
      </c>
    </row>
    <row r="129" spans="1:5" ht="13.5" thickBot="1">
      <c r="A129" s="177"/>
      <c r="B129" s="33"/>
      <c r="C129" s="33"/>
      <c r="D129" s="33" t="s">
        <v>27</v>
      </c>
      <c r="E129" s="198">
        <f>1294148.86*B195</f>
        <v>58379055.0746</v>
      </c>
    </row>
    <row r="130" spans="1:5" ht="12.75">
      <c r="A130" s="61" t="s">
        <v>82</v>
      </c>
      <c r="B130" s="62"/>
      <c r="C130" s="62"/>
      <c r="D130" s="62" t="s">
        <v>26</v>
      </c>
      <c r="E130" s="208">
        <f>SUM(E126+E128)</f>
        <v>209512605.575</v>
      </c>
    </row>
    <row r="131" spans="1:5" ht="13.5" thickBot="1">
      <c r="A131" s="129" t="s">
        <v>83</v>
      </c>
      <c r="B131" s="31"/>
      <c r="C131" s="31"/>
      <c r="D131" s="33" t="s">
        <v>27</v>
      </c>
      <c r="E131" s="203">
        <f>SUM(E127+E129)</f>
        <v>62557453.631400004</v>
      </c>
    </row>
    <row r="132" spans="1:5" ht="13.5" thickBot="1">
      <c r="A132" s="182" t="s">
        <v>39</v>
      </c>
      <c r="B132" s="30"/>
      <c r="C132" s="30"/>
      <c r="D132" s="39"/>
      <c r="E132" s="205">
        <f>SUM(E130:E131)</f>
        <v>272070059.2064</v>
      </c>
    </row>
    <row r="133" spans="1:5" ht="13.5" thickBot="1">
      <c r="A133" s="128"/>
      <c r="B133" s="47"/>
      <c r="C133" s="47"/>
      <c r="D133" s="47"/>
      <c r="E133" s="213"/>
    </row>
    <row r="134" spans="1:5" ht="12.75">
      <c r="A134" s="17" t="s">
        <v>17</v>
      </c>
      <c r="B134" s="18" t="s">
        <v>18</v>
      </c>
      <c r="C134" s="19" t="s">
        <v>88</v>
      </c>
      <c r="D134" s="19"/>
      <c r="E134" s="150" t="s">
        <v>85</v>
      </c>
    </row>
    <row r="135" spans="1:5" ht="12.75">
      <c r="A135" s="22"/>
      <c r="B135" s="3" t="s">
        <v>19</v>
      </c>
      <c r="C135" s="8" t="s">
        <v>89</v>
      </c>
      <c r="D135" s="8"/>
      <c r="E135" s="193" t="s">
        <v>87</v>
      </c>
    </row>
    <row r="136" spans="1:5" ht="13.5" thickBot="1">
      <c r="A136" s="170"/>
      <c r="B136" s="169" t="s">
        <v>20</v>
      </c>
      <c r="C136" s="171" t="s">
        <v>90</v>
      </c>
      <c r="D136" s="171"/>
      <c r="E136" s="223" t="s">
        <v>86</v>
      </c>
    </row>
    <row r="137" spans="1:5" ht="13.5" thickTop="1">
      <c r="A137" s="51"/>
      <c r="B137" s="9"/>
      <c r="C137" s="9"/>
      <c r="D137" s="9"/>
      <c r="E137" s="194"/>
    </row>
    <row r="138" spans="1:5" ht="12.75">
      <c r="A138" s="32" t="s">
        <v>30</v>
      </c>
      <c r="B138" s="7">
        <v>34058</v>
      </c>
      <c r="C138" s="6" t="s">
        <v>24</v>
      </c>
      <c r="D138" s="6" t="s">
        <v>26</v>
      </c>
      <c r="E138" s="195">
        <f>5500000*B196</f>
        <v>240201500</v>
      </c>
    </row>
    <row r="139" spans="1:5" ht="13.5" thickBot="1">
      <c r="A139" s="25" t="s">
        <v>31</v>
      </c>
      <c r="B139" s="50"/>
      <c r="C139" s="14"/>
      <c r="D139" s="14" t="s">
        <v>27</v>
      </c>
      <c r="E139" s="214"/>
    </row>
    <row r="140" spans="1:5" ht="14.25" thickBot="1" thickTop="1">
      <c r="A140" s="26" t="s">
        <v>82</v>
      </c>
      <c r="B140" s="16"/>
      <c r="C140" s="16"/>
      <c r="D140" s="16"/>
      <c r="E140" s="215">
        <f>SUM(E138:E139)</f>
        <v>240201500</v>
      </c>
    </row>
    <row r="141" spans="1:5" ht="13.5" thickBot="1">
      <c r="A141" s="182" t="s">
        <v>39</v>
      </c>
      <c r="B141" s="183"/>
      <c r="C141" s="183"/>
      <c r="D141" s="183"/>
      <c r="E141" s="205">
        <f>SUM(E140)</f>
        <v>240201500</v>
      </c>
    </row>
    <row r="142" spans="1:5" ht="13.5" thickBot="1">
      <c r="A142" s="61"/>
      <c r="B142" s="8"/>
      <c r="C142" s="8"/>
      <c r="D142" s="8"/>
      <c r="E142" s="216"/>
    </row>
    <row r="143" spans="1:5" ht="12.75">
      <c r="A143" s="17" t="s">
        <v>17</v>
      </c>
      <c r="B143" s="18" t="s">
        <v>18</v>
      </c>
      <c r="C143" s="19" t="s">
        <v>88</v>
      </c>
      <c r="D143" s="19"/>
      <c r="E143" s="150" t="s">
        <v>85</v>
      </c>
    </row>
    <row r="144" spans="1:5" ht="12.75">
      <c r="A144" s="22"/>
      <c r="B144" s="3" t="s">
        <v>19</v>
      </c>
      <c r="C144" s="8" t="s">
        <v>89</v>
      </c>
      <c r="D144" s="8"/>
      <c r="E144" s="193" t="s">
        <v>87</v>
      </c>
    </row>
    <row r="145" spans="1:5" ht="13.5" thickBot="1">
      <c r="A145" s="170"/>
      <c r="B145" s="169" t="s">
        <v>20</v>
      </c>
      <c r="C145" s="171" t="s">
        <v>90</v>
      </c>
      <c r="D145" s="171"/>
      <c r="E145" s="223" t="s">
        <v>86</v>
      </c>
    </row>
    <row r="146" spans="1:5" ht="13.5" thickTop="1">
      <c r="A146" s="161" t="s">
        <v>48</v>
      </c>
      <c r="B146" s="162">
        <v>34582</v>
      </c>
      <c r="C146" s="163" t="s">
        <v>24</v>
      </c>
      <c r="D146" s="163" t="s">
        <v>26</v>
      </c>
      <c r="E146" s="217">
        <f>1751870.85*B196</f>
        <v>76509455.63205001</v>
      </c>
    </row>
    <row r="147" spans="1:5" ht="12.75">
      <c r="A147" s="165" t="s">
        <v>16</v>
      </c>
      <c r="B147" s="162"/>
      <c r="C147" s="163"/>
      <c r="D147" s="163" t="s">
        <v>27</v>
      </c>
      <c r="E147" s="217">
        <v>20106169.75</v>
      </c>
    </row>
    <row r="148" spans="1:5" ht="12.75">
      <c r="A148" s="165"/>
      <c r="B148" s="162"/>
      <c r="C148" s="163" t="s">
        <v>22</v>
      </c>
      <c r="D148" s="163" t="s">
        <v>26</v>
      </c>
      <c r="E148" s="217">
        <f>160625*B195</f>
        <v>7245793.75</v>
      </c>
    </row>
    <row r="149" spans="1:5" ht="12.75">
      <c r="A149" s="165"/>
      <c r="B149" s="162"/>
      <c r="C149" s="163"/>
      <c r="D149" s="163" t="s">
        <v>27</v>
      </c>
      <c r="E149" s="217">
        <v>2178003.22</v>
      </c>
    </row>
    <row r="150" spans="1:5" ht="12.75">
      <c r="A150" s="61" t="s">
        <v>82</v>
      </c>
      <c r="B150" s="62"/>
      <c r="C150" s="62"/>
      <c r="D150" s="62" t="s">
        <v>26</v>
      </c>
      <c r="E150" s="208">
        <f>SUM(E146+E148)</f>
        <v>83755249.38205001</v>
      </c>
    </row>
    <row r="151" spans="1:5" ht="13.5" thickBot="1">
      <c r="A151" s="129" t="s">
        <v>83</v>
      </c>
      <c r="B151" s="31"/>
      <c r="C151" s="31"/>
      <c r="D151" s="33" t="s">
        <v>27</v>
      </c>
      <c r="E151" s="203">
        <f>SUM(E147+E149)</f>
        <v>22284172.97</v>
      </c>
    </row>
    <row r="152" spans="1:5" ht="13.5" thickBot="1">
      <c r="A152" s="182" t="s">
        <v>39</v>
      </c>
      <c r="B152" s="30"/>
      <c r="C152" s="30"/>
      <c r="D152" s="39"/>
      <c r="E152" s="205">
        <f>SUM(E150:E151)</f>
        <v>106039422.35205</v>
      </c>
    </row>
    <row r="153" spans="1:5" ht="13.5" thickBot="1">
      <c r="A153" s="129"/>
      <c r="B153" s="130"/>
      <c r="C153" s="130"/>
      <c r="D153" s="130"/>
      <c r="E153" s="218"/>
    </row>
    <row r="154" spans="1:5" ht="12.75">
      <c r="A154" s="53"/>
      <c r="B154" s="54"/>
      <c r="C154" s="54"/>
      <c r="D154" s="54"/>
      <c r="E154" s="219"/>
    </row>
    <row r="155" spans="1:5" ht="12.75">
      <c r="A155" s="41" t="s">
        <v>35</v>
      </c>
      <c r="B155" s="42">
        <v>36348</v>
      </c>
      <c r="C155" s="43" t="s">
        <v>24</v>
      </c>
      <c r="D155" s="43" t="s">
        <v>26</v>
      </c>
      <c r="E155" s="220">
        <f>4076000*B196</f>
        <v>178011148</v>
      </c>
    </row>
    <row r="156" spans="1:5" ht="13.5" thickBot="1">
      <c r="A156" s="25" t="s">
        <v>16</v>
      </c>
      <c r="B156" s="14"/>
      <c r="C156" s="14"/>
      <c r="D156" s="56" t="s">
        <v>27</v>
      </c>
      <c r="E156" s="214">
        <f>1155546*B196</f>
        <v>50466160.458000004</v>
      </c>
    </row>
    <row r="157" spans="1:5" ht="14.25" thickBot="1" thickTop="1">
      <c r="A157" s="232" t="s">
        <v>82</v>
      </c>
      <c r="B157" s="101"/>
      <c r="C157" s="101"/>
      <c r="D157" s="101" t="s">
        <v>26</v>
      </c>
      <c r="E157" s="233">
        <f>SUM(E153+E155)</f>
        <v>178011148</v>
      </c>
    </row>
    <row r="158" spans="1:5" ht="13.5" thickBot="1">
      <c r="A158" s="129" t="s">
        <v>83</v>
      </c>
      <c r="B158" s="31"/>
      <c r="C158" s="31"/>
      <c r="D158" s="31" t="s">
        <v>27</v>
      </c>
      <c r="E158" s="203">
        <f>SUM(E154+E156)</f>
        <v>50466160.458000004</v>
      </c>
    </row>
    <row r="159" spans="1:5" ht="13.5" thickBot="1">
      <c r="A159" s="182" t="s">
        <v>39</v>
      </c>
      <c r="B159" s="30"/>
      <c r="C159" s="30"/>
      <c r="D159" s="39"/>
      <c r="E159" s="205">
        <f>SUM(E157:E158)</f>
        <v>228477308.458</v>
      </c>
    </row>
    <row r="160" spans="1:5" ht="13.5" thickBot="1">
      <c r="A160" s="51"/>
      <c r="B160" s="9"/>
      <c r="C160" s="9"/>
      <c r="D160" s="9"/>
      <c r="E160" s="194"/>
    </row>
    <row r="161" spans="1:5" ht="12.75">
      <c r="A161" s="17" t="s">
        <v>17</v>
      </c>
      <c r="B161" s="18" t="s">
        <v>18</v>
      </c>
      <c r="C161" s="19" t="s">
        <v>88</v>
      </c>
      <c r="D161" s="19"/>
      <c r="E161" s="150" t="s">
        <v>85</v>
      </c>
    </row>
    <row r="162" spans="1:5" ht="12.75">
      <c r="A162" s="22"/>
      <c r="B162" s="3" t="s">
        <v>19</v>
      </c>
      <c r="C162" s="8" t="s">
        <v>89</v>
      </c>
      <c r="D162" s="8"/>
      <c r="E162" s="193" t="s">
        <v>87</v>
      </c>
    </row>
    <row r="163" spans="1:5" ht="13.5" thickBot="1">
      <c r="A163" s="170"/>
      <c r="B163" s="169" t="s">
        <v>20</v>
      </c>
      <c r="C163" s="171" t="s">
        <v>90</v>
      </c>
      <c r="D163" s="171"/>
      <c r="E163" s="223" t="s">
        <v>86</v>
      </c>
    </row>
    <row r="164" spans="1:5" ht="13.5" thickTop="1">
      <c r="A164" s="51"/>
      <c r="B164" s="9"/>
      <c r="C164" s="9"/>
      <c r="D164" s="9"/>
      <c r="E164" s="194"/>
    </row>
    <row r="165" spans="1:5" ht="12.75">
      <c r="A165" s="32" t="s">
        <v>44</v>
      </c>
      <c r="B165" s="7">
        <v>36644</v>
      </c>
      <c r="C165" s="6" t="s">
        <v>22</v>
      </c>
      <c r="D165" s="6" t="s">
        <v>26</v>
      </c>
      <c r="E165" s="195">
        <f>1548000*B195</f>
        <v>69830280</v>
      </c>
    </row>
    <row r="166" spans="1:5" ht="13.5" thickBot="1">
      <c r="A166" s="25" t="s">
        <v>43</v>
      </c>
      <c r="B166" s="50"/>
      <c r="C166" s="14"/>
      <c r="D166" s="14" t="s">
        <v>27</v>
      </c>
      <c r="E166" s="214"/>
    </row>
    <row r="167" spans="1:5" ht="14.25" thickBot="1" thickTop="1">
      <c r="A167" s="232" t="s">
        <v>82</v>
      </c>
      <c r="B167" s="101"/>
      <c r="C167" s="101"/>
      <c r="D167" s="101" t="s">
        <v>26</v>
      </c>
      <c r="E167" s="233">
        <f>SUM(E165)</f>
        <v>69830280</v>
      </c>
    </row>
    <row r="168" spans="1:5" ht="13.5" thickBot="1">
      <c r="A168" s="129" t="s">
        <v>83</v>
      </c>
      <c r="B168" s="31"/>
      <c r="C168" s="31"/>
      <c r="D168" s="31" t="s">
        <v>27</v>
      </c>
      <c r="E168" s="203">
        <f>SUM(E164+E166)</f>
        <v>0</v>
      </c>
    </row>
    <row r="169" spans="1:5" ht="13.5" thickBot="1">
      <c r="A169" s="182" t="s">
        <v>39</v>
      </c>
      <c r="B169" s="30"/>
      <c r="C169" s="30"/>
      <c r="D169" s="39"/>
      <c r="E169" s="205">
        <f>SUM(E167:E168)</f>
        <v>69830280</v>
      </c>
    </row>
    <row r="170" spans="1:5" ht="12.75">
      <c r="A170" s="48"/>
      <c r="B170" s="12"/>
      <c r="C170" s="12"/>
      <c r="D170" s="12"/>
      <c r="E170" s="221"/>
    </row>
    <row r="171" spans="1:5" ht="12.75">
      <c r="A171" s="32" t="s">
        <v>45</v>
      </c>
      <c r="B171" s="7">
        <v>36704</v>
      </c>
      <c r="C171" s="6" t="s">
        <v>24</v>
      </c>
      <c r="D171" s="6" t="s">
        <v>26</v>
      </c>
      <c r="E171" s="195"/>
    </row>
    <row r="172" spans="1:5" ht="12.75">
      <c r="A172" s="24" t="s">
        <v>55</v>
      </c>
      <c r="B172" s="7"/>
      <c r="C172" s="6"/>
      <c r="D172" s="6" t="s">
        <v>27</v>
      </c>
      <c r="E172" s="195">
        <f>236715*B196</f>
        <v>10338054.195</v>
      </c>
    </row>
    <row r="173" spans="1:5" ht="12.75">
      <c r="A173" s="23" t="s">
        <v>45</v>
      </c>
      <c r="B173" s="64">
        <v>37153</v>
      </c>
      <c r="C173" s="9" t="s">
        <v>24</v>
      </c>
      <c r="D173" s="62" t="s">
        <v>26</v>
      </c>
      <c r="E173" s="197"/>
    </row>
    <row r="174" spans="1:5" ht="13.5" thickBot="1">
      <c r="A174" s="25" t="s">
        <v>55</v>
      </c>
      <c r="B174" s="50"/>
      <c r="C174" s="14"/>
      <c r="D174" s="56" t="s">
        <v>27</v>
      </c>
      <c r="E174" s="214">
        <f>300000*B196</f>
        <v>13101900</v>
      </c>
    </row>
    <row r="175" spans="1:5" ht="14.25" thickBot="1" thickTop="1">
      <c r="A175" s="232" t="s">
        <v>82</v>
      </c>
      <c r="B175" s="101"/>
      <c r="C175" s="101"/>
      <c r="D175" s="101" t="s">
        <v>26</v>
      </c>
      <c r="E175" s="233">
        <f>SUM(E171+E173)</f>
        <v>0</v>
      </c>
    </row>
    <row r="176" spans="1:5" ht="13.5" thickBot="1">
      <c r="A176" s="129" t="s">
        <v>83</v>
      </c>
      <c r="B176" s="31"/>
      <c r="C176" s="31"/>
      <c r="D176" s="31" t="s">
        <v>27</v>
      </c>
      <c r="E176" s="203">
        <f>SUM(E172+E174)</f>
        <v>23439954.195</v>
      </c>
    </row>
    <row r="177" spans="1:5" ht="13.5" thickBot="1">
      <c r="A177" s="182" t="s">
        <v>39</v>
      </c>
      <c r="B177" s="30"/>
      <c r="C177" s="30"/>
      <c r="D177" s="39"/>
      <c r="E177" s="205">
        <f>SUM(E175:E176)</f>
        <v>23439954.195</v>
      </c>
    </row>
    <row r="178" spans="1:5" ht="13.5" thickBot="1">
      <c r="A178" s="129"/>
      <c r="B178" s="130"/>
      <c r="C178" s="130"/>
      <c r="D178" s="130"/>
      <c r="E178" s="218"/>
    </row>
    <row r="179" spans="1:5" ht="12.75">
      <c r="A179" s="48"/>
      <c r="B179" s="45"/>
      <c r="C179" s="45"/>
      <c r="D179" s="45"/>
      <c r="E179" s="222"/>
    </row>
    <row r="180" spans="1:5" ht="12.75">
      <c r="A180" s="32" t="s">
        <v>34</v>
      </c>
      <c r="B180" s="7">
        <v>36048</v>
      </c>
      <c r="C180" s="6" t="s">
        <v>24</v>
      </c>
      <c r="D180" s="6" t="s">
        <v>26</v>
      </c>
      <c r="E180" s="195">
        <f>3195574.26*B196</f>
        <v>139560314.65698</v>
      </c>
    </row>
    <row r="181" spans="1:5" ht="12.75">
      <c r="A181" s="24" t="s">
        <v>12</v>
      </c>
      <c r="B181" s="7"/>
      <c r="C181" s="6"/>
      <c r="D181" s="6" t="s">
        <v>27</v>
      </c>
      <c r="E181" s="195">
        <f>754855.92*B196</f>
        <v>32966822.59416</v>
      </c>
    </row>
    <row r="182" spans="1:5" ht="12.75">
      <c r="A182" s="5" t="s">
        <v>34</v>
      </c>
      <c r="B182" s="7">
        <v>36881</v>
      </c>
      <c r="C182" s="6" t="s">
        <v>24</v>
      </c>
      <c r="D182" s="9" t="s">
        <v>26</v>
      </c>
      <c r="E182" s="195"/>
    </row>
    <row r="183" spans="1:5" ht="12.75">
      <c r="A183" s="5" t="s">
        <v>12</v>
      </c>
      <c r="B183" s="7"/>
      <c r="C183" s="6"/>
      <c r="D183" s="62" t="s">
        <v>27</v>
      </c>
      <c r="E183" s="195">
        <f>6123.33*B196</f>
        <v>267424.19109000004</v>
      </c>
    </row>
    <row r="184" spans="1:5" ht="12.75">
      <c r="A184" s="5"/>
      <c r="B184" s="7">
        <v>36881</v>
      </c>
      <c r="C184" s="6" t="s">
        <v>24</v>
      </c>
      <c r="D184" s="62" t="s">
        <v>26</v>
      </c>
      <c r="E184" s="195"/>
    </row>
    <row r="185" spans="1:5" ht="13.5" thickBot="1">
      <c r="A185" s="84"/>
      <c r="B185" s="85"/>
      <c r="C185" s="13"/>
      <c r="D185" s="14" t="s">
        <v>27</v>
      </c>
      <c r="E185" s="214">
        <f>1337.77*B196</f>
        <v>58424.42921</v>
      </c>
    </row>
    <row r="186" spans="1:5" ht="14.25" thickBot="1" thickTop="1">
      <c r="A186" s="232" t="s">
        <v>82</v>
      </c>
      <c r="B186" s="101"/>
      <c r="C186" s="101"/>
      <c r="D186" s="101" t="s">
        <v>26</v>
      </c>
      <c r="E186" s="233">
        <f>SUM(E180+E182+E184)</f>
        <v>139560314.65698</v>
      </c>
    </row>
    <row r="187" spans="1:5" ht="13.5" thickBot="1">
      <c r="A187" s="129" t="s">
        <v>83</v>
      </c>
      <c r="B187" s="31"/>
      <c r="C187" s="31"/>
      <c r="D187" s="31" t="s">
        <v>27</v>
      </c>
      <c r="E187" s="203">
        <f>SUM(E183+E185+E181)</f>
        <v>33292671.21446</v>
      </c>
    </row>
    <row r="188" spans="1:5" ht="13.5" thickBot="1">
      <c r="A188" s="182" t="s">
        <v>39</v>
      </c>
      <c r="B188" s="30"/>
      <c r="C188" s="30"/>
      <c r="D188" s="39"/>
      <c r="E188" s="205">
        <f>SUM(E186:E187)</f>
        <v>172852985.87144</v>
      </c>
    </row>
    <row r="189" spans="1:5" ht="13.5" thickBot="1">
      <c r="A189" s="29"/>
      <c r="B189" s="130"/>
      <c r="C189" s="130"/>
      <c r="D189" s="130"/>
      <c r="E189" s="218"/>
    </row>
    <row r="190" spans="1:5" ht="12.75">
      <c r="A190" s="53" t="s">
        <v>82</v>
      </c>
      <c r="B190" s="225"/>
      <c r="C190" s="225"/>
      <c r="D190" s="225" t="s">
        <v>26</v>
      </c>
      <c r="E190" s="226">
        <f>SUM(E186+E175+E167+E157+E150+E140+E130+E117+E90+E60+E37)</f>
        <v>7102590402.059071</v>
      </c>
    </row>
    <row r="191" spans="1:5" ht="13.5" thickBot="1">
      <c r="A191" s="129" t="s">
        <v>83</v>
      </c>
      <c r="B191" s="31"/>
      <c r="C191" s="31"/>
      <c r="D191" s="31" t="s">
        <v>27</v>
      </c>
      <c r="E191" s="203">
        <f>SUM(E38+E47+E61+E91+E104+E118+E131+E151+E158+E168+E176+E187)</f>
        <v>7956078013.8504715</v>
      </c>
    </row>
    <row r="192" spans="1:5" ht="13.5" thickBot="1">
      <c r="A192" s="182" t="s">
        <v>39</v>
      </c>
      <c r="B192" s="30"/>
      <c r="C192" s="30"/>
      <c r="D192" s="39"/>
      <c r="E192" s="205">
        <f>SUM(E190:E191)</f>
        <v>15058668415.909542</v>
      </c>
    </row>
    <row r="193" ht="12.75">
      <c r="A193" t="s">
        <v>81</v>
      </c>
    </row>
    <row r="194" ht="12.75">
      <c r="E194" s="52"/>
    </row>
    <row r="195" spans="1:2" ht="12.75">
      <c r="A195" t="s">
        <v>22</v>
      </c>
      <c r="B195">
        <v>45.11</v>
      </c>
    </row>
    <row r="196" spans="1:2" ht="12.75">
      <c r="A196" t="s">
        <v>24</v>
      </c>
      <c r="B196">
        <v>43.673</v>
      </c>
    </row>
    <row r="197" spans="1:2" ht="12.75">
      <c r="A197" t="s">
        <v>23</v>
      </c>
      <c r="B197">
        <v>1</v>
      </c>
    </row>
    <row r="200" ht="12.75">
      <c r="A200" s="79"/>
    </row>
    <row r="201" ht="12.75">
      <c r="A201" s="79"/>
    </row>
    <row r="203" ht="12.75">
      <c r="A203" s="79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D204"/>
  <sheetViews>
    <sheetView workbookViewId="0" topLeftCell="A158">
      <selection activeCell="H175" sqref="H175"/>
    </sheetView>
  </sheetViews>
  <sheetFormatPr defaultColWidth="9.00390625" defaultRowHeight="12.75"/>
  <cols>
    <col min="1" max="1" width="35.00390625" style="0" customWidth="1"/>
    <col min="2" max="2" width="12.75390625" style="0" customWidth="1"/>
    <col min="3" max="3" width="5.875" style="0" customWidth="1"/>
    <col min="4" max="4" width="24.00390625" style="0" customWidth="1"/>
    <col min="5" max="5" width="20.75390625" style="0" customWidth="1"/>
    <col min="6" max="6" width="6.00390625" style="0" customWidth="1"/>
    <col min="7" max="7" width="19.00390625" style="0" customWidth="1"/>
    <col min="8" max="8" width="17.875" style="0" customWidth="1"/>
    <col min="9" max="9" width="18.25390625" style="0" customWidth="1"/>
    <col min="10" max="10" width="21.375" style="0" customWidth="1"/>
    <col min="11" max="11" width="22.375" style="0" customWidth="1"/>
    <col min="12" max="12" width="20.00390625" style="0" customWidth="1"/>
    <col min="13" max="23" width="18.25390625" style="0" customWidth="1"/>
    <col min="24" max="24" width="17.00390625" style="0" customWidth="1"/>
    <col min="25" max="25" width="16.25390625" style="0" customWidth="1"/>
    <col min="26" max="26" width="17.75390625" style="0" customWidth="1"/>
    <col min="28" max="28" width="24.125" style="0" customWidth="1"/>
  </cols>
  <sheetData>
    <row r="2" spans="19:23" ht="13.5" thickBot="1">
      <c r="S2" s="92"/>
      <c r="T2" s="92"/>
      <c r="U2" s="92"/>
      <c r="V2" s="92"/>
      <c r="W2" s="92"/>
    </row>
    <row r="3" spans="1:23" s="1" customFormat="1" ht="12.75">
      <c r="A3" s="17" t="s">
        <v>17</v>
      </c>
      <c r="B3" s="18" t="s">
        <v>18</v>
      </c>
      <c r="C3" s="19" t="s">
        <v>21</v>
      </c>
      <c r="D3" s="18" t="s">
        <v>38</v>
      </c>
      <c r="E3" s="20"/>
      <c r="F3" s="19"/>
      <c r="G3" s="21"/>
      <c r="H3" s="21"/>
      <c r="I3" s="21" t="s">
        <v>36</v>
      </c>
      <c r="J3" s="21"/>
      <c r="K3" s="21"/>
      <c r="L3" s="21"/>
      <c r="M3" s="21"/>
      <c r="N3" s="21"/>
      <c r="O3" s="21"/>
      <c r="P3" s="21"/>
      <c r="Q3" s="21"/>
      <c r="R3" s="21"/>
      <c r="S3" s="4"/>
      <c r="W3" s="20"/>
    </row>
    <row r="4" spans="1:23" s="1" customFormat="1" ht="12.75">
      <c r="A4" s="22"/>
      <c r="B4" s="3" t="s">
        <v>19</v>
      </c>
      <c r="C4" s="8"/>
      <c r="D4" s="10" t="s">
        <v>37</v>
      </c>
      <c r="E4" s="11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W4" s="90"/>
    </row>
    <row r="5" spans="1:23" s="1" customFormat="1" ht="13.5" thickBot="1">
      <c r="A5" s="170"/>
      <c r="B5" s="169" t="s">
        <v>20</v>
      </c>
      <c r="C5" s="171"/>
      <c r="D5" s="144" t="s">
        <v>26</v>
      </c>
      <c r="E5" s="144" t="s">
        <v>27</v>
      </c>
      <c r="F5" s="171"/>
      <c r="G5" s="80">
        <v>2002</v>
      </c>
      <c r="H5" s="80">
        <v>2003</v>
      </c>
      <c r="I5" s="80">
        <v>2004</v>
      </c>
      <c r="J5" s="80">
        <v>2005</v>
      </c>
      <c r="K5" s="80">
        <v>2006</v>
      </c>
      <c r="L5" s="80">
        <v>2007</v>
      </c>
      <c r="M5" s="80">
        <v>2008</v>
      </c>
      <c r="N5" s="80">
        <v>2009</v>
      </c>
      <c r="O5" s="80">
        <v>2010</v>
      </c>
      <c r="P5" s="80">
        <v>2011</v>
      </c>
      <c r="Q5" s="80">
        <v>2012</v>
      </c>
      <c r="R5" s="80">
        <v>2013</v>
      </c>
      <c r="S5" s="91">
        <v>2014</v>
      </c>
      <c r="T5" s="91">
        <v>2015</v>
      </c>
      <c r="U5" s="91">
        <v>2016</v>
      </c>
      <c r="V5" s="91">
        <v>2017</v>
      </c>
      <c r="W5" s="172">
        <v>2018</v>
      </c>
    </row>
    <row r="6" spans="1:23" ht="13.5" thickTop="1">
      <c r="A6" s="23" t="s">
        <v>2</v>
      </c>
      <c r="B6" s="9"/>
      <c r="C6" s="9"/>
      <c r="D6" s="9"/>
      <c r="E6" s="9"/>
      <c r="F6" s="9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9"/>
      <c r="U6" s="9"/>
      <c r="V6" s="9"/>
      <c r="W6" s="9"/>
    </row>
    <row r="7" spans="1:23" ht="12.75">
      <c r="A7" s="24" t="s">
        <v>0</v>
      </c>
      <c r="B7" s="7">
        <v>33472</v>
      </c>
      <c r="C7" s="6" t="s">
        <v>24</v>
      </c>
      <c r="D7" s="36">
        <f>SUM(G7:H7)</f>
        <v>134426672.29754</v>
      </c>
      <c r="E7" s="6"/>
      <c r="F7" s="6" t="s">
        <v>26</v>
      </c>
      <c r="G7" s="36">
        <f>2052017.99*B197</f>
        <v>89617781.67727001</v>
      </c>
      <c r="H7" s="36">
        <f>1026008.99*B197</f>
        <v>44808890.62027</v>
      </c>
      <c r="I7" s="6"/>
      <c r="J7" s="36"/>
      <c r="K7" s="36"/>
      <c r="L7" s="36"/>
      <c r="M7" s="36"/>
      <c r="N7" s="36"/>
      <c r="O7" s="36"/>
      <c r="P7" s="36"/>
      <c r="Q7" s="36"/>
      <c r="R7" s="36"/>
      <c r="S7" s="36"/>
      <c r="T7" s="6"/>
      <c r="U7" s="6"/>
      <c r="V7" s="6"/>
      <c r="W7" s="6"/>
    </row>
    <row r="8" spans="1:23" ht="12.75">
      <c r="A8" s="24"/>
      <c r="B8" s="6"/>
      <c r="C8" s="6"/>
      <c r="D8" s="6"/>
      <c r="E8" s="36">
        <f>SUM(G8:H8)</f>
        <v>11403364.879970001</v>
      </c>
      <c r="F8" s="6" t="s">
        <v>27</v>
      </c>
      <c r="G8" s="36">
        <f>232379.64*B197</f>
        <v>10148716.01772</v>
      </c>
      <c r="H8" s="36">
        <f>28728.25*B197</f>
        <v>1254648.86225</v>
      </c>
      <c r="I8" s="6"/>
      <c r="J8" s="36"/>
      <c r="K8" s="36"/>
      <c r="L8" s="36"/>
      <c r="M8" s="36"/>
      <c r="N8" s="36"/>
      <c r="O8" s="36"/>
      <c r="P8" s="36"/>
      <c r="Q8" s="36"/>
      <c r="R8" s="36"/>
      <c r="S8" s="36"/>
      <c r="T8" s="6"/>
      <c r="U8" s="6"/>
      <c r="V8" s="6"/>
      <c r="W8" s="6"/>
    </row>
    <row r="9" spans="1:23" ht="12.75">
      <c r="A9" s="24" t="s">
        <v>13</v>
      </c>
      <c r="B9" s="7">
        <v>35271</v>
      </c>
      <c r="C9" s="6" t="s">
        <v>24</v>
      </c>
      <c r="D9" s="36">
        <f>SUM(G9:N9)</f>
        <v>1780212191.24819</v>
      </c>
      <c r="E9" s="6"/>
      <c r="F9" s="6" t="s">
        <v>26</v>
      </c>
      <c r="G9" s="36">
        <f>5606316.5*B197</f>
        <v>244844660.5045</v>
      </c>
      <c r="H9" s="36">
        <f>5606316.5*B197</f>
        <v>244844660.5045</v>
      </c>
      <c r="I9" s="36">
        <f>5606316.5*B197</f>
        <v>244844660.5045</v>
      </c>
      <c r="J9" s="36">
        <f>5606316.5*B197</f>
        <v>244844660.5045</v>
      </c>
      <c r="K9" s="36">
        <f>5606316.5*B197</f>
        <v>244844660.5045</v>
      </c>
      <c r="L9" s="36">
        <f>5606316.5*B197</f>
        <v>244844660.5045</v>
      </c>
      <c r="M9" s="36">
        <f>5606316.5*B197</f>
        <v>244844660.5045</v>
      </c>
      <c r="N9" s="36">
        <f>1518090.53*B197</f>
        <v>66299567.716690004</v>
      </c>
      <c r="O9" s="6"/>
      <c r="P9" s="36"/>
      <c r="Q9" s="36"/>
      <c r="R9" s="36"/>
      <c r="S9" s="36"/>
      <c r="T9" s="6"/>
      <c r="U9" s="6"/>
      <c r="V9" s="6"/>
      <c r="W9" s="6"/>
    </row>
    <row r="10" spans="1:23" ht="12.75">
      <c r="A10" s="24"/>
      <c r="B10" s="6"/>
      <c r="C10" s="6"/>
      <c r="D10" s="6"/>
      <c r="E10" s="36">
        <f>SUM(G10:N10)</f>
        <v>390519652.85452</v>
      </c>
      <c r="F10" s="6" t="s">
        <v>27</v>
      </c>
      <c r="G10" s="36">
        <f>2220271.18*B197</f>
        <v>96965903.24414001</v>
      </c>
      <c r="H10" s="36">
        <f>1903831.97*B197</f>
        <v>83146053.62581</v>
      </c>
      <c r="I10" s="36">
        <f>1589943.98*B197</f>
        <v>69437623.43854</v>
      </c>
      <c r="J10" s="36">
        <f>1270953.52*B197</f>
        <v>55506353.07896</v>
      </c>
      <c r="K10" s="36">
        <f>954514.3*B197</f>
        <v>41686503.0239</v>
      </c>
      <c r="L10" s="36">
        <f>638075.08*B197</f>
        <v>27866652.96884</v>
      </c>
      <c r="M10" s="36">
        <f>322331.65*B197</f>
        <v>14077190.150450002</v>
      </c>
      <c r="N10" s="36">
        <f>41979.56*B197</f>
        <v>1833373.32388</v>
      </c>
      <c r="O10" s="6"/>
      <c r="P10" s="36"/>
      <c r="Q10" s="36"/>
      <c r="R10" s="36"/>
      <c r="S10" s="36"/>
      <c r="T10" s="6"/>
      <c r="U10" s="6"/>
      <c r="V10" s="6"/>
      <c r="W10" s="6"/>
    </row>
    <row r="11" spans="1:23" ht="12.75">
      <c r="A11" s="24" t="s">
        <v>1</v>
      </c>
      <c r="B11" s="7">
        <v>35271</v>
      </c>
      <c r="C11" s="6" t="s">
        <v>24</v>
      </c>
      <c r="D11" s="36">
        <f>SUM(G11:N11)</f>
        <v>1033511116.3243299</v>
      </c>
      <c r="E11" s="6"/>
      <c r="F11" s="6" t="s">
        <v>26</v>
      </c>
      <c r="G11" s="36">
        <f>3272268.04*B197</f>
        <v>142909762.11092</v>
      </c>
      <c r="H11" s="36">
        <f>3272268.04*B197</f>
        <v>142909762.11092</v>
      </c>
      <c r="I11" s="36">
        <f>3272268.04*B197</f>
        <v>142909762.11092</v>
      </c>
      <c r="J11" s="36">
        <f>3272268.04*B197</f>
        <v>142909762.11092</v>
      </c>
      <c r="K11" s="36">
        <f>3272268.04*B197</f>
        <v>142909762.11092</v>
      </c>
      <c r="L11" s="36">
        <f>3272268.04*B197</f>
        <v>142909762.11092</v>
      </c>
      <c r="M11" s="36">
        <f>3272268.04*B197</f>
        <v>142909762.11092</v>
      </c>
      <c r="N11" s="36">
        <f>758884.93*B197</f>
        <v>33142781.547890004</v>
      </c>
      <c r="O11" s="6"/>
      <c r="P11" s="36"/>
      <c r="Q11" s="36"/>
      <c r="R11" s="36"/>
      <c r="S11" s="36"/>
      <c r="T11" s="6"/>
      <c r="U11" s="6"/>
      <c r="V11" s="6"/>
      <c r="W11" s="6"/>
    </row>
    <row r="12" spans="1:23" ht="12.75">
      <c r="A12" s="24"/>
      <c r="B12" s="6"/>
      <c r="C12" s="6"/>
      <c r="D12" s="6"/>
      <c r="E12" s="36">
        <f>SUM(G12:N12)</f>
        <v>142006968.26701</v>
      </c>
      <c r="F12" s="6" t="s">
        <v>27</v>
      </c>
      <c r="G12" s="36">
        <f>810587.16*B197</f>
        <v>35400773.03868</v>
      </c>
      <c r="H12" s="36">
        <f>694467.09*B197</f>
        <v>30329461.22157</v>
      </c>
      <c r="I12" s="36">
        <f>580011.49*B197</f>
        <v>25330841.80277</v>
      </c>
      <c r="J12" s="36">
        <f>463420.99*B197</f>
        <v>20238984.89627</v>
      </c>
      <c r="K12" s="36">
        <f>345765.74*B197</f>
        <v>15100627.16302</v>
      </c>
      <c r="L12" s="36">
        <f>229730.96*B197</f>
        <v>10033040.21608</v>
      </c>
      <c r="M12" s="36">
        <f>114258.67*B197</f>
        <v>4990018.89491</v>
      </c>
      <c r="N12" s="36">
        <f>13354.27*B197</f>
        <v>583221.03371</v>
      </c>
      <c r="O12" s="6"/>
      <c r="P12" s="36"/>
      <c r="Q12" s="36"/>
      <c r="R12" s="36"/>
      <c r="S12" s="36"/>
      <c r="T12" s="6"/>
      <c r="U12" s="6"/>
      <c r="V12" s="6"/>
      <c r="W12" s="6"/>
    </row>
    <row r="13" spans="1:23" ht="12.75">
      <c r="A13" s="24" t="s">
        <v>3</v>
      </c>
      <c r="B13" s="7">
        <v>35237</v>
      </c>
      <c r="C13" s="6" t="s">
        <v>22</v>
      </c>
      <c r="D13" s="36">
        <f>SUM(G13:M13)</f>
        <v>5864300000</v>
      </c>
      <c r="E13" s="6"/>
      <c r="F13" s="6" t="s">
        <v>26</v>
      </c>
      <c r="G13" s="36">
        <f>20000000*B196</f>
        <v>902200000</v>
      </c>
      <c r="H13" s="36">
        <f>20000000*B196</f>
        <v>902200000</v>
      </c>
      <c r="I13" s="36">
        <f>20000000*B196</f>
        <v>902200000</v>
      </c>
      <c r="J13" s="36">
        <f>20000000*B196</f>
        <v>902200000</v>
      </c>
      <c r="K13" s="36">
        <f>20000000*B196</f>
        <v>902200000</v>
      </c>
      <c r="L13" s="36">
        <f>20000000*B196</f>
        <v>902200000</v>
      </c>
      <c r="M13" s="36">
        <f>10000000*B196</f>
        <v>451100000</v>
      </c>
      <c r="N13" s="6"/>
      <c r="O13" s="36"/>
      <c r="P13" s="36"/>
      <c r="Q13" s="36"/>
      <c r="R13" s="36"/>
      <c r="S13" s="36"/>
      <c r="T13" s="6"/>
      <c r="U13" s="6"/>
      <c r="V13" s="6"/>
      <c r="W13" s="6"/>
    </row>
    <row r="14" spans="1:23" ht="12.75">
      <c r="A14" s="24"/>
      <c r="B14" s="6"/>
      <c r="C14" s="6"/>
      <c r="D14" s="6"/>
      <c r="E14" s="36">
        <f>SUM(G14:M14)</f>
        <v>1355060543.1558</v>
      </c>
      <c r="F14" s="6" t="s">
        <v>27</v>
      </c>
      <c r="G14" s="36">
        <f>8235138.89*B196</f>
        <v>371487115.3279</v>
      </c>
      <c r="H14" s="36">
        <f>6917083.33*B196</f>
        <v>312029629.0163</v>
      </c>
      <c r="I14" s="36">
        <f>5615277.78*B196</f>
        <v>253305180.6558</v>
      </c>
      <c r="J14" s="36">
        <f>4280972.22*B196</f>
        <v>193114656.8442</v>
      </c>
      <c r="K14" s="36">
        <f>2962916.67*B196</f>
        <v>133657170.98369999</v>
      </c>
      <c r="L14" s="36">
        <f>1644861.11*B196</f>
        <v>74199684.67210001</v>
      </c>
      <c r="M14" s="36">
        <f>382777.78*B196</f>
        <v>17267105.6558</v>
      </c>
      <c r="N14" s="6"/>
      <c r="O14" s="36"/>
      <c r="P14" s="36"/>
      <c r="Q14" s="36"/>
      <c r="R14" s="36"/>
      <c r="S14" s="36"/>
      <c r="T14" s="6"/>
      <c r="U14" s="6"/>
      <c r="V14" s="6"/>
      <c r="W14" s="6"/>
    </row>
    <row r="15" spans="1:23" ht="12.75">
      <c r="A15" s="24" t="s">
        <v>4</v>
      </c>
      <c r="B15" s="7">
        <v>35242</v>
      </c>
      <c r="C15" s="6" t="s">
        <v>24</v>
      </c>
      <c r="D15" s="36">
        <f>SUM(G15:M15)</f>
        <v>1563075522.32391</v>
      </c>
      <c r="E15" s="6"/>
      <c r="F15" s="6" t="s">
        <v>26</v>
      </c>
      <c r="G15" s="36">
        <f>5112918.81*B197</f>
        <v>223296503.18912998</v>
      </c>
      <c r="H15" s="140">
        <f>5112918.81*B197</f>
        <v>223296503.18912998</v>
      </c>
      <c r="I15" s="36">
        <f>5112918.81*B197</f>
        <v>223296503.18912998</v>
      </c>
      <c r="J15" s="36">
        <f>5112918.81*B197</f>
        <v>223296503.18912998</v>
      </c>
      <c r="K15" s="36">
        <f>5112918.81*B197</f>
        <v>223296503.18912998</v>
      </c>
      <c r="L15" s="36">
        <f>5112918.81*B197</f>
        <v>223296503.18912998</v>
      </c>
      <c r="M15" s="36">
        <f>5112918.81*B197</f>
        <v>223296503.18912998</v>
      </c>
      <c r="N15" s="6"/>
      <c r="O15" s="36"/>
      <c r="P15" s="36"/>
      <c r="Q15" s="36"/>
      <c r="R15" s="36"/>
      <c r="S15" s="36"/>
      <c r="T15" s="6"/>
      <c r="U15" s="6"/>
      <c r="V15" s="6"/>
      <c r="W15" s="6"/>
    </row>
    <row r="16" spans="1:23" ht="12.75">
      <c r="A16" s="24"/>
      <c r="B16" s="6"/>
      <c r="C16" s="6"/>
      <c r="D16" s="6"/>
      <c r="E16" s="36">
        <f>SUM(G16:M16)</f>
        <v>258794599.76139006</v>
      </c>
      <c r="F16" s="6" t="s">
        <v>27</v>
      </c>
      <c r="G16" s="36">
        <f>1522595.27*B197</f>
        <v>66496303.22671001</v>
      </c>
      <c r="H16" s="36">
        <f>1297094.24*B197</f>
        <v>56647996.74352</v>
      </c>
      <c r="I16" s="36">
        <f>1074373.37*B197</f>
        <v>46921108.18801001</v>
      </c>
      <c r="J16" s="36">
        <f>846092.2*B197</f>
        <v>36951384.6506</v>
      </c>
      <c r="K16" s="36">
        <f>620591.17*B197</f>
        <v>27103078.16741</v>
      </c>
      <c r="L16" s="36">
        <f>395090.15*B197</f>
        <v>17254772.120950002</v>
      </c>
      <c r="M16" s="36">
        <f>169898.03*B197</f>
        <v>7419956.66419</v>
      </c>
      <c r="N16" s="6"/>
      <c r="O16" s="36"/>
      <c r="P16" s="36"/>
      <c r="Q16" s="36"/>
      <c r="R16" s="36"/>
      <c r="S16" s="36"/>
      <c r="T16" s="6"/>
      <c r="U16" s="6"/>
      <c r="V16" s="6"/>
      <c r="W16" s="6"/>
    </row>
    <row r="17" spans="1:23" ht="12.75">
      <c r="A17" s="24" t="s">
        <v>5</v>
      </c>
      <c r="B17" s="7">
        <v>35268</v>
      </c>
      <c r="C17" s="6" t="s">
        <v>22</v>
      </c>
      <c r="D17" s="36">
        <f>SUM(G17:L17)</f>
        <v>3214087500</v>
      </c>
      <c r="E17" s="6"/>
      <c r="F17" s="6" t="s">
        <v>26</v>
      </c>
      <c r="G17" s="36">
        <f>11875000*B196</f>
        <v>535681250</v>
      </c>
      <c r="H17" s="36">
        <f>11875000*B196</f>
        <v>535681250</v>
      </c>
      <c r="I17" s="36">
        <f>11875000*B196</f>
        <v>535681250</v>
      </c>
      <c r="J17" s="36">
        <f>11875000*B196</f>
        <v>535681250</v>
      </c>
      <c r="K17" s="36">
        <f>11875000*B196</f>
        <v>535681250</v>
      </c>
      <c r="L17" s="36">
        <f>11875000*B196</f>
        <v>535681250</v>
      </c>
      <c r="M17" s="6"/>
      <c r="N17" s="36"/>
      <c r="O17" s="36"/>
      <c r="P17" s="36"/>
      <c r="Q17" s="36"/>
      <c r="R17" s="36"/>
      <c r="S17" s="36"/>
      <c r="T17" s="6"/>
      <c r="U17" s="6"/>
      <c r="V17" s="6"/>
      <c r="W17" s="6"/>
    </row>
    <row r="18" spans="1:23" ht="12.75">
      <c r="A18" s="24"/>
      <c r="B18" s="6"/>
      <c r="C18" s="6"/>
      <c r="D18" s="6"/>
      <c r="E18" s="36">
        <f>SUM(G18:L18)</f>
        <v>684436957.2183</v>
      </c>
      <c r="F18" s="6" t="s">
        <v>27</v>
      </c>
      <c r="G18" s="36">
        <f>4634218.75*B196</f>
        <v>209049607.8125</v>
      </c>
      <c r="H18" s="36">
        <f>3791423.61*B196</f>
        <v>171031119.04709998</v>
      </c>
      <c r="I18" s="36">
        <f>2957864.58*B196</f>
        <v>133429271.20380001</v>
      </c>
      <c r="J18" s="36">
        <f>2105833.34*B196</f>
        <v>94994141.9674</v>
      </c>
      <c r="K18" s="36">
        <f>1263038.19*B196</f>
        <v>56975652.7509</v>
      </c>
      <c r="L18" s="36">
        <f>420243.06*B196</f>
        <v>18957164.4366</v>
      </c>
      <c r="M18" s="6"/>
      <c r="N18" s="36"/>
      <c r="O18" s="36"/>
      <c r="P18" s="36"/>
      <c r="Q18" s="36"/>
      <c r="R18" s="36"/>
      <c r="S18" s="36"/>
      <c r="T18" s="6"/>
      <c r="U18" s="6"/>
      <c r="V18" s="6"/>
      <c r="W18" s="6"/>
    </row>
    <row r="19" spans="1:23" ht="12.75">
      <c r="A19" s="24" t="s">
        <v>6</v>
      </c>
      <c r="B19" s="7">
        <v>35268</v>
      </c>
      <c r="C19" s="6" t="s">
        <v>58</v>
      </c>
      <c r="D19" s="36">
        <f>SUM(G19:K19)</f>
        <v>4500000000</v>
      </c>
      <c r="E19" s="6"/>
      <c r="F19" s="6" t="s">
        <v>26</v>
      </c>
      <c r="G19" s="36">
        <f>900000000*B198</f>
        <v>900000000</v>
      </c>
      <c r="H19" s="36">
        <f>900000000*B198</f>
        <v>900000000</v>
      </c>
      <c r="I19" s="36">
        <f>900000000*B198</f>
        <v>900000000</v>
      </c>
      <c r="J19" s="36">
        <f>900000000*B198</f>
        <v>900000000</v>
      </c>
      <c r="K19" s="36">
        <f>900000000*B198</f>
        <v>900000000</v>
      </c>
      <c r="L19" s="6"/>
      <c r="M19" s="36"/>
      <c r="N19" s="36"/>
      <c r="O19" s="36"/>
      <c r="P19" s="36"/>
      <c r="Q19" s="36"/>
      <c r="R19" s="36"/>
      <c r="S19" s="36"/>
      <c r="T19" s="6"/>
      <c r="U19" s="6"/>
      <c r="V19" s="6"/>
      <c r="W19" s="6"/>
    </row>
    <row r="20" spans="1:23" ht="12.75">
      <c r="A20" s="24"/>
      <c r="B20" s="6"/>
      <c r="C20" s="6"/>
      <c r="D20" s="6"/>
      <c r="E20" s="36">
        <f>SUM(G20:K20)</f>
        <v>1180207500</v>
      </c>
      <c r="F20" s="6" t="s">
        <v>27</v>
      </c>
      <c r="G20" s="36">
        <f>438450000*B198</f>
        <v>438450000</v>
      </c>
      <c r="H20" s="36">
        <f>337162500*B198</f>
        <v>337162500</v>
      </c>
      <c r="I20" s="36">
        <f>236707500*B198</f>
        <v>236707500</v>
      </c>
      <c r="J20" s="36">
        <f>134587500*B198</f>
        <v>134587500</v>
      </c>
      <c r="K20" s="36">
        <f>33300000*B198</f>
        <v>33300000</v>
      </c>
      <c r="L20" s="6"/>
      <c r="M20" s="36"/>
      <c r="N20" s="36"/>
      <c r="O20" s="36"/>
      <c r="P20" s="36"/>
      <c r="Q20" s="36"/>
      <c r="R20" s="36"/>
      <c r="S20" s="36"/>
      <c r="T20" s="6"/>
      <c r="U20" s="6"/>
      <c r="V20" s="6"/>
      <c r="W20" s="6"/>
    </row>
    <row r="21" spans="1:23" ht="12.75">
      <c r="A21" s="24" t="s">
        <v>40</v>
      </c>
      <c r="B21" s="7">
        <v>36501</v>
      </c>
      <c r="C21" s="6" t="s">
        <v>22</v>
      </c>
      <c r="D21" s="36">
        <f>25000000*B196</f>
        <v>1127750000</v>
      </c>
      <c r="E21" s="36"/>
      <c r="F21" s="6" t="s">
        <v>26</v>
      </c>
      <c r="G21" s="36">
        <f>25000000*B196</f>
        <v>1127750000</v>
      </c>
      <c r="H21" s="36"/>
      <c r="I21" s="36"/>
      <c r="J21" s="36"/>
      <c r="K21" s="36"/>
      <c r="L21" s="6"/>
      <c r="M21" s="36"/>
      <c r="N21" s="36"/>
      <c r="O21" s="36"/>
      <c r="P21" s="36"/>
      <c r="Q21" s="36"/>
      <c r="R21" s="36"/>
      <c r="S21" s="36"/>
      <c r="T21" s="6"/>
      <c r="U21" s="6"/>
      <c r="V21" s="6"/>
      <c r="W21" s="6"/>
    </row>
    <row r="22" spans="1:23" ht="12.75">
      <c r="A22" s="24"/>
      <c r="B22" s="6"/>
      <c r="C22" s="6"/>
      <c r="D22" s="6"/>
      <c r="E22" s="36">
        <f>SUM(G22:G22)</f>
        <v>102512475</v>
      </c>
      <c r="F22" s="6" t="s">
        <v>27</v>
      </c>
      <c r="G22" s="36">
        <f>2272500*B196</f>
        <v>102512475</v>
      </c>
      <c r="H22" s="6"/>
      <c r="I22" s="36"/>
      <c r="J22" s="36"/>
      <c r="K22" s="36"/>
      <c r="L22" s="6"/>
      <c r="M22" s="36"/>
      <c r="N22" s="36"/>
      <c r="O22" s="36"/>
      <c r="P22" s="36"/>
      <c r="Q22" s="36"/>
      <c r="R22" s="36"/>
      <c r="S22" s="36"/>
      <c r="T22" s="6"/>
      <c r="U22" s="6"/>
      <c r="V22" s="6"/>
      <c r="W22" s="6"/>
    </row>
    <row r="23" spans="1:23" ht="12.75">
      <c r="A23" s="51" t="s">
        <v>41</v>
      </c>
      <c r="B23" s="64">
        <v>36503</v>
      </c>
      <c r="C23" s="6" t="s">
        <v>58</v>
      </c>
      <c r="D23" s="35">
        <f>1500000000*B198</f>
        <v>1500000000</v>
      </c>
      <c r="E23" s="35"/>
      <c r="F23" s="9" t="s">
        <v>26</v>
      </c>
      <c r="G23" s="6"/>
      <c r="H23" s="35">
        <v>1500000000</v>
      </c>
      <c r="I23" s="35"/>
      <c r="J23" s="35"/>
      <c r="K23" s="35"/>
      <c r="L23" s="9"/>
      <c r="M23" s="35"/>
      <c r="N23" s="35"/>
      <c r="O23" s="35"/>
      <c r="P23" s="35"/>
      <c r="Q23" s="35"/>
      <c r="R23" s="35"/>
      <c r="S23" s="35"/>
      <c r="T23" s="6"/>
      <c r="U23" s="6"/>
      <c r="V23" s="6"/>
      <c r="W23" s="6"/>
    </row>
    <row r="24" spans="1:23" ht="12.75">
      <c r="A24" s="61"/>
      <c r="B24" s="62"/>
      <c r="C24" s="62"/>
      <c r="D24" s="62"/>
      <c r="E24" s="63">
        <f>SUM(G24:H24)</f>
        <v>408720000</v>
      </c>
      <c r="F24" s="62" t="s">
        <v>27</v>
      </c>
      <c r="G24" s="63">
        <f>204360000*B198</f>
        <v>204360000</v>
      </c>
      <c r="H24" s="63">
        <f>204360000*B198</f>
        <v>204360000</v>
      </c>
      <c r="I24" s="6"/>
      <c r="J24" s="63"/>
      <c r="K24" s="36"/>
      <c r="L24" s="6"/>
      <c r="M24" s="36"/>
      <c r="N24" s="36"/>
      <c r="O24" s="36"/>
      <c r="P24" s="36"/>
      <c r="Q24" s="36"/>
      <c r="R24" s="36"/>
      <c r="S24" s="36"/>
      <c r="T24" s="6"/>
      <c r="U24" s="6"/>
      <c r="V24" s="6"/>
      <c r="W24" s="6"/>
    </row>
    <row r="25" spans="1:23" ht="12.75">
      <c r="A25" s="24" t="s">
        <v>43</v>
      </c>
      <c r="B25" s="7">
        <v>36643</v>
      </c>
      <c r="C25" s="6" t="s">
        <v>58</v>
      </c>
      <c r="D25" s="36">
        <f>SUM(G25:N25)</f>
        <v>1000000000</v>
      </c>
      <c r="E25" s="6"/>
      <c r="F25" s="6" t="s">
        <v>26</v>
      </c>
      <c r="G25" s="36"/>
      <c r="H25" s="36">
        <v>250000000</v>
      </c>
      <c r="I25" s="36">
        <v>250000000</v>
      </c>
      <c r="J25" s="36">
        <v>500000000</v>
      </c>
      <c r="K25" s="36"/>
      <c r="L25" s="6"/>
      <c r="M25" s="36"/>
      <c r="N25" s="36"/>
      <c r="O25" s="36"/>
      <c r="P25" s="36"/>
      <c r="Q25" s="36"/>
      <c r="R25" s="36"/>
      <c r="S25" s="36"/>
      <c r="T25" s="6"/>
      <c r="U25" s="6"/>
      <c r="V25" s="6"/>
      <c r="W25" s="6"/>
    </row>
    <row r="26" spans="1:23" ht="12.75">
      <c r="A26" s="24"/>
      <c r="B26" s="6"/>
      <c r="C26" s="6"/>
      <c r="D26" s="6"/>
      <c r="E26" s="36">
        <f>SUM(G26:N26)</f>
        <v>250000000</v>
      </c>
      <c r="F26" s="6" t="s">
        <v>27</v>
      </c>
      <c r="G26" s="36">
        <v>100000000</v>
      </c>
      <c r="H26" s="36">
        <v>75000000</v>
      </c>
      <c r="I26" s="36">
        <v>62500000</v>
      </c>
      <c r="J26" s="36">
        <v>12500000</v>
      </c>
      <c r="K26" s="35"/>
      <c r="L26" s="9"/>
      <c r="M26" s="35"/>
      <c r="N26" s="35"/>
      <c r="O26" s="35"/>
      <c r="P26" s="35"/>
      <c r="Q26" s="35"/>
      <c r="R26" s="35"/>
      <c r="S26" s="35"/>
      <c r="T26" s="6"/>
      <c r="U26" s="6"/>
      <c r="V26" s="6"/>
      <c r="W26" s="6"/>
    </row>
    <row r="27" spans="1:23" ht="12.75">
      <c r="A27" s="24" t="s">
        <v>43</v>
      </c>
      <c r="B27" s="7">
        <v>36672</v>
      </c>
      <c r="C27" s="6" t="s">
        <v>58</v>
      </c>
      <c r="D27" s="36">
        <f>SUM(G27:N27)</f>
        <v>3000000000</v>
      </c>
      <c r="E27" s="6"/>
      <c r="F27" s="6" t="s">
        <v>26</v>
      </c>
      <c r="G27" s="36"/>
      <c r="H27" s="36"/>
      <c r="I27" s="36"/>
      <c r="J27" s="36">
        <v>3000000000</v>
      </c>
      <c r="K27" s="36"/>
      <c r="L27" s="6"/>
      <c r="M27" s="36"/>
      <c r="N27" s="36"/>
      <c r="O27" s="36"/>
      <c r="P27" s="36"/>
      <c r="Q27" s="36"/>
      <c r="R27" s="36"/>
      <c r="S27" s="36"/>
      <c r="T27" s="6"/>
      <c r="U27" s="6"/>
      <c r="V27" s="6"/>
      <c r="W27" s="6"/>
    </row>
    <row r="28" spans="1:23" ht="12.75">
      <c r="A28" s="24"/>
      <c r="B28" s="6"/>
      <c r="C28" s="6"/>
      <c r="D28" s="6"/>
      <c r="E28" s="36">
        <f>SUM(G28:N28)</f>
        <v>1025000000</v>
      </c>
      <c r="F28" s="6" t="s">
        <v>27</v>
      </c>
      <c r="G28" s="36">
        <v>300000000</v>
      </c>
      <c r="H28" s="36">
        <v>300000000</v>
      </c>
      <c r="I28" s="36">
        <v>300000000</v>
      </c>
      <c r="J28" s="36">
        <v>125000000</v>
      </c>
      <c r="K28" s="36"/>
      <c r="L28" s="6"/>
      <c r="M28" s="36"/>
      <c r="N28" s="36"/>
      <c r="O28" s="36"/>
      <c r="P28" s="36"/>
      <c r="Q28" s="36"/>
      <c r="R28" s="36"/>
      <c r="S28" s="36"/>
      <c r="T28" s="6"/>
      <c r="U28" s="6"/>
      <c r="V28" s="6"/>
      <c r="W28" s="6"/>
    </row>
    <row r="29" spans="1:23" ht="12.75">
      <c r="A29" s="24" t="s">
        <v>15</v>
      </c>
      <c r="B29" s="7">
        <v>36717</v>
      </c>
      <c r="C29" s="6" t="s">
        <v>58</v>
      </c>
      <c r="D29" s="36">
        <f>SUM(G29:N29)</f>
        <v>4100000000</v>
      </c>
      <c r="E29" s="6"/>
      <c r="F29" s="6" t="s">
        <v>26</v>
      </c>
      <c r="G29" s="36"/>
      <c r="H29" s="36"/>
      <c r="I29" s="36"/>
      <c r="J29" s="36">
        <v>4100000000</v>
      </c>
      <c r="K29" s="35"/>
      <c r="L29" s="9"/>
      <c r="M29" s="35"/>
      <c r="N29" s="35"/>
      <c r="O29" s="35"/>
      <c r="P29" s="35"/>
      <c r="Q29" s="35"/>
      <c r="R29" s="35"/>
      <c r="S29" s="35"/>
      <c r="T29" s="6"/>
      <c r="U29" s="6"/>
      <c r="V29" s="6"/>
      <c r="W29" s="6"/>
    </row>
    <row r="30" spans="1:56" ht="12.75">
      <c r="A30" s="24"/>
      <c r="B30" s="6"/>
      <c r="C30" s="6"/>
      <c r="D30" s="6"/>
      <c r="E30" s="36">
        <f>SUM(G30:N30)</f>
        <v>1680400000</v>
      </c>
      <c r="F30" s="6" t="s">
        <v>27</v>
      </c>
      <c r="G30" s="36">
        <v>479700000</v>
      </c>
      <c r="H30" s="36">
        <v>479700000</v>
      </c>
      <c r="I30" s="36">
        <v>479700000</v>
      </c>
      <c r="J30" s="36">
        <v>241300000</v>
      </c>
      <c r="K30" s="36"/>
      <c r="L30" s="6"/>
      <c r="M30" s="36"/>
      <c r="N30" s="36"/>
      <c r="O30" s="36"/>
      <c r="P30" s="36"/>
      <c r="Q30" s="36"/>
      <c r="R30" s="36"/>
      <c r="S30" s="36"/>
      <c r="T30" s="6"/>
      <c r="U30" s="6"/>
      <c r="V30" s="6"/>
      <c r="W30" s="6"/>
      <c r="BD30" s="63"/>
    </row>
    <row r="31" spans="1:26" ht="12.75">
      <c r="A31" s="24" t="s">
        <v>54</v>
      </c>
      <c r="B31" s="7">
        <v>36993</v>
      </c>
      <c r="C31" s="6" t="s">
        <v>58</v>
      </c>
      <c r="D31" s="36">
        <f>SUM(G31:N31)</f>
        <v>3000000000</v>
      </c>
      <c r="E31" s="63"/>
      <c r="F31" s="6" t="s">
        <v>26</v>
      </c>
      <c r="G31" s="35"/>
      <c r="H31" s="35"/>
      <c r="I31" s="35"/>
      <c r="J31" s="35"/>
      <c r="K31" s="35">
        <v>3000000000</v>
      </c>
      <c r="L31" s="9"/>
      <c r="M31" s="35"/>
      <c r="N31" s="35"/>
      <c r="O31" s="35"/>
      <c r="P31" s="35"/>
      <c r="Q31" s="35"/>
      <c r="R31" s="35"/>
      <c r="S31" s="35"/>
      <c r="T31" s="9"/>
      <c r="U31" s="9"/>
      <c r="V31" s="9"/>
      <c r="W31" s="6"/>
      <c r="X31" s="15"/>
      <c r="Y31" s="15"/>
      <c r="Z31" s="15"/>
    </row>
    <row r="32" spans="1:23" ht="12.75">
      <c r="A32" s="61"/>
      <c r="B32" s="62"/>
      <c r="C32" s="62"/>
      <c r="D32" s="62"/>
      <c r="E32" s="36">
        <f>SUM(G32:N32)</f>
        <v>1123700000</v>
      </c>
      <c r="F32" s="6" t="s">
        <v>27</v>
      </c>
      <c r="G32" s="63">
        <v>267900000</v>
      </c>
      <c r="H32" s="63">
        <v>267900000</v>
      </c>
      <c r="I32" s="63">
        <v>267900000</v>
      </c>
      <c r="J32" s="63">
        <v>267900000</v>
      </c>
      <c r="K32" s="63">
        <v>52100000</v>
      </c>
      <c r="L32" s="62"/>
      <c r="M32" s="63"/>
      <c r="N32" s="63"/>
      <c r="O32" s="63"/>
      <c r="P32" s="63"/>
      <c r="Q32" s="63"/>
      <c r="R32" s="63"/>
      <c r="S32" s="63"/>
      <c r="T32" s="62"/>
      <c r="U32" s="62"/>
      <c r="V32" s="62"/>
      <c r="W32" s="62"/>
    </row>
    <row r="33" spans="1:45" ht="12.75">
      <c r="A33" s="24" t="s">
        <v>57</v>
      </c>
      <c r="B33" s="7">
        <v>37253</v>
      </c>
      <c r="C33" s="6" t="s">
        <v>58</v>
      </c>
      <c r="D33" s="36">
        <f>SUM(G33:T33)</f>
        <v>6154844928.17</v>
      </c>
      <c r="E33" s="36"/>
      <c r="F33" s="6" t="s">
        <v>26</v>
      </c>
      <c r="G33" s="36">
        <f>153300000*B198</f>
        <v>153300000</v>
      </c>
      <c r="H33" s="36">
        <f>230000000*B198</f>
        <v>230000000</v>
      </c>
      <c r="I33" s="36">
        <f>230000000*B198</f>
        <v>230000000</v>
      </c>
      <c r="J33" s="36">
        <f>230000000*B198</f>
        <v>230000000</v>
      </c>
      <c r="K33" s="36">
        <f>230000000*B198</f>
        <v>230000000</v>
      </c>
      <c r="L33" s="36">
        <f>230000000*B198</f>
        <v>230000000</v>
      </c>
      <c r="M33" s="36">
        <f>230000000*B198</f>
        <v>230000000</v>
      </c>
      <c r="N33" s="36">
        <f>230000000*B198</f>
        <v>230000000</v>
      </c>
      <c r="O33" s="36">
        <f>230000000*B198</f>
        <v>230000000</v>
      </c>
      <c r="P33" s="36">
        <f>758000000*B198</f>
        <v>758000000</v>
      </c>
      <c r="Q33" s="36">
        <f>843000000*B198</f>
        <v>843000000</v>
      </c>
      <c r="R33" s="36">
        <f>911000000*B198</f>
        <v>911000000</v>
      </c>
      <c r="S33" s="36">
        <f>843000000*B198</f>
        <v>843000000</v>
      </c>
      <c r="T33" s="36">
        <f>806544928.17*B198</f>
        <v>806544928.17</v>
      </c>
      <c r="U33" s="6"/>
      <c r="V33" s="6"/>
      <c r="W33" s="6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2.75">
      <c r="A34" s="24" t="s">
        <v>59</v>
      </c>
      <c r="B34" s="6"/>
      <c r="C34" s="6"/>
      <c r="D34" s="6"/>
      <c r="E34" s="36">
        <f>SUM(G34:U34)</f>
        <v>6266095722</v>
      </c>
      <c r="F34" s="6" t="s">
        <v>27</v>
      </c>
      <c r="G34" s="36">
        <f>639488388*B198</f>
        <v>639488388</v>
      </c>
      <c r="H34" s="36">
        <f>623560518*B198</f>
        <v>623560518</v>
      </c>
      <c r="I34" s="36">
        <f>599663518*B198</f>
        <v>599663518</v>
      </c>
      <c r="J34" s="36">
        <f>575766518*B198</f>
        <v>575766518</v>
      </c>
      <c r="K34" s="36">
        <f>551869518*B198</f>
        <v>551869518</v>
      </c>
      <c r="L34" s="36">
        <f>527972518*B198</f>
        <v>527972518</v>
      </c>
      <c r="M34" s="36">
        <f>504073518*B198</f>
        <v>504073518</v>
      </c>
      <c r="N34" s="36">
        <f>480178518*B198</f>
        <v>480178518</v>
      </c>
      <c r="O34" s="36">
        <f>456281518*B198</f>
        <v>456281518</v>
      </c>
      <c r="P34" s="36">
        <f>432384518*B198</f>
        <v>432384518</v>
      </c>
      <c r="Q34" s="36">
        <f>353628318*B198</f>
        <v>353628318</v>
      </c>
      <c r="R34" s="36">
        <f>266040618*B198</f>
        <v>266040618</v>
      </c>
      <c r="S34" s="36">
        <f>171387718*B198</f>
        <v>171387718</v>
      </c>
      <c r="T34" s="36">
        <f>83800018*B198</f>
        <v>83800018</v>
      </c>
      <c r="U34" s="6"/>
      <c r="V34" s="6"/>
      <c r="W34" s="6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2.75">
      <c r="A35" s="24" t="s">
        <v>57</v>
      </c>
      <c r="B35" s="7">
        <v>37253</v>
      </c>
      <c r="C35" s="6" t="s">
        <v>58</v>
      </c>
      <c r="D35" s="36">
        <f>SUM(G35:T35)</f>
        <v>4427296178.82</v>
      </c>
      <c r="E35" s="36"/>
      <c r="F35" s="6" t="s">
        <v>26</v>
      </c>
      <c r="G35" s="36">
        <f>250000000*B198</f>
        <v>250000000</v>
      </c>
      <c r="H35" s="36">
        <f>250000000*B198</f>
        <v>250000000</v>
      </c>
      <c r="I35" s="36">
        <f>300000000*B198</f>
        <v>300000000</v>
      </c>
      <c r="J35" s="36">
        <f>300000000*B198</f>
        <v>300000000</v>
      </c>
      <c r="K35" s="36">
        <f>600000000*B198</f>
        <v>600000000</v>
      </c>
      <c r="L35" s="36">
        <f>700000000*B198</f>
        <v>700000000</v>
      </c>
      <c r="M35" s="36">
        <f>800000000*B198</f>
        <v>800000000</v>
      </c>
      <c r="N35" s="36">
        <f>600000000*B198</f>
        <v>600000000</v>
      </c>
      <c r="O35" s="36">
        <f>627296178.82*B198</f>
        <v>627296178.82</v>
      </c>
      <c r="P35" s="36"/>
      <c r="Q35" s="36"/>
      <c r="R35" s="36"/>
      <c r="S35" s="36"/>
      <c r="T35" s="6"/>
      <c r="U35" s="6"/>
      <c r="V35" s="6"/>
      <c r="W35" s="6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3.5" thickBot="1">
      <c r="A36" s="61" t="s">
        <v>60</v>
      </c>
      <c r="B36" s="62"/>
      <c r="C36" s="62"/>
      <c r="D36" s="62"/>
      <c r="E36" s="35">
        <f>SUM(G36:U36)</f>
        <v>3037495475</v>
      </c>
      <c r="F36" s="9" t="s">
        <v>27</v>
      </c>
      <c r="G36" s="36">
        <f>515337275*B198</f>
        <v>515337275</v>
      </c>
      <c r="H36" s="36">
        <f>486237275*B198</f>
        <v>486237275</v>
      </c>
      <c r="I36" s="36">
        <f>457137275*B198</f>
        <v>457137275</v>
      </c>
      <c r="J36" s="36">
        <f>422217275*B198</f>
        <v>422217275</v>
      </c>
      <c r="K36" s="36">
        <f>387257275*B198</f>
        <v>387257275</v>
      </c>
      <c r="L36" s="36">
        <f>317457275*B198</f>
        <v>317457275</v>
      </c>
      <c r="M36" s="36">
        <f>235977275*B198</f>
        <v>235977275</v>
      </c>
      <c r="N36" s="36">
        <f>142857275*B198</f>
        <v>142857275</v>
      </c>
      <c r="O36" s="36">
        <f>73017275*B198</f>
        <v>73017275</v>
      </c>
      <c r="P36" s="63"/>
      <c r="Q36" s="63"/>
      <c r="R36" s="63"/>
      <c r="S36" s="63"/>
      <c r="T36" s="62"/>
      <c r="U36" s="62"/>
      <c r="V36" s="62"/>
      <c r="W36" s="6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23" s="2" customFormat="1" ht="14.25" thickBot="1" thickTop="1">
      <c r="A37" s="26" t="s">
        <v>7</v>
      </c>
      <c r="B37" s="16"/>
      <c r="C37" s="16"/>
      <c r="D37" s="38">
        <f>SUM(D7:D35)</f>
        <v>42399504109.18397</v>
      </c>
      <c r="E37" s="38">
        <f>SUM(E7:E36)</f>
        <v>17916353258.13699</v>
      </c>
      <c r="F37" s="16"/>
      <c r="G37" s="38">
        <f aca="true" t="shared" si="0" ref="G37:T37">SUM(G7:G36)</f>
        <v>8406896514.149469</v>
      </c>
      <c r="H37" s="38">
        <f t="shared" si="0"/>
        <v>8652100267.94137</v>
      </c>
      <c r="I37" s="38">
        <f t="shared" si="0"/>
        <v>6660964494.093471</v>
      </c>
      <c r="J37" s="38">
        <f t="shared" si="0"/>
        <v>13259008990.24198</v>
      </c>
      <c r="K37" s="38">
        <f t="shared" si="0"/>
        <v>8077982000.89348</v>
      </c>
      <c r="L37" s="38">
        <f t="shared" si="0"/>
        <v>3972673283.2191205</v>
      </c>
      <c r="M37" s="38">
        <f t="shared" si="0"/>
        <v>2875955990.1699</v>
      </c>
      <c r="N37" s="38">
        <f t="shared" si="0"/>
        <v>1554894736.62217</v>
      </c>
      <c r="O37" s="38">
        <f t="shared" si="0"/>
        <v>1386594971.8200002</v>
      </c>
      <c r="P37" s="38">
        <f t="shared" si="0"/>
        <v>1190384518</v>
      </c>
      <c r="Q37" s="38">
        <f t="shared" si="0"/>
        <v>1196628318</v>
      </c>
      <c r="R37" s="38">
        <f t="shared" si="0"/>
        <v>1177040618</v>
      </c>
      <c r="S37" s="38">
        <f t="shared" si="0"/>
        <v>1014387718</v>
      </c>
      <c r="T37" s="38">
        <f t="shared" si="0"/>
        <v>890344946.17</v>
      </c>
      <c r="U37" s="16"/>
      <c r="V37" s="16"/>
      <c r="W37" s="16"/>
    </row>
    <row r="38" spans="1:23" ht="13.5" thickBot="1">
      <c r="A38" s="2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8"/>
      <c r="T38" s="59"/>
      <c r="U38" s="59"/>
      <c r="V38" s="59"/>
      <c r="W38" s="59"/>
    </row>
    <row r="39" spans="1:23" s="1" customFormat="1" ht="12.75">
      <c r="A39" s="17" t="s">
        <v>17</v>
      </c>
      <c r="B39" s="18" t="s">
        <v>18</v>
      </c>
      <c r="C39" s="19" t="s">
        <v>21</v>
      </c>
      <c r="D39" s="18" t="s">
        <v>38</v>
      </c>
      <c r="E39" s="20"/>
      <c r="F39" s="19"/>
      <c r="G39" s="21"/>
      <c r="H39" s="21"/>
      <c r="I39" s="21" t="s">
        <v>36</v>
      </c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12"/>
      <c r="U39" s="12"/>
      <c r="V39" s="12"/>
      <c r="W39" s="12"/>
    </row>
    <row r="40" spans="1:23" s="1" customFormat="1" ht="12.75">
      <c r="A40" s="22"/>
      <c r="B40" s="3" t="s">
        <v>19</v>
      </c>
      <c r="C40" s="8"/>
      <c r="D40" s="10" t="s">
        <v>25</v>
      </c>
      <c r="E40" s="11"/>
      <c r="F40" s="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90"/>
      <c r="T40" s="5"/>
      <c r="U40" s="5"/>
      <c r="V40" s="5"/>
      <c r="W40" s="5"/>
    </row>
    <row r="41" spans="1:23" s="1" customFormat="1" ht="13.5" thickBot="1">
      <c r="A41" s="170"/>
      <c r="B41" s="169" t="s">
        <v>20</v>
      </c>
      <c r="C41" s="171"/>
      <c r="D41" s="144" t="s">
        <v>26</v>
      </c>
      <c r="E41" s="144" t="s">
        <v>27</v>
      </c>
      <c r="F41" s="171"/>
      <c r="G41" s="80">
        <v>2002</v>
      </c>
      <c r="H41" s="80">
        <v>2003</v>
      </c>
      <c r="I41" s="80">
        <v>2004</v>
      </c>
      <c r="J41" s="80">
        <v>2005</v>
      </c>
      <c r="K41" s="80">
        <v>2006</v>
      </c>
      <c r="L41" s="80">
        <v>2007</v>
      </c>
      <c r="M41" s="80">
        <v>2008</v>
      </c>
      <c r="N41" s="80">
        <v>2009</v>
      </c>
      <c r="O41" s="80">
        <v>2010</v>
      </c>
      <c r="P41" s="80">
        <v>2011</v>
      </c>
      <c r="Q41" s="80">
        <v>2012</v>
      </c>
      <c r="R41" s="80">
        <v>2013</v>
      </c>
      <c r="S41" s="91">
        <v>2014</v>
      </c>
      <c r="T41" s="91">
        <v>2015</v>
      </c>
      <c r="U41" s="91">
        <v>2016</v>
      </c>
      <c r="V41" s="91">
        <v>2017</v>
      </c>
      <c r="W41" s="172">
        <v>2018</v>
      </c>
    </row>
    <row r="42" spans="1:23" ht="13.5" thickTop="1">
      <c r="A42" s="23" t="s">
        <v>8</v>
      </c>
      <c r="B42" s="9"/>
      <c r="C42" s="9"/>
      <c r="D42" s="9"/>
      <c r="E42" s="9"/>
      <c r="F42" s="9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9"/>
      <c r="U42" s="9"/>
      <c r="V42" s="9"/>
      <c r="W42" s="9"/>
    </row>
    <row r="43" spans="1:23" ht="12.75">
      <c r="A43" s="24" t="s">
        <v>9</v>
      </c>
      <c r="B43" s="7">
        <v>35415</v>
      </c>
      <c r="C43" s="6" t="s">
        <v>22</v>
      </c>
      <c r="D43" s="36">
        <f>SUM(K43)</f>
        <v>9022000000</v>
      </c>
      <c r="E43" s="6"/>
      <c r="F43" s="6" t="s">
        <v>26</v>
      </c>
      <c r="G43" s="36"/>
      <c r="H43" s="36"/>
      <c r="I43" s="36"/>
      <c r="J43" s="36"/>
      <c r="K43" s="36">
        <f>200000000*B196</f>
        <v>9022000000</v>
      </c>
      <c r="L43" s="6"/>
      <c r="M43" s="36"/>
      <c r="N43" s="36"/>
      <c r="O43" s="36"/>
      <c r="P43" s="36"/>
      <c r="Q43" s="36"/>
      <c r="R43" s="36"/>
      <c r="S43" s="36"/>
      <c r="T43" s="6"/>
      <c r="U43" s="6"/>
      <c r="V43" s="6"/>
      <c r="W43" s="6"/>
    </row>
    <row r="44" spans="1:23" ht="12.75">
      <c r="A44" s="24"/>
      <c r="B44" s="6"/>
      <c r="C44" s="6"/>
      <c r="D44" s="6"/>
      <c r="E44" s="36">
        <f>SUM(G44:K44)</f>
        <v>3270475000</v>
      </c>
      <c r="F44" s="6" t="s">
        <v>27</v>
      </c>
      <c r="G44" s="36">
        <f>14500000*B196</f>
        <v>654095000</v>
      </c>
      <c r="H44" s="36">
        <f>14500000*B196</f>
        <v>654095000</v>
      </c>
      <c r="I44" s="36">
        <f>14500000*B196</f>
        <v>654095000</v>
      </c>
      <c r="J44" s="36">
        <f>14500000*B196</f>
        <v>654095000</v>
      </c>
      <c r="K44" s="36">
        <f>14500000*B196</f>
        <v>654095000</v>
      </c>
      <c r="L44" s="6"/>
      <c r="M44" s="36"/>
      <c r="N44" s="36"/>
      <c r="O44" s="36"/>
      <c r="P44" s="36"/>
      <c r="Q44" s="36"/>
      <c r="R44" s="36"/>
      <c r="S44" s="36"/>
      <c r="T44" s="6"/>
      <c r="U44" s="6"/>
      <c r="V44" s="6"/>
      <c r="W44" s="6"/>
    </row>
    <row r="45" spans="1:23" ht="12.75">
      <c r="A45" s="24" t="s">
        <v>10</v>
      </c>
      <c r="B45" s="7">
        <v>36370</v>
      </c>
      <c r="C45" s="6" t="s">
        <v>24</v>
      </c>
      <c r="D45" s="36">
        <f>SUM(G45)</f>
        <v>1746920000</v>
      </c>
      <c r="E45" s="6"/>
      <c r="F45" s="6" t="s">
        <v>26</v>
      </c>
      <c r="G45" s="36">
        <f>40000000*B197</f>
        <v>1746920000</v>
      </c>
      <c r="H45" s="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6"/>
      <c r="U45" s="6"/>
      <c r="V45" s="6"/>
      <c r="W45" s="6"/>
    </row>
    <row r="46" spans="1:23" ht="13.5" thickBot="1">
      <c r="A46" s="25"/>
      <c r="B46" s="14"/>
      <c r="C46" s="14"/>
      <c r="D46" s="14"/>
      <c r="E46" s="37">
        <f>SUM(G46:G46)</f>
        <v>160148891</v>
      </c>
      <c r="F46" s="14" t="s">
        <v>27</v>
      </c>
      <c r="G46" s="37">
        <f>3667000*B197</f>
        <v>160148891</v>
      </c>
      <c r="H46" s="14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14"/>
      <c r="U46" s="14"/>
      <c r="V46" s="14"/>
      <c r="W46" s="14"/>
    </row>
    <row r="47" spans="1:23" s="2" customFormat="1" ht="14.25" thickBot="1" thickTop="1">
      <c r="A47" s="29" t="s">
        <v>7</v>
      </c>
      <c r="B47" s="30"/>
      <c r="C47" s="30"/>
      <c r="D47" s="39">
        <f>SUM(D43:D46)</f>
        <v>10768920000</v>
      </c>
      <c r="E47" s="39">
        <f>SUM(E43:E46)</f>
        <v>3430623891</v>
      </c>
      <c r="F47" s="30"/>
      <c r="G47" s="39">
        <f>SUM(G43:G46)</f>
        <v>2561163891</v>
      </c>
      <c r="H47" s="39">
        <f>SUM(H43:H46)</f>
        <v>654095000</v>
      </c>
      <c r="I47" s="39">
        <f>SUM(I43:I46)</f>
        <v>654095000</v>
      </c>
      <c r="J47" s="39">
        <f>SUM(J43:J46)</f>
        <v>654095000</v>
      </c>
      <c r="K47" s="39">
        <f>SUM(K43:K46)</f>
        <v>9676095000</v>
      </c>
      <c r="L47" s="30"/>
      <c r="M47" s="30"/>
      <c r="N47" s="30"/>
      <c r="O47" s="30"/>
      <c r="P47" s="30"/>
      <c r="Q47" s="30"/>
      <c r="R47" s="30"/>
      <c r="S47" s="30"/>
      <c r="T47" s="16"/>
      <c r="U47" s="16"/>
      <c r="V47" s="16"/>
      <c r="W47" s="16"/>
    </row>
    <row r="48" spans="1:23" ht="13.5" thickBot="1">
      <c r="A48" s="27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  <c r="N48" s="15"/>
      <c r="O48" s="15"/>
      <c r="P48" s="15"/>
      <c r="Q48" s="15"/>
      <c r="R48" s="15"/>
      <c r="S48" s="28"/>
      <c r="T48" s="59"/>
      <c r="U48" s="59"/>
      <c r="V48" s="59"/>
      <c r="W48" s="59"/>
    </row>
    <row r="49" spans="1:23" s="1" customFormat="1" ht="12.75">
      <c r="A49" s="17" t="s">
        <v>17</v>
      </c>
      <c r="B49" s="18" t="s">
        <v>18</v>
      </c>
      <c r="C49" s="19" t="s">
        <v>21</v>
      </c>
      <c r="D49" s="18" t="s">
        <v>38</v>
      </c>
      <c r="E49" s="20"/>
      <c r="F49" s="19"/>
      <c r="G49" s="21"/>
      <c r="H49" s="21"/>
      <c r="I49" s="4" t="s">
        <v>36</v>
      </c>
      <c r="J49" s="21"/>
      <c r="K49" s="21"/>
      <c r="L49" s="21"/>
      <c r="M49" s="21"/>
      <c r="N49" s="21"/>
      <c r="O49" s="21"/>
      <c r="P49" s="21"/>
      <c r="Q49" s="21"/>
      <c r="R49" s="21"/>
      <c r="S49" s="20"/>
      <c r="T49" s="12"/>
      <c r="U49" s="12"/>
      <c r="V49" s="12"/>
      <c r="W49" s="12"/>
    </row>
    <row r="50" spans="1:23" s="1" customFormat="1" ht="12.75">
      <c r="A50" s="22"/>
      <c r="B50" s="3" t="s">
        <v>19</v>
      </c>
      <c r="C50" s="8"/>
      <c r="D50" s="10" t="s">
        <v>25</v>
      </c>
      <c r="E50" s="11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90"/>
      <c r="T50" s="5"/>
      <c r="U50" s="5"/>
      <c r="V50" s="5"/>
      <c r="W50" s="5"/>
    </row>
    <row r="51" spans="1:23" s="1" customFormat="1" ht="13.5" thickBot="1">
      <c r="A51" s="170"/>
      <c r="B51" s="169" t="s">
        <v>20</v>
      </c>
      <c r="C51" s="171"/>
      <c r="D51" s="144" t="s">
        <v>26</v>
      </c>
      <c r="E51" s="144" t="s">
        <v>27</v>
      </c>
      <c r="F51" s="171"/>
      <c r="G51" s="80">
        <v>2002</v>
      </c>
      <c r="H51" s="80">
        <v>2003</v>
      </c>
      <c r="I51" s="80">
        <v>2004</v>
      </c>
      <c r="J51" s="80">
        <v>2005</v>
      </c>
      <c r="K51" s="80">
        <v>2006</v>
      </c>
      <c r="L51" s="80">
        <v>2007</v>
      </c>
      <c r="M51" s="80">
        <v>2008</v>
      </c>
      <c r="N51" s="80">
        <v>2009</v>
      </c>
      <c r="O51" s="80">
        <v>2010</v>
      </c>
      <c r="P51" s="80">
        <v>2011</v>
      </c>
      <c r="Q51" s="80">
        <v>2012</v>
      </c>
      <c r="R51" s="80">
        <v>2013</v>
      </c>
      <c r="S51" s="91">
        <v>2014</v>
      </c>
      <c r="T51" s="91">
        <v>2015</v>
      </c>
      <c r="U51" s="91">
        <v>2016</v>
      </c>
      <c r="V51" s="91">
        <v>2017</v>
      </c>
      <c r="W51" s="172">
        <v>2018</v>
      </c>
    </row>
    <row r="52" spans="1:23" ht="13.5" thickTop="1">
      <c r="A52" s="23" t="s">
        <v>42</v>
      </c>
      <c r="B52" s="9"/>
      <c r="C52" s="9"/>
      <c r="D52" s="9"/>
      <c r="E52" s="9"/>
      <c r="F52" s="9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6"/>
      <c r="U52" s="6"/>
      <c r="V52" s="6"/>
      <c r="W52" s="6"/>
    </row>
    <row r="53" spans="1:23" ht="12.75">
      <c r="A53" s="24" t="s">
        <v>62</v>
      </c>
      <c r="B53" s="7">
        <v>34150</v>
      </c>
      <c r="C53" s="6" t="s">
        <v>24</v>
      </c>
      <c r="D53" s="36">
        <f>SUM(G53:M53)</f>
        <v>425935846.8295001</v>
      </c>
      <c r="E53" s="6"/>
      <c r="F53" s="6" t="s">
        <v>26</v>
      </c>
      <c r="G53" s="36">
        <f>1500437.16*B197</f>
        <v>65528592.08868</v>
      </c>
      <c r="H53" s="36">
        <f>1500437.16*B197</f>
        <v>65528592.08868</v>
      </c>
      <c r="I53" s="36">
        <f>1500437.16*B197</f>
        <v>65528592.08868</v>
      </c>
      <c r="J53" s="36">
        <f>1500437.16*B197</f>
        <v>65528592.08868</v>
      </c>
      <c r="K53" s="36">
        <f>1500437.16*B197</f>
        <v>65528592.08868</v>
      </c>
      <c r="L53" s="36">
        <f>1500437.16*B197</f>
        <v>65528592.08868</v>
      </c>
      <c r="M53" s="36">
        <f>750218.54*B197</f>
        <v>32764294.297420003</v>
      </c>
      <c r="N53" s="36"/>
      <c r="O53" s="36"/>
      <c r="P53" s="36"/>
      <c r="Q53" s="36"/>
      <c r="R53" s="36"/>
      <c r="S53" s="36"/>
      <c r="T53" s="6"/>
      <c r="U53" s="6"/>
      <c r="V53" s="6"/>
      <c r="W53" s="6"/>
    </row>
    <row r="54" spans="1:23" ht="12.75">
      <c r="A54" s="24"/>
      <c r="B54" s="6"/>
      <c r="C54" s="6"/>
      <c r="D54" s="6"/>
      <c r="E54" s="36">
        <f>SUM(G54:M54)</f>
        <v>95597183.12627001</v>
      </c>
      <c r="F54" s="6" t="s">
        <v>27</v>
      </c>
      <c r="G54" s="36">
        <f>601354.67*B197</f>
        <v>26262962.502910003</v>
      </c>
      <c r="H54" s="36">
        <f>505137.93*B197</f>
        <v>22060888.81689</v>
      </c>
      <c r="I54" s="36">
        <f>408921.18*B197</f>
        <v>17858814.694140002</v>
      </c>
      <c r="J54" s="36">
        <f>312704.43*B197</f>
        <v>13656740.571390001</v>
      </c>
      <c r="K54" s="36">
        <f>216487.69*B197</f>
        <v>9454666.885370001</v>
      </c>
      <c r="L54" s="36">
        <f>120270.93*B197</f>
        <v>5252592.32589</v>
      </c>
      <c r="M54" s="36">
        <f>24054.16*B197</f>
        <v>1050517.32968</v>
      </c>
      <c r="N54" s="36"/>
      <c r="O54" s="36"/>
      <c r="P54" s="36"/>
      <c r="Q54" s="36"/>
      <c r="R54" s="36"/>
      <c r="S54" s="36"/>
      <c r="T54" s="6"/>
      <c r="U54" s="6"/>
      <c r="V54" s="6"/>
      <c r="W54" s="6"/>
    </row>
    <row r="55" spans="1:23" ht="12.75">
      <c r="A55" s="24" t="s">
        <v>11</v>
      </c>
      <c r="B55" s="7">
        <v>34470</v>
      </c>
      <c r="C55" s="6" t="s">
        <v>22</v>
      </c>
      <c r="D55" s="36">
        <f>SUM(G55:O55)</f>
        <v>1749268614.1138</v>
      </c>
      <c r="E55" s="6"/>
      <c r="F55" s="6" t="s">
        <v>26</v>
      </c>
      <c r="G55" s="36">
        <f>2985646.58*B196</f>
        <v>134682517.2238</v>
      </c>
      <c r="H55" s="36">
        <f>3417700*B196</f>
        <v>154172447</v>
      </c>
      <c r="I55" s="36">
        <f>3674700*B196</f>
        <v>165765717</v>
      </c>
      <c r="J55" s="36">
        <f>3958700*B196</f>
        <v>178576957</v>
      </c>
      <c r="K55" s="36">
        <f>4251800*B196</f>
        <v>191798698</v>
      </c>
      <c r="L55" s="36">
        <f>4576500*B196</f>
        <v>206445915</v>
      </c>
      <c r="M55" s="36">
        <f>4923600*B196</f>
        <v>222103596</v>
      </c>
      <c r="N55" s="36">
        <f>5293400*B196</f>
        <v>238785274</v>
      </c>
      <c r="O55" s="36">
        <f>5695799*B196</f>
        <v>256937492.89</v>
      </c>
      <c r="P55" s="6"/>
      <c r="Q55" s="36"/>
      <c r="R55" s="36"/>
      <c r="S55" s="36"/>
      <c r="T55" s="6"/>
      <c r="U55" s="6"/>
      <c r="V55" s="6"/>
      <c r="W55" s="6"/>
    </row>
    <row r="56" spans="1:23" ht="12.75">
      <c r="A56" s="24"/>
      <c r="B56" s="6"/>
      <c r="C56" s="6"/>
      <c r="D56" s="6"/>
      <c r="E56" s="36">
        <f>SUM(G56:O56)</f>
        <v>459845480.66209996</v>
      </c>
      <c r="F56" s="6" t="s">
        <v>27</v>
      </c>
      <c r="G56" s="36">
        <f>1238709.71*B196</f>
        <v>55878195.0181</v>
      </c>
      <c r="H56" s="36">
        <f>1116261.35*B196</f>
        <v>50354549.498500004</v>
      </c>
      <c r="I56" s="36">
        <f>1608332.41*B196</f>
        <v>72551875.0151</v>
      </c>
      <c r="J56" s="36">
        <f>1604929.67*B196</f>
        <v>72398377.4137</v>
      </c>
      <c r="K56" s="36">
        <f>1455718.25*B196</f>
        <v>65667450.2575</v>
      </c>
      <c r="L56" s="36">
        <f>1238593.23*B196</f>
        <v>55872940.6053</v>
      </c>
      <c r="M56" s="36">
        <f>956241.32*B196</f>
        <v>43136045.945199996</v>
      </c>
      <c r="N56" s="36">
        <f>665181.27*B196</f>
        <v>30006327.089700002</v>
      </c>
      <c r="O56" s="36">
        <f>309902.9*B196</f>
        <v>13979719.819</v>
      </c>
      <c r="P56" s="6"/>
      <c r="Q56" s="36"/>
      <c r="R56" s="36"/>
      <c r="S56" s="36"/>
      <c r="T56" s="6"/>
      <c r="U56" s="6"/>
      <c r="V56" s="6"/>
      <c r="W56" s="6"/>
    </row>
    <row r="57" spans="1:23" ht="12.75">
      <c r="A57" s="24" t="s">
        <v>47</v>
      </c>
      <c r="B57" s="7">
        <v>34582</v>
      </c>
      <c r="C57" s="6" t="s">
        <v>24</v>
      </c>
      <c r="D57" s="36">
        <f>SUM(G57:N57)</f>
        <v>335857591.01559</v>
      </c>
      <c r="E57" s="6"/>
      <c r="F57" s="6" t="s">
        <v>26</v>
      </c>
      <c r="G57" s="36">
        <f>961284.98*B197</f>
        <v>41982198.93154</v>
      </c>
      <c r="H57" s="36">
        <f>961284.98*B197</f>
        <v>41982198.93154</v>
      </c>
      <c r="I57" s="36">
        <f>961284.98*B197</f>
        <v>41982198.93154</v>
      </c>
      <c r="J57" s="36">
        <f>961284.98*B197</f>
        <v>41982198.93154</v>
      </c>
      <c r="K57" s="36">
        <f>961284.98*B197</f>
        <v>41982198.93154</v>
      </c>
      <c r="L57" s="36">
        <f>961284.98*B197</f>
        <v>41982198.93154</v>
      </c>
      <c r="M57" s="36">
        <f>961284.98*B197</f>
        <v>41982198.93154</v>
      </c>
      <c r="N57" s="36">
        <f>961284.97*B197</f>
        <v>41982198.49481</v>
      </c>
      <c r="O57" s="6"/>
      <c r="P57" s="36"/>
      <c r="Q57" s="36"/>
      <c r="R57" s="36"/>
      <c r="S57" s="36"/>
      <c r="T57" s="6"/>
      <c r="U57" s="6"/>
      <c r="V57" s="6"/>
      <c r="W57" s="6"/>
    </row>
    <row r="58" spans="1:23" ht="13.5" thickBot="1">
      <c r="A58" s="24"/>
      <c r="B58" s="6"/>
      <c r="C58" s="6"/>
      <c r="D58" s="6"/>
      <c r="E58" s="36">
        <f>SUM(G58:N58)</f>
        <v>91353264.59203</v>
      </c>
      <c r="F58" s="6" t="s">
        <v>27</v>
      </c>
      <c r="G58" s="36">
        <f>476797.34*B197</f>
        <v>20823170.229820002</v>
      </c>
      <c r="H58" s="36">
        <f>415275.12*B197</f>
        <v>18136310.31576</v>
      </c>
      <c r="I58" s="36">
        <f>353752.88*B197</f>
        <v>15449449.52824</v>
      </c>
      <c r="J58" s="36">
        <f>292230.64*B197</f>
        <v>12762588.740720002</v>
      </c>
      <c r="K58" s="36">
        <f>230708.4*B197</f>
        <v>10075727.9532</v>
      </c>
      <c r="L58" s="36">
        <f>169186.16*B197</f>
        <v>7388867.165680001</v>
      </c>
      <c r="M58" s="36">
        <f>107663.92*B197</f>
        <v>4702006.37816</v>
      </c>
      <c r="N58" s="36">
        <f>46141.65*B197</f>
        <v>2015144.2804500002</v>
      </c>
      <c r="O58" s="6"/>
      <c r="P58" s="36"/>
      <c r="Q58" s="36"/>
      <c r="R58" s="36"/>
      <c r="S58" s="36"/>
      <c r="T58" s="6"/>
      <c r="U58" s="6"/>
      <c r="V58" s="6"/>
      <c r="W58" s="6"/>
    </row>
    <row r="59" spans="1:23" s="2" customFormat="1" ht="14.25" thickBot="1" thickTop="1">
      <c r="A59" s="29" t="s">
        <v>7</v>
      </c>
      <c r="B59" s="30"/>
      <c r="C59" s="30"/>
      <c r="D59" s="39">
        <f>SUM(D53:D58)</f>
        <v>2511062051.9588904</v>
      </c>
      <c r="E59" s="39">
        <f>SUM(E53:E58)</f>
        <v>646795928.3804001</v>
      </c>
      <c r="F59" s="30"/>
      <c r="G59" s="39">
        <f aca="true" t="shared" si="1" ref="G59:O59">SUM(G53:G58)</f>
        <v>345157635.99485004</v>
      </c>
      <c r="H59" s="39">
        <f t="shared" si="1"/>
        <v>352234986.65137005</v>
      </c>
      <c r="I59" s="39">
        <f t="shared" si="1"/>
        <v>379136647.2577</v>
      </c>
      <c r="J59" s="39">
        <f t="shared" si="1"/>
        <v>384905454.74603</v>
      </c>
      <c r="K59" s="39">
        <f t="shared" si="1"/>
        <v>384507334.11629</v>
      </c>
      <c r="L59" s="39">
        <f t="shared" si="1"/>
        <v>382471106.11709</v>
      </c>
      <c r="M59" s="39">
        <f t="shared" si="1"/>
        <v>345738658.88199997</v>
      </c>
      <c r="N59" s="39">
        <f t="shared" si="1"/>
        <v>312788943.86495996</v>
      </c>
      <c r="O59" s="39">
        <f t="shared" si="1"/>
        <v>270917212.709</v>
      </c>
      <c r="P59" s="39"/>
      <c r="Q59" s="39"/>
      <c r="R59" s="39"/>
      <c r="S59" s="39"/>
      <c r="T59" s="16"/>
      <c r="U59" s="16"/>
      <c r="V59" s="16"/>
      <c r="W59" s="16"/>
    </row>
    <row r="60" spans="1:23" ht="13.5" thickBot="1">
      <c r="A60" s="27"/>
      <c r="B60" s="15"/>
      <c r="C60" s="15"/>
      <c r="D60" s="58"/>
      <c r="E60" s="58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8"/>
      <c r="T60" s="59"/>
      <c r="U60" s="59"/>
      <c r="V60" s="59"/>
      <c r="W60" s="59"/>
    </row>
    <row r="61" spans="1:23" s="1" customFormat="1" ht="12.75">
      <c r="A61" s="134" t="s">
        <v>17</v>
      </c>
      <c r="B61" s="18" t="s">
        <v>18</v>
      </c>
      <c r="C61" s="19" t="s">
        <v>21</v>
      </c>
      <c r="D61" s="18" t="s">
        <v>38</v>
      </c>
      <c r="E61" s="20"/>
      <c r="F61" s="19"/>
      <c r="G61" s="149"/>
      <c r="H61" s="21"/>
      <c r="I61" s="21" t="s">
        <v>36</v>
      </c>
      <c r="J61" s="21"/>
      <c r="K61" s="21"/>
      <c r="L61" s="21"/>
      <c r="M61" s="149"/>
      <c r="N61" s="21"/>
      <c r="O61" s="21"/>
      <c r="P61" s="21"/>
      <c r="Q61" s="21"/>
      <c r="R61" s="21"/>
      <c r="S61" s="21"/>
      <c r="T61" s="21"/>
      <c r="U61" s="21"/>
      <c r="V61" s="21"/>
      <c r="W61" s="150"/>
    </row>
    <row r="62" spans="1:23" s="1" customFormat="1" ht="12.75">
      <c r="A62" s="135"/>
      <c r="B62" s="3" t="s">
        <v>19</v>
      </c>
      <c r="C62" s="8"/>
      <c r="D62" s="10" t="s">
        <v>25</v>
      </c>
      <c r="E62" s="11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90"/>
      <c r="T62" s="12"/>
      <c r="U62" s="12"/>
      <c r="V62" s="12"/>
      <c r="W62" s="110"/>
    </row>
    <row r="63" spans="1:23" s="1" customFormat="1" ht="13.5" thickBot="1">
      <c r="A63" s="170"/>
      <c r="B63" s="169" t="s">
        <v>20</v>
      </c>
      <c r="C63" s="171"/>
      <c r="D63" s="144" t="s">
        <v>26</v>
      </c>
      <c r="E63" s="144" t="s">
        <v>27</v>
      </c>
      <c r="F63" s="171"/>
      <c r="G63" s="80">
        <v>2002</v>
      </c>
      <c r="H63" s="80">
        <v>2003</v>
      </c>
      <c r="I63" s="80">
        <v>2004</v>
      </c>
      <c r="J63" s="80">
        <v>2005</v>
      </c>
      <c r="K63" s="80">
        <v>2006</v>
      </c>
      <c r="L63" s="80">
        <v>2007</v>
      </c>
      <c r="M63" s="80">
        <v>2008</v>
      </c>
      <c r="N63" s="80">
        <v>2009</v>
      </c>
      <c r="O63" s="80">
        <v>2010</v>
      </c>
      <c r="P63" s="80">
        <v>2011</v>
      </c>
      <c r="Q63" s="80">
        <v>2012</v>
      </c>
      <c r="R63" s="80">
        <v>2013</v>
      </c>
      <c r="S63" s="91">
        <v>2014</v>
      </c>
      <c r="T63" s="91">
        <v>2015</v>
      </c>
      <c r="U63" s="91">
        <v>2016</v>
      </c>
      <c r="V63" s="91">
        <v>2017</v>
      </c>
      <c r="W63" s="172">
        <v>2018</v>
      </c>
    </row>
    <row r="64" spans="1:23" ht="13.5" thickTop="1">
      <c r="A64" s="136" t="s">
        <v>14</v>
      </c>
      <c r="B64" s="9"/>
      <c r="C64" s="9"/>
      <c r="D64" s="9"/>
      <c r="E64" s="9"/>
      <c r="F64" s="9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6"/>
      <c r="U64" s="6"/>
      <c r="V64" s="6"/>
      <c r="W64" s="106"/>
    </row>
    <row r="65" spans="1:23" ht="12.75">
      <c r="A65" s="151" t="s">
        <v>67</v>
      </c>
      <c r="B65" s="7">
        <v>35786</v>
      </c>
      <c r="C65" s="6" t="s">
        <v>22</v>
      </c>
      <c r="D65" s="36">
        <f>SUM(G65:G65)</f>
        <v>2435940000</v>
      </c>
      <c r="E65" s="6"/>
      <c r="F65" s="6" t="s">
        <v>26</v>
      </c>
      <c r="G65" s="36">
        <f>54000000*B196</f>
        <v>2435940000</v>
      </c>
      <c r="H65" s="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6"/>
      <c r="U65" s="6"/>
      <c r="V65" s="6"/>
      <c r="W65" s="106"/>
    </row>
    <row r="66" spans="1:23" ht="12.75">
      <c r="A66" s="137"/>
      <c r="B66" s="6"/>
      <c r="C66" s="6"/>
      <c r="D66" s="6"/>
      <c r="E66" s="36">
        <f>SUM(G66:G66)</f>
        <v>18226244.4</v>
      </c>
      <c r="F66" s="6" t="s">
        <v>27</v>
      </c>
      <c r="G66" s="36">
        <f>404040*B196</f>
        <v>18226244.4</v>
      </c>
      <c r="H66" s="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6"/>
      <c r="U66" s="6"/>
      <c r="V66" s="6"/>
      <c r="W66" s="106"/>
    </row>
    <row r="67" spans="1:23" ht="12.75">
      <c r="A67" s="151" t="s">
        <v>78</v>
      </c>
      <c r="B67" s="7">
        <v>36364</v>
      </c>
      <c r="C67" s="6" t="s">
        <v>24</v>
      </c>
      <c r="D67" s="36">
        <f>SUM(I67:S67)</f>
        <v>5240760000</v>
      </c>
      <c r="E67" s="6"/>
      <c r="F67" s="6" t="s">
        <v>26</v>
      </c>
      <c r="G67" s="36"/>
      <c r="H67" s="36"/>
      <c r="I67" s="36">
        <f>6000000*B197</f>
        <v>262038000</v>
      </c>
      <c r="J67" s="36">
        <f>12000000*B197</f>
        <v>524076000</v>
      </c>
      <c r="K67" s="36">
        <f>12000000*B197</f>
        <v>524076000</v>
      </c>
      <c r="L67" s="36">
        <f>12000000*B197</f>
        <v>524076000</v>
      </c>
      <c r="M67" s="36">
        <f>12000000*B197</f>
        <v>524076000</v>
      </c>
      <c r="N67" s="36">
        <f>12000000*B197</f>
        <v>524076000</v>
      </c>
      <c r="O67" s="36">
        <f>12000000*B197</f>
        <v>524076000</v>
      </c>
      <c r="P67" s="36">
        <f>12000000*B197</f>
        <v>524076000</v>
      </c>
      <c r="Q67" s="36">
        <f>12000000*B197</f>
        <v>524076000</v>
      </c>
      <c r="R67" s="36">
        <f>12000000*B197</f>
        <v>524076000</v>
      </c>
      <c r="S67" s="36">
        <f>6000000*B197</f>
        <v>262038000</v>
      </c>
      <c r="T67" s="6"/>
      <c r="U67" s="6"/>
      <c r="V67" s="6"/>
      <c r="W67" s="106"/>
    </row>
    <row r="68" spans="1:23" ht="12.75">
      <c r="A68" s="137"/>
      <c r="B68" s="7"/>
      <c r="C68" s="6"/>
      <c r="D68" s="99"/>
      <c r="E68" s="36">
        <f>SUM(G68:S68)</f>
        <v>1918773255</v>
      </c>
      <c r="F68" s="6" t="s">
        <v>27</v>
      </c>
      <c r="G68" s="36">
        <f>3030000*B197</f>
        <v>132329190</v>
      </c>
      <c r="H68" s="36">
        <f>6060000*B197</f>
        <v>264658380</v>
      </c>
      <c r="I68" s="36">
        <f>6060000*B197</f>
        <v>264658380</v>
      </c>
      <c r="J68" s="36">
        <f>5605500*B197</f>
        <v>244809001.5</v>
      </c>
      <c r="K68" s="36">
        <f>4999500*B197</f>
        <v>218343163.5</v>
      </c>
      <c r="L68" s="36">
        <f>4393500*B197</f>
        <v>191877325.5</v>
      </c>
      <c r="M68" s="36">
        <f>3787500*B197</f>
        <v>165411487.5</v>
      </c>
      <c r="N68" s="36">
        <f>3181500*B197</f>
        <v>138945649.5</v>
      </c>
      <c r="O68" s="36">
        <f>2575500*B197</f>
        <v>112479811.5</v>
      </c>
      <c r="P68" s="36">
        <f>1969500*B197</f>
        <v>86013973.5</v>
      </c>
      <c r="Q68" s="36">
        <f>1363500*B197</f>
        <v>59548135.5</v>
      </c>
      <c r="R68" s="36">
        <f>757500*B197</f>
        <v>33082297.5</v>
      </c>
      <c r="S68" s="36">
        <f>151500*B197</f>
        <v>6616459.5</v>
      </c>
      <c r="T68" s="6"/>
      <c r="U68" s="6"/>
      <c r="V68" s="6"/>
      <c r="W68" s="106"/>
    </row>
    <row r="69" spans="1:23" ht="12.75">
      <c r="A69" s="151" t="s">
        <v>79</v>
      </c>
      <c r="B69" s="7">
        <v>36623</v>
      </c>
      <c r="C69" s="6" t="s">
        <v>24</v>
      </c>
      <c r="D69" s="58">
        <f>SUM(I69:S69)</f>
        <v>873460000</v>
      </c>
      <c r="E69" s="6"/>
      <c r="F69" s="6" t="s">
        <v>26</v>
      </c>
      <c r="G69" s="36"/>
      <c r="H69" s="36"/>
      <c r="I69" s="36">
        <f>1000000*B197</f>
        <v>43673000</v>
      </c>
      <c r="J69" s="36">
        <f>2000000*B197</f>
        <v>87346000</v>
      </c>
      <c r="K69" s="36">
        <f>2000000*B197</f>
        <v>87346000</v>
      </c>
      <c r="L69" s="36">
        <f>2000000*B197</f>
        <v>87346000</v>
      </c>
      <c r="M69" s="36">
        <f>2000000*B197</f>
        <v>87346000</v>
      </c>
      <c r="N69" s="36">
        <f>2000000*B197</f>
        <v>87346000</v>
      </c>
      <c r="O69" s="36">
        <f>2000000*B197</f>
        <v>87346000</v>
      </c>
      <c r="P69" s="36">
        <f>2000000*B197</f>
        <v>87346000</v>
      </c>
      <c r="Q69" s="36">
        <f>2000000*B197</f>
        <v>87346000</v>
      </c>
      <c r="R69" s="36">
        <f>2000000*B197</f>
        <v>87346000</v>
      </c>
      <c r="S69" s="36">
        <f>1000000*B197</f>
        <v>43673000</v>
      </c>
      <c r="T69" s="6"/>
      <c r="U69" s="6"/>
      <c r="V69" s="6"/>
      <c r="W69" s="106"/>
    </row>
    <row r="70" spans="1:23" ht="12.75">
      <c r="A70" s="137"/>
      <c r="B70" s="6"/>
      <c r="C70" s="6"/>
      <c r="D70" s="6"/>
      <c r="E70" s="58">
        <f>SUM(G70:S70)</f>
        <v>358424311</v>
      </c>
      <c r="F70" s="6" t="s">
        <v>27</v>
      </c>
      <c r="G70" s="36">
        <f>566000*B197</f>
        <v>24718918</v>
      </c>
      <c r="H70" s="36">
        <f>1132000*B197</f>
        <v>49437836</v>
      </c>
      <c r="I70" s="36">
        <f>1132000*B197</f>
        <v>49437836</v>
      </c>
      <c r="J70" s="36">
        <f>1047100*B197</f>
        <v>45729998.300000004</v>
      </c>
      <c r="K70" s="36">
        <f>933900*B197</f>
        <v>40786214.7</v>
      </c>
      <c r="L70" s="36">
        <f>820700*B197</f>
        <v>35842431.1</v>
      </c>
      <c r="M70" s="36">
        <f>707500*B197</f>
        <v>30898647.5</v>
      </c>
      <c r="N70" s="36">
        <f>594300*B197</f>
        <v>25954863.900000002</v>
      </c>
      <c r="O70" s="36">
        <f>481100*B197</f>
        <v>21011080.3</v>
      </c>
      <c r="P70" s="36">
        <f>367900*B197</f>
        <v>16067296.700000001</v>
      </c>
      <c r="Q70" s="36">
        <f>254700*B197</f>
        <v>11123513.1</v>
      </c>
      <c r="R70" s="36">
        <f>141500*B197</f>
        <v>6179729.5</v>
      </c>
      <c r="S70" s="36">
        <f>28300*B197</f>
        <v>1235945.9000000001</v>
      </c>
      <c r="T70" s="6"/>
      <c r="U70" s="6"/>
      <c r="V70" s="6"/>
      <c r="W70" s="106"/>
    </row>
    <row r="71" spans="1:23" ht="12.75">
      <c r="A71" s="151" t="s">
        <v>68</v>
      </c>
      <c r="B71" s="7">
        <v>36672</v>
      </c>
      <c r="C71" s="6" t="s">
        <v>24</v>
      </c>
      <c r="D71" s="58">
        <f>SUM(I71:S71)</f>
        <v>6769315000</v>
      </c>
      <c r="E71" s="6"/>
      <c r="F71" s="6" t="s">
        <v>26</v>
      </c>
      <c r="G71" s="36"/>
      <c r="H71" s="36"/>
      <c r="I71" s="36"/>
      <c r="J71" s="36"/>
      <c r="K71" s="36"/>
      <c r="L71" s="58">
        <f>155000000*B197</f>
        <v>6769315000</v>
      </c>
      <c r="M71" s="36"/>
      <c r="N71" s="36"/>
      <c r="O71" s="36"/>
      <c r="P71" s="36"/>
      <c r="Q71" s="36"/>
      <c r="R71" s="36"/>
      <c r="S71" s="36"/>
      <c r="T71" s="6"/>
      <c r="U71" s="6"/>
      <c r="V71" s="6"/>
      <c r="W71" s="106"/>
    </row>
    <row r="72" spans="1:23" ht="12.75">
      <c r="A72" s="137"/>
      <c r="B72" s="6"/>
      <c r="C72" s="6"/>
      <c r="D72" s="6"/>
      <c r="E72" s="36">
        <f>SUM(G72:S72)</f>
        <v>2707726000</v>
      </c>
      <c r="F72" s="6" t="s">
        <v>27</v>
      </c>
      <c r="G72" s="36"/>
      <c r="H72" s="36">
        <f>12400000*B197</f>
        <v>541545200</v>
      </c>
      <c r="I72" s="36">
        <f>12400000*B197</f>
        <v>541545200</v>
      </c>
      <c r="J72" s="36">
        <f>12400000*B197</f>
        <v>541545200</v>
      </c>
      <c r="K72" s="36">
        <f>12400000*B197</f>
        <v>541545200</v>
      </c>
      <c r="L72" s="36">
        <f>12400000*B197</f>
        <v>541545200</v>
      </c>
      <c r="M72" s="36"/>
      <c r="N72" s="36"/>
      <c r="O72" s="36"/>
      <c r="P72" s="36"/>
      <c r="Q72" s="36"/>
      <c r="R72" s="36"/>
      <c r="S72" s="36"/>
      <c r="T72" s="6"/>
      <c r="U72" s="6"/>
      <c r="V72" s="6"/>
      <c r="W72" s="106"/>
    </row>
    <row r="73" spans="1:23" ht="12.75">
      <c r="A73" s="153" t="s">
        <v>69</v>
      </c>
      <c r="B73" s="83">
        <v>36795</v>
      </c>
      <c r="C73" s="62" t="s">
        <v>24</v>
      </c>
      <c r="D73" s="58">
        <f>SUM(I73:S73)</f>
        <v>1965285000</v>
      </c>
      <c r="E73" s="36"/>
      <c r="F73" s="6" t="s">
        <v>26</v>
      </c>
      <c r="G73" s="36"/>
      <c r="H73" s="36"/>
      <c r="I73" s="36"/>
      <c r="J73" s="36"/>
      <c r="K73" s="36"/>
      <c r="L73" s="36">
        <f>45000000*B197</f>
        <v>1965285000</v>
      </c>
      <c r="M73" s="36"/>
      <c r="N73" s="36"/>
      <c r="O73" s="36"/>
      <c r="P73" s="36"/>
      <c r="Q73" s="36"/>
      <c r="R73" s="36"/>
      <c r="S73" s="36"/>
      <c r="T73" s="6"/>
      <c r="U73" s="6"/>
      <c r="V73" s="6"/>
      <c r="W73" s="106"/>
    </row>
    <row r="74" spans="1:23" ht="12.75">
      <c r="A74" s="137"/>
      <c r="B74" s="6"/>
      <c r="C74" s="6"/>
      <c r="D74" s="6"/>
      <c r="E74" s="58">
        <f>SUM(G74:S74)</f>
        <v>786114000</v>
      </c>
      <c r="F74" s="6" t="s">
        <v>27</v>
      </c>
      <c r="G74" s="36"/>
      <c r="H74" s="36">
        <f>3600000*B197</f>
        <v>157222800</v>
      </c>
      <c r="I74" s="36">
        <f>3600000*B197</f>
        <v>157222800</v>
      </c>
      <c r="J74" s="36">
        <f>3600000*B197</f>
        <v>157222800</v>
      </c>
      <c r="K74" s="36">
        <f>3600000*B197</f>
        <v>157222800</v>
      </c>
      <c r="L74" s="36">
        <f>3600000*B197</f>
        <v>157222800</v>
      </c>
      <c r="M74" s="36"/>
      <c r="N74" s="36"/>
      <c r="O74" s="36"/>
      <c r="P74" s="36"/>
      <c r="Q74" s="36"/>
      <c r="R74" s="36"/>
      <c r="S74" s="36"/>
      <c r="T74" s="6"/>
      <c r="U74" s="6"/>
      <c r="V74" s="6"/>
      <c r="W74" s="106"/>
    </row>
    <row r="75" spans="1:23" ht="12.75">
      <c r="A75" s="151" t="s">
        <v>77</v>
      </c>
      <c r="B75" s="7">
        <v>36882</v>
      </c>
      <c r="C75" s="6" t="s">
        <v>24</v>
      </c>
      <c r="D75" s="58">
        <f>SUM(I75:S75)</f>
        <v>655095000</v>
      </c>
      <c r="E75" s="36"/>
      <c r="F75" s="6" t="s">
        <v>26</v>
      </c>
      <c r="G75" s="36"/>
      <c r="H75" s="36"/>
      <c r="I75" s="36">
        <f>750000*B197</f>
        <v>32754750</v>
      </c>
      <c r="J75" s="36">
        <f>1500000*B197</f>
        <v>65509500</v>
      </c>
      <c r="K75" s="36">
        <f>1500000*B197</f>
        <v>65509500</v>
      </c>
      <c r="L75" s="36">
        <f>1500000*B197</f>
        <v>65509500</v>
      </c>
      <c r="M75" s="36">
        <f>1500000*B197</f>
        <v>65509500</v>
      </c>
      <c r="N75" s="36">
        <f>1500000*B197</f>
        <v>65509500</v>
      </c>
      <c r="O75" s="36">
        <f>1500000*B197</f>
        <v>65509500</v>
      </c>
      <c r="P75" s="36">
        <f>1500000*B197</f>
        <v>65509500</v>
      </c>
      <c r="Q75" s="36">
        <f>1500000*B197</f>
        <v>65509500</v>
      </c>
      <c r="R75" s="36">
        <f>1500000*B197</f>
        <v>65509500</v>
      </c>
      <c r="S75" s="36">
        <f>750000*B197</f>
        <v>32754750</v>
      </c>
      <c r="T75" s="36"/>
      <c r="U75" s="36"/>
      <c r="V75" s="36"/>
      <c r="W75" s="36"/>
    </row>
    <row r="76" spans="1:23" ht="12.75">
      <c r="A76" s="158" t="s">
        <v>76</v>
      </c>
      <c r="B76" s="6"/>
      <c r="C76" s="6"/>
      <c r="D76" s="6"/>
      <c r="E76" s="36">
        <f>SUM(G76:S76)</f>
        <v>251245309.875</v>
      </c>
      <c r="F76" s="6" t="s">
        <v>27</v>
      </c>
      <c r="G76" s="36">
        <f>396750*B197</f>
        <v>17327262.75</v>
      </c>
      <c r="H76" s="140">
        <f>793500*B197</f>
        <v>34654525.5</v>
      </c>
      <c r="I76" s="36">
        <f>793500*B197</f>
        <v>34654525.5</v>
      </c>
      <c r="J76" s="36">
        <f>733987.5*B197</f>
        <v>32055436.087500002</v>
      </c>
      <c r="K76" s="36">
        <f>654637.5*B197</f>
        <v>28589983.5375</v>
      </c>
      <c r="L76" s="36">
        <f>575287.5*B197</f>
        <v>25124530.9875</v>
      </c>
      <c r="M76" s="36">
        <f>495937.5*B197</f>
        <v>21659078.4375</v>
      </c>
      <c r="N76" s="36">
        <f>416587.5*B197</f>
        <v>18193625.8875</v>
      </c>
      <c r="O76" s="36">
        <f>337237.5*B197</f>
        <v>14728173.3375</v>
      </c>
      <c r="P76" s="36">
        <f>257887.5*B197</f>
        <v>11262720.7875</v>
      </c>
      <c r="Q76" s="36">
        <f>178537.5*B197</f>
        <v>7797268.237500001</v>
      </c>
      <c r="R76" s="36">
        <f>99187.5*B197</f>
        <v>4331815.6875</v>
      </c>
      <c r="S76" s="36">
        <f>19837.5*B197</f>
        <v>866363.1375000001</v>
      </c>
      <c r="T76" s="6"/>
      <c r="U76" s="6"/>
      <c r="V76" s="6"/>
      <c r="W76" s="106"/>
    </row>
    <row r="77" spans="1:23" ht="12.75">
      <c r="A77" s="151" t="s">
        <v>70</v>
      </c>
      <c r="B77" s="7">
        <v>37046</v>
      </c>
      <c r="C77" s="6" t="s">
        <v>58</v>
      </c>
      <c r="D77" s="58">
        <f>SUM(I77:S77)</f>
        <v>3000000000</v>
      </c>
      <c r="E77" s="36"/>
      <c r="F77" s="6" t="s">
        <v>26</v>
      </c>
      <c r="G77" s="36"/>
      <c r="H77" s="36"/>
      <c r="I77" s="36">
        <v>310350000</v>
      </c>
      <c r="J77" s="36">
        <v>413800000</v>
      </c>
      <c r="K77" s="36">
        <v>413800000</v>
      </c>
      <c r="L77" s="36">
        <v>413800000</v>
      </c>
      <c r="M77" s="36">
        <v>413800000</v>
      </c>
      <c r="N77" s="36">
        <v>413800000</v>
      </c>
      <c r="O77" s="36">
        <v>413800000</v>
      </c>
      <c r="P77" s="36">
        <v>206850000</v>
      </c>
      <c r="Q77" s="36"/>
      <c r="R77" s="36"/>
      <c r="S77" s="36"/>
      <c r="T77" s="6"/>
      <c r="U77" s="6"/>
      <c r="V77" s="6"/>
      <c r="W77" s="106"/>
    </row>
    <row r="78" spans="1:23" ht="12.75">
      <c r="A78" s="137"/>
      <c r="B78" s="6"/>
      <c r="C78" s="6"/>
      <c r="D78" s="93"/>
      <c r="E78" s="36">
        <f>SUM(G78:S78)</f>
        <v>1557250216.67</v>
      </c>
      <c r="F78" s="6" t="s">
        <v>27</v>
      </c>
      <c r="G78" s="36">
        <v>143350000</v>
      </c>
      <c r="H78" s="36">
        <v>285916666.67</v>
      </c>
      <c r="I78" s="36">
        <v>274706775</v>
      </c>
      <c r="J78" s="36">
        <v>238240650</v>
      </c>
      <c r="K78" s="36">
        <v>199343450</v>
      </c>
      <c r="L78" s="36">
        <v>160446250</v>
      </c>
      <c r="M78" s="36">
        <v>121549050</v>
      </c>
      <c r="N78" s="36">
        <v>82651850</v>
      </c>
      <c r="O78" s="36">
        <v>43754650</v>
      </c>
      <c r="P78" s="36">
        <v>7290875</v>
      </c>
      <c r="Q78" s="36"/>
      <c r="R78" s="36"/>
      <c r="S78" s="36"/>
      <c r="T78" s="6"/>
      <c r="U78" s="6"/>
      <c r="V78" s="6"/>
      <c r="W78" s="106"/>
    </row>
    <row r="79" spans="1:23" ht="12.75">
      <c r="A79" s="151" t="s">
        <v>71</v>
      </c>
      <c r="B79" s="7">
        <v>37046</v>
      </c>
      <c r="C79" s="6" t="s">
        <v>58</v>
      </c>
      <c r="D79" s="58">
        <f>SUM(I79:S79)</f>
        <v>5500000000</v>
      </c>
      <c r="E79" s="36"/>
      <c r="F79" s="6" t="s">
        <v>26</v>
      </c>
      <c r="G79" s="36"/>
      <c r="H79" s="36"/>
      <c r="I79" s="36">
        <v>392000000</v>
      </c>
      <c r="J79" s="36">
        <v>784000000</v>
      </c>
      <c r="K79" s="36">
        <v>784000000</v>
      </c>
      <c r="L79" s="36">
        <v>784000000</v>
      </c>
      <c r="M79" s="36">
        <v>784000000</v>
      </c>
      <c r="N79" s="36">
        <v>784000000</v>
      </c>
      <c r="O79" s="36">
        <v>784000000</v>
      </c>
      <c r="P79" s="36">
        <v>404000000</v>
      </c>
      <c r="Q79" s="36"/>
      <c r="R79" s="36"/>
      <c r="S79" s="36"/>
      <c r="T79" s="6"/>
      <c r="U79" s="6"/>
      <c r="V79" s="6"/>
      <c r="W79" s="106"/>
    </row>
    <row r="80" spans="1:23" ht="12.75">
      <c r="A80" s="137"/>
      <c r="B80" s="6"/>
      <c r="C80" s="6"/>
      <c r="D80" s="6"/>
      <c r="E80" s="36">
        <f>SUM(G80:S80)</f>
        <v>2931719139.0399995</v>
      </c>
      <c r="F80" s="6" t="s">
        <v>27</v>
      </c>
      <c r="G80" s="36">
        <v>258157777.7</v>
      </c>
      <c r="H80" s="36">
        <v>519200000</v>
      </c>
      <c r="I80" s="36">
        <v>515325628</v>
      </c>
      <c r="J80" s="36">
        <v>458414791.11</v>
      </c>
      <c r="K80" s="36">
        <v>383377280</v>
      </c>
      <c r="L80" s="36">
        <v>308339768.89</v>
      </c>
      <c r="M80" s="36">
        <v>234024942.22</v>
      </c>
      <c r="N80" s="36">
        <v>158264746.67</v>
      </c>
      <c r="O80" s="36">
        <v>83227235.56</v>
      </c>
      <c r="P80" s="36">
        <v>13386968.89</v>
      </c>
      <c r="Q80" s="36"/>
      <c r="R80" s="36"/>
      <c r="S80" s="36"/>
      <c r="T80" s="6"/>
      <c r="U80" s="6"/>
      <c r="V80" s="6"/>
      <c r="W80" s="106"/>
    </row>
    <row r="81" spans="1:23" ht="12.75">
      <c r="A81" s="153" t="s">
        <v>72</v>
      </c>
      <c r="B81" s="83">
        <v>36600</v>
      </c>
      <c r="C81" s="62" t="s">
        <v>24</v>
      </c>
      <c r="D81" s="58">
        <f>SUM(G81:S81)</f>
        <v>1965285000</v>
      </c>
      <c r="E81" s="62"/>
      <c r="F81" s="62" t="s">
        <v>26</v>
      </c>
      <c r="G81" s="63">
        <f>7500000*B197</f>
        <v>327547500</v>
      </c>
      <c r="H81" s="63">
        <f>15000000*B197</f>
        <v>655095000</v>
      </c>
      <c r="I81" s="63">
        <f>15000000*B197</f>
        <v>655095000</v>
      </c>
      <c r="J81" s="63">
        <f>7500000*B197</f>
        <v>327547500</v>
      </c>
      <c r="K81" s="63"/>
      <c r="L81" s="63"/>
      <c r="M81" s="62"/>
      <c r="N81" s="63"/>
      <c r="O81" s="63"/>
      <c r="P81" s="63"/>
      <c r="Q81" s="63"/>
      <c r="R81" s="63"/>
      <c r="S81" s="63"/>
      <c r="T81" s="62"/>
      <c r="U81" s="62"/>
      <c r="V81" s="62"/>
      <c r="W81" s="139"/>
    </row>
    <row r="82" spans="1:23" ht="12.75">
      <c r="A82" s="137"/>
      <c r="B82" s="6"/>
      <c r="C82" s="6"/>
      <c r="D82" s="6"/>
      <c r="E82" s="36">
        <f>SUM(G82:S82)</f>
        <v>228107973.32141</v>
      </c>
      <c r="F82" s="6" t="s">
        <v>27</v>
      </c>
      <c r="G82" s="36">
        <f>1519495*B197</f>
        <v>66360905.135000005</v>
      </c>
      <c r="H82" s="36">
        <f>2297431.67*B197</f>
        <v>100335733.32391</v>
      </c>
      <c r="I82" s="36">
        <f>1280237.5*B197</f>
        <v>55911812.337500006</v>
      </c>
      <c r="J82" s="36">
        <f>125925*B197</f>
        <v>5499522.525</v>
      </c>
      <c r="K82" s="36"/>
      <c r="L82" s="36"/>
      <c r="M82" s="6"/>
      <c r="N82" s="36"/>
      <c r="O82" s="36"/>
      <c r="P82" s="36"/>
      <c r="Q82" s="36"/>
      <c r="R82" s="36"/>
      <c r="S82" s="36"/>
      <c r="T82" s="6"/>
      <c r="U82" s="6"/>
      <c r="V82" s="6"/>
      <c r="W82" s="106"/>
    </row>
    <row r="83" spans="1:23" ht="12.75">
      <c r="A83" s="153" t="s">
        <v>73</v>
      </c>
      <c r="B83" s="83">
        <v>37375</v>
      </c>
      <c r="C83" s="6" t="s">
        <v>58</v>
      </c>
      <c r="D83" s="58">
        <f>SUM(I83:S83)</f>
        <v>2000000000</v>
      </c>
      <c r="E83" s="63"/>
      <c r="F83" s="62" t="s">
        <v>26</v>
      </c>
      <c r="G83" s="63"/>
      <c r="H83" s="63"/>
      <c r="I83" s="63"/>
      <c r="J83" s="63"/>
      <c r="K83" s="63">
        <v>181500000</v>
      </c>
      <c r="L83" s="63">
        <v>242000000</v>
      </c>
      <c r="M83" s="63">
        <v>242000000</v>
      </c>
      <c r="N83" s="63">
        <v>242000000</v>
      </c>
      <c r="O83" s="63">
        <v>242000000</v>
      </c>
      <c r="P83" s="63">
        <v>242000000</v>
      </c>
      <c r="Q83" s="63">
        <v>242000000</v>
      </c>
      <c r="R83" s="63">
        <v>242000000</v>
      </c>
      <c r="S83" s="63">
        <v>124500000</v>
      </c>
      <c r="T83" s="62"/>
      <c r="U83" s="62"/>
      <c r="V83" s="62"/>
      <c r="W83" s="139"/>
    </row>
    <row r="84" spans="1:23" ht="12.75">
      <c r="A84" s="137"/>
      <c r="B84" s="6"/>
      <c r="C84" s="6"/>
      <c r="D84" s="6"/>
      <c r="E84" s="36">
        <f>SUM(G84:S84)</f>
        <v>1410092872.76</v>
      </c>
      <c r="F84" s="6" t="s">
        <v>27</v>
      </c>
      <c r="G84" s="36">
        <v>87214244.56</v>
      </c>
      <c r="H84" s="36">
        <v>176822222.2</v>
      </c>
      <c r="I84" s="36">
        <v>177306667</v>
      </c>
      <c r="J84" s="36">
        <v>176822222</v>
      </c>
      <c r="K84" s="36">
        <v>172323308</v>
      </c>
      <c r="L84" s="36">
        <v>152058520</v>
      </c>
      <c r="M84" s="36">
        <v>131071894</v>
      </c>
      <c r="N84" s="36">
        <v>109294542</v>
      </c>
      <c r="O84" s="36">
        <v>87899053</v>
      </c>
      <c r="P84" s="36">
        <v>66503564</v>
      </c>
      <c r="Q84" s="36">
        <v>45255468</v>
      </c>
      <c r="R84" s="36">
        <v>23712587</v>
      </c>
      <c r="S84" s="36">
        <v>3808581</v>
      </c>
      <c r="T84" s="6"/>
      <c r="U84" s="6"/>
      <c r="V84" s="6"/>
      <c r="W84" s="106"/>
    </row>
    <row r="85" spans="1:23" ht="12.75">
      <c r="A85" s="151" t="s">
        <v>74</v>
      </c>
      <c r="B85" s="83">
        <v>37418</v>
      </c>
      <c r="C85" s="6" t="s">
        <v>58</v>
      </c>
      <c r="D85" s="58">
        <f>SUM(I85:S85)</f>
        <v>6840000000</v>
      </c>
      <c r="E85" s="63"/>
      <c r="F85" s="62" t="s">
        <v>26</v>
      </c>
      <c r="G85" s="63"/>
      <c r="H85" s="63"/>
      <c r="I85" s="63"/>
      <c r="J85" s="63"/>
      <c r="K85" s="63"/>
      <c r="L85" s="63"/>
      <c r="M85" s="62"/>
      <c r="N85" s="63"/>
      <c r="O85" s="63"/>
      <c r="P85" s="63"/>
      <c r="Q85" s="63"/>
      <c r="R85" s="63"/>
      <c r="S85" s="63">
        <v>6840000000</v>
      </c>
      <c r="T85" s="62"/>
      <c r="U85" s="62"/>
      <c r="V85" s="62"/>
      <c r="W85" s="139"/>
    </row>
    <row r="86" spans="1:23" ht="12.75">
      <c r="A86" s="137"/>
      <c r="B86" s="6"/>
      <c r="C86" s="6"/>
      <c r="D86" s="6"/>
      <c r="E86" s="36">
        <f>SUM(G86:S86)</f>
        <v>7382919999.620001</v>
      </c>
      <c r="F86" s="6" t="s">
        <v>27</v>
      </c>
      <c r="G86" s="36">
        <v>207705000</v>
      </c>
      <c r="H86" s="36">
        <v>614822222.2</v>
      </c>
      <c r="I86" s="36">
        <v>616506666.6</v>
      </c>
      <c r="J86" s="36">
        <v>614822222.2</v>
      </c>
      <c r="K86" s="36">
        <v>614822222.2</v>
      </c>
      <c r="L86" s="36">
        <v>614822222.2</v>
      </c>
      <c r="M86" s="36">
        <v>616506666.6</v>
      </c>
      <c r="N86" s="36">
        <v>614822222.2</v>
      </c>
      <c r="O86" s="36">
        <v>614822222.2</v>
      </c>
      <c r="P86" s="36">
        <v>614822222.2</v>
      </c>
      <c r="Q86" s="36">
        <v>616506666.6</v>
      </c>
      <c r="R86" s="36">
        <v>614822222.2</v>
      </c>
      <c r="S86" s="36">
        <v>407117222.22</v>
      </c>
      <c r="T86" s="6"/>
      <c r="U86" s="6"/>
      <c r="V86" s="6"/>
      <c r="W86" s="106"/>
    </row>
    <row r="87" spans="1:23" ht="12.75">
      <c r="A87" s="160" t="s">
        <v>80</v>
      </c>
      <c r="B87" s="7">
        <v>37502</v>
      </c>
      <c r="C87" s="6" t="s">
        <v>58</v>
      </c>
      <c r="D87" s="58">
        <f>SUM(I87:S87)</f>
        <v>1500000000</v>
      </c>
      <c r="E87" s="36"/>
      <c r="F87" s="62" t="s">
        <v>26</v>
      </c>
      <c r="G87" s="36"/>
      <c r="H87" s="227"/>
      <c r="I87" s="227"/>
      <c r="J87" s="228">
        <v>104000000</v>
      </c>
      <c r="K87" s="228">
        <v>208000000</v>
      </c>
      <c r="L87" s="228">
        <v>208000000</v>
      </c>
      <c r="M87" s="228">
        <v>208000000</v>
      </c>
      <c r="N87" s="228">
        <v>208000000</v>
      </c>
      <c r="O87" s="228">
        <v>208000000</v>
      </c>
      <c r="P87" s="228">
        <v>208000000</v>
      </c>
      <c r="Q87" s="228">
        <v>148000000</v>
      </c>
      <c r="R87" s="36"/>
      <c r="S87" s="36"/>
      <c r="T87" s="6"/>
      <c r="U87" s="6"/>
      <c r="V87" s="6"/>
      <c r="W87" s="6"/>
    </row>
    <row r="88" spans="1:23" ht="13.5" thickBot="1">
      <c r="A88" s="168"/>
      <c r="B88" s="14"/>
      <c r="C88" s="14"/>
      <c r="D88" s="14"/>
      <c r="E88" s="36">
        <f>SUM(G88:S88)</f>
        <v>812938000</v>
      </c>
      <c r="F88" s="14" t="s">
        <v>27</v>
      </c>
      <c r="G88" s="74"/>
      <c r="H88" s="228">
        <v>150979000</v>
      </c>
      <c r="I88" s="228">
        <v>130226000</v>
      </c>
      <c r="J88" s="228">
        <v>129747000</v>
      </c>
      <c r="K88" s="228">
        <v>114120000</v>
      </c>
      <c r="L88" s="228">
        <v>94914000</v>
      </c>
      <c r="M88" s="228">
        <v>75923000</v>
      </c>
      <c r="N88" s="228">
        <v>56504000</v>
      </c>
      <c r="O88" s="228">
        <v>37299000</v>
      </c>
      <c r="P88" s="228">
        <v>18508000</v>
      </c>
      <c r="Q88" s="228">
        <v>4718000</v>
      </c>
      <c r="R88" s="37"/>
      <c r="S88" s="37"/>
      <c r="T88" s="14"/>
      <c r="U88" s="14"/>
      <c r="V88" s="14"/>
      <c r="W88" s="14"/>
    </row>
    <row r="89" spans="1:26" s="2" customFormat="1" ht="14.25" thickBot="1" thickTop="1">
      <c r="A89" s="138" t="s">
        <v>7</v>
      </c>
      <c r="B89" s="30"/>
      <c r="C89" s="30"/>
      <c r="D89" s="39">
        <f>SUM(D65:D88)</f>
        <v>38745140000</v>
      </c>
      <c r="E89" s="39">
        <f>SUM(E65:E88)</f>
        <v>20363537321.68641</v>
      </c>
      <c r="F89" s="39"/>
      <c r="G89" s="39">
        <f>SUM(G65:G88)</f>
        <v>3718877042.545</v>
      </c>
      <c r="H89" s="39">
        <f>SUM(H65:H88)</f>
        <v>3550689585.8939095</v>
      </c>
      <c r="I89" s="39">
        <f aca="true" t="shared" si="2" ref="I89:W89">SUM(I65:I88)</f>
        <v>4513413040.4375</v>
      </c>
      <c r="J89" s="39">
        <f t="shared" si="2"/>
        <v>4951187843.7225</v>
      </c>
      <c r="K89" s="39">
        <f t="shared" si="2"/>
        <v>4734705121.9375</v>
      </c>
      <c r="L89" s="39">
        <f t="shared" si="2"/>
        <v>13341524548.6775</v>
      </c>
      <c r="M89" s="39">
        <f t="shared" si="2"/>
        <v>3721776266.2574997</v>
      </c>
      <c r="N89" s="39">
        <f t="shared" si="2"/>
        <v>3529363000.1575003</v>
      </c>
      <c r="O89" s="39">
        <f t="shared" si="2"/>
        <v>3339952725.8975</v>
      </c>
      <c r="P89" s="39">
        <f t="shared" si="2"/>
        <v>2571637121.0775003</v>
      </c>
      <c r="Q89" s="39">
        <f t="shared" si="2"/>
        <v>1811880551.4375</v>
      </c>
      <c r="R89" s="39">
        <f t="shared" si="2"/>
        <v>1601060151.8875</v>
      </c>
      <c r="S89" s="39">
        <f t="shared" si="2"/>
        <v>7722610321.757501</v>
      </c>
      <c r="T89" s="39">
        <f t="shared" si="2"/>
        <v>0</v>
      </c>
      <c r="U89" s="39">
        <f t="shared" si="2"/>
        <v>0</v>
      </c>
      <c r="V89" s="39">
        <f t="shared" si="2"/>
        <v>0</v>
      </c>
      <c r="W89" s="39">
        <f t="shared" si="2"/>
        <v>0</v>
      </c>
      <c r="X89" s="156"/>
      <c r="Y89" s="157"/>
      <c r="Z89" s="157"/>
    </row>
    <row r="90" spans="1:26" s="1" customFormat="1" ht="12.75">
      <c r="A90" s="17" t="s">
        <v>17</v>
      </c>
      <c r="B90" s="18" t="s">
        <v>18</v>
      </c>
      <c r="C90" s="19" t="s">
        <v>21</v>
      </c>
      <c r="D90" s="18" t="s">
        <v>38</v>
      </c>
      <c r="E90" s="20"/>
      <c r="F90" s="18"/>
      <c r="G90" s="4"/>
      <c r="H90" s="4"/>
      <c r="I90" s="4" t="s">
        <v>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8"/>
    </row>
    <row r="91" spans="1:26" s="1" customFormat="1" ht="12.75">
      <c r="A91" s="22"/>
      <c r="B91" s="3" t="s">
        <v>19</v>
      </c>
      <c r="C91" s="8"/>
      <c r="D91" s="10" t="s">
        <v>25</v>
      </c>
      <c r="E91" s="11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12"/>
    </row>
    <row r="92" spans="1:23" s="1" customFormat="1" ht="13.5" thickBot="1">
      <c r="A92" s="170"/>
      <c r="B92" s="169" t="s">
        <v>20</v>
      </c>
      <c r="C92" s="171"/>
      <c r="D92" s="144" t="s">
        <v>26</v>
      </c>
      <c r="E92" s="144" t="s">
        <v>27</v>
      </c>
      <c r="F92" s="171"/>
      <c r="G92" s="80">
        <v>2002</v>
      </c>
      <c r="H92" s="80">
        <v>2003</v>
      </c>
      <c r="I92" s="80">
        <v>2004</v>
      </c>
      <c r="J92" s="80">
        <v>2005</v>
      </c>
      <c r="K92" s="80">
        <v>2006</v>
      </c>
      <c r="L92" s="80">
        <v>2007</v>
      </c>
      <c r="M92" s="80">
        <v>2008</v>
      </c>
      <c r="N92" s="80">
        <v>2009</v>
      </c>
      <c r="O92" s="80">
        <v>2010</v>
      </c>
      <c r="P92" s="80">
        <v>2011</v>
      </c>
      <c r="Q92" s="80">
        <v>2012</v>
      </c>
      <c r="R92" s="80">
        <v>2013</v>
      </c>
      <c r="S92" s="91">
        <v>2014</v>
      </c>
      <c r="T92" s="91">
        <v>2015</v>
      </c>
      <c r="U92" s="91">
        <v>2016</v>
      </c>
      <c r="V92" s="91">
        <v>2017</v>
      </c>
      <c r="W92" s="172">
        <v>2018</v>
      </c>
    </row>
    <row r="93" spans="1:26" ht="13.5" thickTop="1">
      <c r="A93" s="135" t="s">
        <v>63</v>
      </c>
      <c r="B93" s="15"/>
      <c r="C93" s="15"/>
      <c r="D93" s="15"/>
      <c r="E93" s="15"/>
      <c r="F93" s="1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90"/>
      <c r="T93" s="62"/>
      <c r="U93" s="62"/>
      <c r="V93" s="62"/>
      <c r="W93" s="27"/>
      <c r="X93" s="9"/>
      <c r="Y93" s="9"/>
      <c r="Z93" s="9"/>
    </row>
    <row r="94" spans="1:26" ht="12.75">
      <c r="A94" s="152" t="s">
        <v>49</v>
      </c>
      <c r="B94" s="7">
        <v>36882</v>
      </c>
      <c r="C94" s="6" t="s">
        <v>24</v>
      </c>
      <c r="D94" s="36">
        <f>SUM(I94:S94)</f>
        <v>1965285000</v>
      </c>
      <c r="E94" s="36"/>
      <c r="F94" s="6" t="s">
        <v>26</v>
      </c>
      <c r="G94" s="5"/>
      <c r="H94" s="5"/>
      <c r="I94" s="36">
        <f>2250000*B197</f>
        <v>98264250</v>
      </c>
      <c r="J94" s="36">
        <f>4500000*B197</f>
        <v>196528500</v>
      </c>
      <c r="K94" s="36">
        <f>4500000*B197</f>
        <v>196528500</v>
      </c>
      <c r="L94" s="36">
        <f>4500000*B197</f>
        <v>196528500</v>
      </c>
      <c r="M94" s="36">
        <f>4500000*B197</f>
        <v>196528500</v>
      </c>
      <c r="N94" s="36">
        <f>4500000*B197</f>
        <v>196528500</v>
      </c>
      <c r="O94" s="36">
        <f>4500000*B197</f>
        <v>196528500</v>
      </c>
      <c r="P94" s="36">
        <f>4500000*B197</f>
        <v>196528500</v>
      </c>
      <c r="Q94" s="36">
        <f>4500000*B197</f>
        <v>196528500</v>
      </c>
      <c r="R94" s="36">
        <f>4500000*B197</f>
        <v>196528500</v>
      </c>
      <c r="S94" s="36">
        <f>2250000*B197</f>
        <v>98264250</v>
      </c>
      <c r="T94" s="6"/>
      <c r="U94" s="6"/>
      <c r="V94" s="6"/>
      <c r="W94" s="6"/>
      <c r="X94" s="6"/>
      <c r="Y94" s="6"/>
      <c r="Z94" s="6"/>
    </row>
    <row r="95" spans="1:26" ht="12.75">
      <c r="A95" s="158" t="s">
        <v>64</v>
      </c>
      <c r="B95" s="6"/>
      <c r="C95" s="6"/>
      <c r="D95" s="6"/>
      <c r="E95" s="36">
        <f>SUM(G95:S95)</f>
        <v>1059442562.325</v>
      </c>
      <c r="F95" s="6" t="s">
        <v>27</v>
      </c>
      <c r="G95" s="36">
        <f>1190250*B197</f>
        <v>51981788.25</v>
      </c>
      <c r="H95" s="36">
        <f>2380500*B197</f>
        <v>103963576.5</v>
      </c>
      <c r="I95" s="36">
        <f>2380500*B197</f>
        <v>103963576.5</v>
      </c>
      <c r="J95" s="36">
        <f>2201962.5*B197</f>
        <v>96166308.2625</v>
      </c>
      <c r="K95" s="69">
        <f>1963912.5*B197</f>
        <v>85769950.6125</v>
      </c>
      <c r="L95" s="36">
        <f>1725862.5*B197</f>
        <v>75373592.9625</v>
      </c>
      <c r="M95" s="36">
        <f>1487712.5*B197</f>
        <v>64972868.0125</v>
      </c>
      <c r="N95" s="36">
        <f>1249762.5*B197</f>
        <v>54580877.6625</v>
      </c>
      <c r="O95" s="36">
        <f>1011712.5*B197</f>
        <v>44184520.0125</v>
      </c>
      <c r="P95" s="36">
        <f>7773662.5*B197</f>
        <v>339499162.3625</v>
      </c>
      <c r="Q95" s="36">
        <f>535612.5*B197</f>
        <v>23391804.712500002</v>
      </c>
      <c r="R95" s="36">
        <f>297562.5*B197</f>
        <v>12995447.0625</v>
      </c>
      <c r="S95" s="36">
        <f>59512.5*B197</f>
        <v>2599089.4125</v>
      </c>
      <c r="T95" s="6"/>
      <c r="U95" s="6"/>
      <c r="V95" s="6"/>
      <c r="W95" s="6"/>
      <c r="X95" s="6"/>
      <c r="Y95" s="6"/>
      <c r="Z95" s="6"/>
    </row>
    <row r="96" spans="1:26" ht="12.75">
      <c r="A96" s="151" t="s">
        <v>65</v>
      </c>
      <c r="B96" s="7">
        <v>37046</v>
      </c>
      <c r="C96" s="6" t="s">
        <v>58</v>
      </c>
      <c r="D96" s="58">
        <f>SUM(I96:S96)</f>
        <v>2000000000</v>
      </c>
      <c r="E96" s="36"/>
      <c r="F96" s="6" t="s">
        <v>26</v>
      </c>
      <c r="G96" s="36"/>
      <c r="H96" s="36"/>
      <c r="I96" s="36">
        <v>285714000</v>
      </c>
      <c r="J96" s="36">
        <v>285714000</v>
      </c>
      <c r="K96" s="36">
        <v>285714000</v>
      </c>
      <c r="L96" s="36">
        <v>285714000</v>
      </c>
      <c r="M96" s="36">
        <v>285714000</v>
      </c>
      <c r="N96" s="36">
        <v>285714000</v>
      </c>
      <c r="O96" s="36">
        <v>285716000</v>
      </c>
      <c r="P96" s="36"/>
      <c r="Q96" s="36"/>
      <c r="R96" s="36"/>
      <c r="S96" s="36"/>
      <c r="T96" s="6"/>
      <c r="U96" s="6"/>
      <c r="V96" s="6"/>
      <c r="W96" s="6"/>
      <c r="X96" s="6"/>
      <c r="Y96" s="6"/>
      <c r="Z96" s="6"/>
    </row>
    <row r="97" spans="1:26" ht="12.75">
      <c r="A97" s="159" t="s">
        <v>75</v>
      </c>
      <c r="B97" s="43"/>
      <c r="C97" s="43"/>
      <c r="D97" s="146"/>
      <c r="E97" s="44">
        <f>SUM(G97:S97)</f>
        <v>887830187</v>
      </c>
      <c r="F97" s="43" t="s">
        <v>27</v>
      </c>
      <c r="G97" s="36">
        <v>89444444.42</v>
      </c>
      <c r="H97" s="36">
        <v>177430555.51</v>
      </c>
      <c r="I97" s="36">
        <v>165138899.7</v>
      </c>
      <c r="J97" s="36">
        <v>139305513.56</v>
      </c>
      <c r="K97" s="36">
        <v>113958396.78</v>
      </c>
      <c r="L97" s="36">
        <v>88609190.3</v>
      </c>
      <c r="M97" s="36">
        <v>63477359.34</v>
      </c>
      <c r="N97" s="36">
        <v>37916306.15</v>
      </c>
      <c r="O97" s="36">
        <v>12549521.24</v>
      </c>
      <c r="P97" s="36"/>
      <c r="Q97" s="36"/>
      <c r="R97" s="36"/>
      <c r="S97" s="36"/>
      <c r="T97" s="6"/>
      <c r="U97" s="6"/>
      <c r="V97" s="6"/>
      <c r="W97" s="6"/>
      <c r="X97" s="6"/>
      <c r="Y97" s="6"/>
      <c r="Z97" s="6"/>
    </row>
    <row r="98" spans="1:26" ht="12.75">
      <c r="A98" s="160" t="s">
        <v>66</v>
      </c>
      <c r="B98" s="7">
        <v>37428</v>
      </c>
      <c r="C98" s="6" t="s">
        <v>58</v>
      </c>
      <c r="D98" s="58">
        <f>SUM(I98:S98)</f>
        <v>3000000000</v>
      </c>
      <c r="E98" s="36"/>
      <c r="F98" s="6" t="s">
        <v>26</v>
      </c>
      <c r="G98" s="6"/>
      <c r="H98" s="6"/>
      <c r="I98" s="6"/>
      <c r="J98" s="36">
        <v>562500000</v>
      </c>
      <c r="K98" s="36">
        <v>750000000</v>
      </c>
      <c r="L98" s="36">
        <v>1687500000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3.5" thickBot="1">
      <c r="A99" s="147"/>
      <c r="B99" s="14"/>
      <c r="C99" s="14"/>
      <c r="D99" s="14"/>
      <c r="E99" s="37">
        <f>SUM(G99:T99)</f>
        <v>1172429208.34</v>
      </c>
      <c r="F99" s="14" t="s">
        <v>27</v>
      </c>
      <c r="G99" s="37">
        <v>109692333.34</v>
      </c>
      <c r="H99" s="37">
        <v>269795833.33</v>
      </c>
      <c r="I99" s="37">
        <v>270535000</v>
      </c>
      <c r="J99" s="37">
        <v>257137604.16</v>
      </c>
      <c r="K99" s="37">
        <v>193846458.34</v>
      </c>
      <c r="L99" s="37">
        <v>71421979.17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thickBot="1" thickTop="1">
      <c r="A100" s="138" t="s">
        <v>7</v>
      </c>
      <c r="B100" s="148"/>
      <c r="C100" s="101"/>
      <c r="D100" s="39">
        <f>SUM(D94:D99)</f>
        <v>6965285000</v>
      </c>
      <c r="E100" s="39">
        <f>SUM(E94:E99)</f>
        <v>3119701957.665</v>
      </c>
      <c r="F100" s="101"/>
      <c r="G100" s="39">
        <f>SUM(G94:G99)</f>
        <v>251118566.01000002</v>
      </c>
      <c r="H100" s="39">
        <f>SUM(H94:H99)</f>
        <v>551189965.3399999</v>
      </c>
      <c r="I100" s="39">
        <f aca="true" t="shared" si="3" ref="I100:Z100">SUM(I94:I99)</f>
        <v>923615726.2</v>
      </c>
      <c r="J100" s="39">
        <f t="shared" si="3"/>
        <v>1537351925.9825</v>
      </c>
      <c r="K100" s="39">
        <f t="shared" si="3"/>
        <v>1625817305.7324998</v>
      </c>
      <c r="L100" s="39">
        <f t="shared" si="3"/>
        <v>2405147262.4325</v>
      </c>
      <c r="M100" s="39">
        <f t="shared" si="3"/>
        <v>610692727.3525001</v>
      </c>
      <c r="N100" s="39">
        <f t="shared" si="3"/>
        <v>574739683.8125</v>
      </c>
      <c r="O100" s="39">
        <f t="shared" si="3"/>
        <v>538978541.2524999</v>
      </c>
      <c r="P100" s="39">
        <f t="shared" si="3"/>
        <v>536027662.3625</v>
      </c>
      <c r="Q100" s="39">
        <f t="shared" si="3"/>
        <v>219920304.7125</v>
      </c>
      <c r="R100" s="39">
        <f t="shared" si="3"/>
        <v>209523947.0625</v>
      </c>
      <c r="S100" s="39">
        <f t="shared" si="3"/>
        <v>100863339.4125</v>
      </c>
      <c r="T100" s="39">
        <f t="shared" si="3"/>
        <v>0</v>
      </c>
      <c r="U100" s="39">
        <f t="shared" si="3"/>
        <v>0</v>
      </c>
      <c r="V100" s="39">
        <f t="shared" si="3"/>
        <v>0</v>
      </c>
      <c r="W100" s="39">
        <f t="shared" si="3"/>
        <v>0</v>
      </c>
      <c r="X100" s="39">
        <f t="shared" si="3"/>
        <v>0</v>
      </c>
      <c r="Y100" s="39">
        <f t="shared" si="3"/>
        <v>0</v>
      </c>
      <c r="Z100" s="39">
        <f t="shared" si="3"/>
        <v>0</v>
      </c>
    </row>
    <row r="101" spans="1:26" ht="13.5" thickBot="1">
      <c r="A101" s="154"/>
      <c r="B101" s="27"/>
      <c r="C101" s="62"/>
      <c r="D101" s="76"/>
      <c r="E101" s="73"/>
      <c r="F101" s="6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8"/>
      <c r="T101" s="59"/>
      <c r="U101" s="59"/>
      <c r="V101" s="155"/>
      <c r="W101" s="34"/>
      <c r="X101" s="34"/>
      <c r="Y101" s="34"/>
      <c r="Z101" s="34"/>
    </row>
    <row r="102" spans="1:26" s="1" customFormat="1" ht="12.75">
      <c r="A102" s="17" t="s">
        <v>17</v>
      </c>
      <c r="B102" s="18" t="s">
        <v>18</v>
      </c>
      <c r="C102" s="19" t="s">
        <v>21</v>
      </c>
      <c r="D102" s="18" t="s">
        <v>38</v>
      </c>
      <c r="E102" s="20"/>
      <c r="F102" s="19"/>
      <c r="G102" s="21"/>
      <c r="H102" s="21"/>
      <c r="I102" s="21" t="s">
        <v>36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4"/>
      <c r="U102" s="4"/>
      <c r="V102" s="4"/>
      <c r="W102" s="4"/>
      <c r="X102" s="4"/>
      <c r="Y102" s="4"/>
      <c r="Z102" s="4"/>
    </row>
    <row r="103" spans="1:26" s="1" customFormat="1" ht="12.75">
      <c r="A103" s="22"/>
      <c r="B103" s="3" t="s">
        <v>19</v>
      </c>
      <c r="C103" s="8"/>
      <c r="D103" s="10" t="s">
        <v>25</v>
      </c>
      <c r="E103" s="11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1" customFormat="1" ht="13.5" thickBot="1">
      <c r="A104" s="170"/>
      <c r="B104" s="169" t="s">
        <v>20</v>
      </c>
      <c r="C104" s="171"/>
      <c r="D104" s="144" t="s">
        <v>26</v>
      </c>
      <c r="E104" s="144" t="s">
        <v>27</v>
      </c>
      <c r="F104" s="171"/>
      <c r="G104" s="80">
        <v>2002</v>
      </c>
      <c r="H104" s="80">
        <v>2003</v>
      </c>
      <c r="I104" s="80">
        <v>2004</v>
      </c>
      <c r="J104" s="80">
        <v>2005</v>
      </c>
      <c r="K104" s="80">
        <v>2006</v>
      </c>
      <c r="L104" s="80">
        <v>2007</v>
      </c>
      <c r="M104" s="80">
        <v>2008</v>
      </c>
      <c r="N104" s="80">
        <v>2009</v>
      </c>
      <c r="O104" s="80">
        <v>2010</v>
      </c>
      <c r="P104" s="80">
        <v>2011</v>
      </c>
      <c r="Q104" s="80">
        <v>2012</v>
      </c>
      <c r="R104" s="80">
        <v>2013</v>
      </c>
      <c r="S104" s="91">
        <v>2014</v>
      </c>
      <c r="T104" s="91">
        <v>2015</v>
      </c>
      <c r="U104" s="91">
        <v>2016</v>
      </c>
      <c r="V104" s="91">
        <v>2017</v>
      </c>
      <c r="W104" s="172">
        <v>2018</v>
      </c>
      <c r="X104" s="176">
        <v>2019</v>
      </c>
      <c r="Y104" s="80">
        <v>2020</v>
      </c>
      <c r="Z104" s="80">
        <v>2021</v>
      </c>
    </row>
    <row r="105" spans="1:26" ht="13.5" thickTop="1">
      <c r="A105" s="145" t="s">
        <v>50</v>
      </c>
      <c r="B105" s="9"/>
      <c r="C105" s="15"/>
      <c r="D105" s="15"/>
      <c r="E105" s="94"/>
      <c r="F105" s="15"/>
      <c r="G105" s="1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9"/>
      <c r="U105" s="9"/>
      <c r="V105" s="9"/>
      <c r="W105" s="9"/>
      <c r="X105" s="9"/>
      <c r="Y105" s="9"/>
      <c r="Z105" s="9"/>
    </row>
    <row r="106" spans="1:26" ht="12.75">
      <c r="A106" s="24"/>
      <c r="B106" s="64">
        <v>36999</v>
      </c>
      <c r="C106" s="6" t="s">
        <v>58</v>
      </c>
      <c r="D106" s="36">
        <f>SUM(G106:S106)</f>
        <v>600000000</v>
      </c>
      <c r="E106" s="15"/>
      <c r="F106" s="6" t="s">
        <v>26</v>
      </c>
      <c r="G106" s="95">
        <v>600000000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6"/>
      <c r="U106" s="6"/>
      <c r="V106" s="6"/>
      <c r="W106" s="6"/>
      <c r="X106" s="6"/>
      <c r="Y106" s="6"/>
      <c r="Z106" s="6"/>
    </row>
    <row r="107" spans="1:26" ht="12.75">
      <c r="A107" s="6"/>
      <c r="B107" s="6"/>
      <c r="C107" s="6"/>
      <c r="D107" s="6"/>
      <c r="E107" s="36">
        <f>SUM(G107:S107)</f>
        <v>51000000</v>
      </c>
      <c r="F107" s="6" t="s">
        <v>27</v>
      </c>
      <c r="G107" s="140">
        <v>51000000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6"/>
      <c r="U107" s="6"/>
      <c r="V107" s="6"/>
      <c r="W107" s="6"/>
      <c r="X107" s="6"/>
      <c r="Y107" s="6"/>
      <c r="Z107" s="6"/>
    </row>
    <row r="108" spans="1:26" ht="12.75">
      <c r="A108" s="51" t="s">
        <v>61</v>
      </c>
      <c r="B108" s="64">
        <v>37235</v>
      </c>
      <c r="C108" s="9" t="s">
        <v>24</v>
      </c>
      <c r="D108" s="35">
        <f>SUM(G108:Z108)</f>
        <v>1965285000</v>
      </c>
      <c r="E108" s="35"/>
      <c r="F108" s="9" t="s">
        <v>26</v>
      </c>
      <c r="G108" s="95"/>
      <c r="H108" s="35"/>
      <c r="I108" s="63"/>
      <c r="J108" s="63"/>
      <c r="K108" s="63"/>
      <c r="L108" s="143">
        <f>2997000*B197</f>
        <v>130887981</v>
      </c>
      <c r="M108" s="143">
        <f>2997000*B197</f>
        <v>130887981</v>
      </c>
      <c r="N108" s="143">
        <f>2997000*B197</f>
        <v>130887981</v>
      </c>
      <c r="O108" s="143">
        <f>2997000*B197</f>
        <v>130887981</v>
      </c>
      <c r="P108" s="143">
        <f>2997000*B197</f>
        <v>130887981</v>
      </c>
      <c r="Q108" s="143">
        <f>2997000*B197</f>
        <v>130887981</v>
      </c>
      <c r="R108" s="143">
        <f>2997000*B197</f>
        <v>130887981</v>
      </c>
      <c r="S108" s="143">
        <f>2997000*B197</f>
        <v>130887981</v>
      </c>
      <c r="T108" s="143">
        <f>2997000*B197</f>
        <v>130887981</v>
      </c>
      <c r="U108" s="143">
        <f>2997000*B197</f>
        <v>130887981</v>
      </c>
      <c r="V108" s="143">
        <f>2997000*B197</f>
        <v>130887981</v>
      </c>
      <c r="W108" s="69">
        <f>2997000*B197</f>
        <v>130887981</v>
      </c>
      <c r="X108" s="69">
        <f>2997000*B197</f>
        <v>130887981</v>
      </c>
      <c r="Y108" s="69">
        <f>2997000*B197</f>
        <v>130887981</v>
      </c>
      <c r="Z108" s="69">
        <f>3042000*B197</f>
        <v>132853266</v>
      </c>
    </row>
    <row r="109" spans="1:26" ht="12.75">
      <c r="A109" s="6"/>
      <c r="B109" s="6"/>
      <c r="C109" s="6"/>
      <c r="D109" s="6"/>
      <c r="E109" s="36">
        <f>SUM(H109:Z109)</f>
        <v>1415712702.6</v>
      </c>
      <c r="F109" s="6" t="s">
        <v>27</v>
      </c>
      <c r="G109" s="140"/>
      <c r="H109" s="69">
        <f>2700000*B197</f>
        <v>117917100</v>
      </c>
      <c r="I109" s="69">
        <f>2700000*B197</f>
        <v>117917100</v>
      </c>
      <c r="J109" s="69">
        <f>2700000*B197</f>
        <v>117917100</v>
      </c>
      <c r="K109" s="69">
        <f>2700000*B197</f>
        <v>117917100</v>
      </c>
      <c r="L109" s="69">
        <f>2700000*B197</f>
        <v>117917100</v>
      </c>
      <c r="M109" s="69">
        <f>2520180*B197</f>
        <v>110063821.14</v>
      </c>
      <c r="N109" s="69">
        <f>2340360*B197</f>
        <v>102210542.28</v>
      </c>
      <c r="O109" s="69">
        <f>2160540*B197</f>
        <v>94357263.42</v>
      </c>
      <c r="P109" s="69">
        <f>1980720*B197</f>
        <v>86503984.56</v>
      </c>
      <c r="Q109" s="69">
        <f>1800900*B197</f>
        <v>78650705.7</v>
      </c>
      <c r="R109" s="69">
        <f>1621080*B197</f>
        <v>70797426.84</v>
      </c>
      <c r="S109" s="69">
        <f>1441260*B197</f>
        <v>62944147.980000004</v>
      </c>
      <c r="T109" s="69">
        <f>1261440*B197</f>
        <v>55090869.120000005</v>
      </c>
      <c r="U109" s="69">
        <f>1081620*B197</f>
        <v>47237590.260000005</v>
      </c>
      <c r="V109" s="69">
        <f>901800*B197</f>
        <v>39384311.4</v>
      </c>
      <c r="W109" s="69">
        <f>721980*B197</f>
        <v>31531032.540000003</v>
      </c>
      <c r="X109" s="69">
        <f>542160*B197</f>
        <v>23677753.68</v>
      </c>
      <c r="Y109" s="69">
        <f>362340*B197</f>
        <v>15824474.82</v>
      </c>
      <c r="Z109" s="69">
        <f>179820*B197</f>
        <v>7853278.86</v>
      </c>
    </row>
    <row r="110" spans="1:26" ht="12.75">
      <c r="A110" s="6" t="s">
        <v>61</v>
      </c>
      <c r="B110" s="7">
        <v>37316</v>
      </c>
      <c r="C110" s="6" t="s">
        <v>58</v>
      </c>
      <c r="D110" s="35">
        <f>SUM(G110:Z110)</f>
        <v>412000000</v>
      </c>
      <c r="E110" s="36"/>
      <c r="F110" s="6" t="s">
        <v>26</v>
      </c>
      <c r="G110" s="140"/>
      <c r="H110" s="69">
        <v>41200000</v>
      </c>
      <c r="I110" s="69">
        <v>41200000</v>
      </c>
      <c r="J110" s="69">
        <v>41200000</v>
      </c>
      <c r="K110" s="69">
        <v>41200000</v>
      </c>
      <c r="L110" s="69">
        <v>41200000</v>
      </c>
      <c r="M110" s="69">
        <v>41200000</v>
      </c>
      <c r="N110" s="69">
        <v>41200000</v>
      </c>
      <c r="O110" s="69">
        <v>41200000</v>
      </c>
      <c r="P110" s="69">
        <v>41200000</v>
      </c>
      <c r="Q110" s="69">
        <v>41200000</v>
      </c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3.5" thickBot="1">
      <c r="A111" s="61"/>
      <c r="B111" s="62"/>
      <c r="C111" s="62"/>
      <c r="D111" s="62"/>
      <c r="E111" s="36">
        <f>SUM(G111:Z111)</f>
        <v>177730000</v>
      </c>
      <c r="F111" s="13" t="s">
        <v>27</v>
      </c>
      <c r="G111" s="142">
        <v>15050000</v>
      </c>
      <c r="H111" s="174">
        <v>26330000</v>
      </c>
      <c r="I111" s="174">
        <v>30090000</v>
      </c>
      <c r="J111" s="174">
        <v>26330000</v>
      </c>
      <c r="K111" s="174">
        <v>22570000</v>
      </c>
      <c r="L111" s="174">
        <v>18810000</v>
      </c>
      <c r="M111" s="174">
        <v>15050000</v>
      </c>
      <c r="N111" s="174">
        <v>11280000</v>
      </c>
      <c r="O111" s="174">
        <v>7520000</v>
      </c>
      <c r="P111" s="174">
        <v>3760000</v>
      </c>
      <c r="Q111" s="174">
        <v>940000</v>
      </c>
      <c r="R111" s="174"/>
      <c r="S111" s="174"/>
      <c r="T111" s="174"/>
      <c r="U111" s="174"/>
      <c r="V111" s="174"/>
      <c r="W111" s="175"/>
      <c r="X111" s="174"/>
      <c r="Y111" s="174"/>
      <c r="Z111" s="175"/>
    </row>
    <row r="112" spans="1:26" s="2" customFormat="1" ht="14.25" thickBot="1" thickTop="1">
      <c r="A112" s="26" t="s">
        <v>7</v>
      </c>
      <c r="B112" s="16"/>
      <c r="C112" s="16"/>
      <c r="D112" s="38">
        <f>SUM(D106:D111)</f>
        <v>2977285000</v>
      </c>
      <c r="E112" s="38">
        <f>SUM(E106:E111)</f>
        <v>1644442702.6</v>
      </c>
      <c r="F112" s="16"/>
      <c r="G112" s="38">
        <f aca="true" t="shared" si="4" ref="G112:Y112">SUM(G106:G111)</f>
        <v>666050000</v>
      </c>
      <c r="H112" s="38">
        <f t="shared" si="4"/>
        <v>185447100</v>
      </c>
      <c r="I112" s="38">
        <f t="shared" si="4"/>
        <v>189207100</v>
      </c>
      <c r="J112" s="38">
        <f t="shared" si="4"/>
        <v>185447100</v>
      </c>
      <c r="K112" s="38">
        <f t="shared" si="4"/>
        <v>181687100</v>
      </c>
      <c r="L112" s="38">
        <f t="shared" si="4"/>
        <v>308815081</v>
      </c>
      <c r="M112" s="38">
        <f t="shared" si="4"/>
        <v>297201802.14</v>
      </c>
      <c r="N112" s="38">
        <f t="shared" si="4"/>
        <v>285578523.28</v>
      </c>
      <c r="O112" s="38">
        <f t="shared" si="4"/>
        <v>273965244.42</v>
      </c>
      <c r="P112" s="38">
        <f t="shared" si="4"/>
        <v>262351965.56</v>
      </c>
      <c r="Q112" s="38">
        <f t="shared" si="4"/>
        <v>251678686.7</v>
      </c>
      <c r="R112" s="38">
        <f t="shared" si="4"/>
        <v>201685407.84</v>
      </c>
      <c r="S112" s="38">
        <f t="shared" si="4"/>
        <v>193832128.98000002</v>
      </c>
      <c r="T112" s="38">
        <f t="shared" si="4"/>
        <v>185978850.12</v>
      </c>
      <c r="U112" s="38">
        <f t="shared" si="4"/>
        <v>178125571.26</v>
      </c>
      <c r="V112" s="38">
        <f t="shared" si="4"/>
        <v>170272292.4</v>
      </c>
      <c r="W112" s="38">
        <f t="shared" si="4"/>
        <v>162419013.54</v>
      </c>
      <c r="X112" s="38">
        <f t="shared" si="4"/>
        <v>154565734.68</v>
      </c>
      <c r="Y112" s="38">
        <f t="shared" si="4"/>
        <v>146712455.82</v>
      </c>
      <c r="Z112" s="38">
        <f>SUM(Z106:Z111)</f>
        <v>140706544.86</v>
      </c>
    </row>
    <row r="113" spans="1:23" s="2" customFormat="1" ht="13.5" thickBot="1">
      <c r="A113" s="112"/>
      <c r="B113" s="96"/>
      <c r="C113" s="96"/>
      <c r="D113" s="97"/>
      <c r="E113" s="97"/>
      <c r="F113" s="96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6"/>
      <c r="U113" s="96"/>
      <c r="V113" s="96"/>
      <c r="W113" s="113"/>
    </row>
    <row r="114" spans="1:23" s="2" customFormat="1" ht="14.25">
      <c r="A114" s="23" t="s">
        <v>51</v>
      </c>
      <c r="B114" s="81"/>
      <c r="C114" s="81"/>
      <c r="D114" s="82"/>
      <c r="E114" s="82"/>
      <c r="F114" s="81"/>
      <c r="G114" s="82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45"/>
      <c r="U114" s="45"/>
      <c r="V114" s="45"/>
      <c r="W114" s="114"/>
    </row>
    <row r="115" spans="1:23" s="2" customFormat="1" ht="12.75">
      <c r="A115" s="71" t="s">
        <v>53</v>
      </c>
      <c r="B115" s="68">
        <v>36993</v>
      </c>
      <c r="C115" s="67" t="s">
        <v>24</v>
      </c>
      <c r="D115" s="36">
        <f>SUM(G115:S115)</f>
        <v>4367300000</v>
      </c>
      <c r="E115" s="69"/>
      <c r="F115" s="6" t="s">
        <v>26</v>
      </c>
      <c r="G115" s="69">
        <f>100000000*B197</f>
        <v>4367300000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78"/>
      <c r="U115" s="78"/>
      <c r="V115" s="78"/>
      <c r="W115" s="115"/>
    </row>
    <row r="116" spans="1:23" s="2" customFormat="1" ht="12.75">
      <c r="A116" s="116"/>
      <c r="B116" s="78"/>
      <c r="C116" s="78"/>
      <c r="D116" s="69"/>
      <c r="E116" s="36">
        <f>SUM(G116:S116)</f>
        <v>230156710</v>
      </c>
      <c r="F116" s="6" t="s">
        <v>27</v>
      </c>
      <c r="G116" s="69">
        <f>5270000*B197</f>
        <v>230156710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78"/>
      <c r="U116" s="78"/>
      <c r="V116" s="78"/>
      <c r="W116" s="115"/>
    </row>
    <row r="117" spans="1:23" s="2" customFormat="1" ht="12.75">
      <c r="A117" s="117" t="s">
        <v>52</v>
      </c>
      <c r="B117" s="68">
        <v>36993</v>
      </c>
      <c r="C117" s="141" t="s">
        <v>58</v>
      </c>
      <c r="D117" s="36">
        <f>SUM(G117:S117)</f>
        <v>6500000000</v>
      </c>
      <c r="E117" s="63"/>
      <c r="F117" s="9" t="s">
        <v>26</v>
      </c>
      <c r="G117" s="69">
        <v>6500000000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98"/>
      <c r="U117" s="98"/>
      <c r="V117" s="98"/>
      <c r="W117" s="118"/>
    </row>
    <row r="118" spans="1:23" s="2" customFormat="1" ht="13.5" thickBot="1">
      <c r="A118" s="119"/>
      <c r="B118" s="70"/>
      <c r="C118" s="70"/>
      <c r="D118" s="102"/>
      <c r="E118" s="37">
        <f>SUM(G118:S118)</f>
        <v>556400000</v>
      </c>
      <c r="F118" s="14" t="s">
        <v>27</v>
      </c>
      <c r="G118" s="102">
        <v>556400000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70"/>
      <c r="U118" s="70"/>
      <c r="V118" s="70"/>
      <c r="W118" s="120"/>
    </row>
    <row r="119" spans="1:23" ht="14.25" thickBot="1" thickTop="1">
      <c r="A119" s="26" t="s">
        <v>7</v>
      </c>
      <c r="B119" s="100"/>
      <c r="C119" s="101"/>
      <c r="D119" s="38">
        <f>SUM(D115:D118)</f>
        <v>10867300000</v>
      </c>
      <c r="E119" s="38">
        <f>SUM(E115:E118)</f>
        <v>786556710</v>
      </c>
      <c r="F119" s="101"/>
      <c r="G119" s="38">
        <f>SUM(G115:G118)</f>
        <v>11653856710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101"/>
      <c r="U119" s="101"/>
      <c r="V119" s="101"/>
      <c r="W119" s="121"/>
    </row>
    <row r="120" spans="1:23" ht="13.5" thickBot="1">
      <c r="A120" s="122"/>
      <c r="B120" s="34"/>
      <c r="C120" s="59"/>
      <c r="D120" s="123"/>
      <c r="E120" s="124"/>
      <c r="F120" s="59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4"/>
      <c r="T120" s="59"/>
      <c r="U120" s="59"/>
      <c r="V120" s="59"/>
      <c r="W120" s="109"/>
    </row>
    <row r="121" spans="1:23" s="1" customFormat="1" ht="12.75">
      <c r="A121" s="17" t="s">
        <v>17</v>
      </c>
      <c r="B121" s="18" t="s">
        <v>18</v>
      </c>
      <c r="C121" s="19" t="s">
        <v>21</v>
      </c>
      <c r="D121" s="18" t="s">
        <v>38</v>
      </c>
      <c r="E121" s="20"/>
      <c r="F121" s="19"/>
      <c r="G121" s="21"/>
      <c r="H121" s="21"/>
      <c r="I121" s="21" t="s">
        <v>36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0"/>
      <c r="T121" s="54"/>
      <c r="U121" s="54"/>
      <c r="V121" s="54"/>
      <c r="W121" s="103"/>
    </row>
    <row r="122" spans="1:23" s="1" customFormat="1" ht="12.75">
      <c r="A122" s="22"/>
      <c r="B122" s="3" t="s">
        <v>19</v>
      </c>
      <c r="C122" s="8"/>
      <c r="D122" s="10" t="s">
        <v>25</v>
      </c>
      <c r="E122" s="11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90"/>
      <c r="T122" s="5"/>
      <c r="U122" s="5"/>
      <c r="V122" s="5"/>
      <c r="W122" s="104"/>
    </row>
    <row r="123" spans="1:23" s="1" customFormat="1" ht="13.5" thickBot="1">
      <c r="A123" s="170"/>
      <c r="B123" s="169" t="s">
        <v>20</v>
      </c>
      <c r="C123" s="171"/>
      <c r="D123" s="144" t="s">
        <v>26</v>
      </c>
      <c r="E123" s="144" t="s">
        <v>27</v>
      </c>
      <c r="F123" s="171"/>
      <c r="G123" s="80">
        <v>2002</v>
      </c>
      <c r="H123" s="80">
        <v>2003</v>
      </c>
      <c r="I123" s="80">
        <v>2004</v>
      </c>
      <c r="J123" s="80">
        <v>2005</v>
      </c>
      <c r="K123" s="80">
        <v>2006</v>
      </c>
      <c r="L123" s="80">
        <v>2007</v>
      </c>
      <c r="M123" s="80">
        <v>2008</v>
      </c>
      <c r="N123" s="80">
        <v>2009</v>
      </c>
      <c r="O123" s="80">
        <v>2010</v>
      </c>
      <c r="P123" s="80">
        <v>2011</v>
      </c>
      <c r="Q123" s="80">
        <v>2012</v>
      </c>
      <c r="R123" s="80">
        <v>2013</v>
      </c>
      <c r="S123" s="91">
        <v>2014</v>
      </c>
      <c r="T123" s="91">
        <v>2015</v>
      </c>
      <c r="U123" s="91">
        <v>2016</v>
      </c>
      <c r="V123" s="91">
        <v>2017</v>
      </c>
      <c r="W123" s="172">
        <v>2018</v>
      </c>
    </row>
    <row r="124" spans="1:23" s="1" customFormat="1" ht="13.5" thickTop="1">
      <c r="A124" s="23" t="s">
        <v>28</v>
      </c>
      <c r="B124" s="12"/>
      <c r="C124" s="12"/>
      <c r="D124" s="12"/>
      <c r="E124" s="12"/>
      <c r="F124" s="1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5"/>
      <c r="U124" s="5"/>
      <c r="V124" s="5"/>
      <c r="W124" s="104"/>
    </row>
    <row r="125" spans="1:23" ht="12.75">
      <c r="A125" s="24" t="s">
        <v>29</v>
      </c>
      <c r="B125" s="7">
        <v>33646</v>
      </c>
      <c r="C125" s="6" t="s">
        <v>22</v>
      </c>
      <c r="D125" s="36">
        <f>SUM(G125:Q125)</f>
        <v>1823941407.9549</v>
      </c>
      <c r="E125" s="36"/>
      <c r="F125" s="6" t="s">
        <v>26</v>
      </c>
      <c r="G125" s="36">
        <f>40433194.59*B196</f>
        <v>1823941407.9549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6"/>
      <c r="S125" s="36"/>
      <c r="T125" s="6"/>
      <c r="U125" s="6"/>
      <c r="V125" s="6"/>
      <c r="W125" s="106"/>
    </row>
    <row r="126" spans="1:23" ht="13.5" thickBot="1">
      <c r="A126" s="25"/>
      <c r="B126" s="14"/>
      <c r="C126" s="14"/>
      <c r="D126" s="14"/>
      <c r="E126" s="37">
        <f>SUM(G126:Q126)</f>
        <v>133365455.89119999</v>
      </c>
      <c r="F126" s="14" t="s">
        <v>27</v>
      </c>
      <c r="G126" s="37">
        <f>2956449.92*B196</f>
        <v>133365455.89119999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14"/>
      <c r="S126" s="37"/>
      <c r="T126" s="14"/>
      <c r="U126" s="14"/>
      <c r="V126" s="14"/>
      <c r="W126" s="105"/>
    </row>
    <row r="127" spans="1:23" s="2" customFormat="1" ht="14.25" thickBot="1" thickTop="1">
      <c r="A127" s="29" t="s">
        <v>7</v>
      </c>
      <c r="B127" s="30"/>
      <c r="C127" s="30"/>
      <c r="D127" s="39">
        <f>SUM(D125:D126)</f>
        <v>1823941407.9549</v>
      </c>
      <c r="E127" s="39">
        <f>SUM(E125:E126)</f>
        <v>133365455.89119999</v>
      </c>
      <c r="F127" s="30"/>
      <c r="G127" s="39">
        <f>SUM(G125:G126)</f>
        <v>1957306863.8461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0"/>
      <c r="U127" s="30"/>
      <c r="V127" s="30"/>
      <c r="W127" s="107"/>
    </row>
    <row r="128" spans="1:23" ht="12.75">
      <c r="A128" s="10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28"/>
      <c r="T128" s="9"/>
      <c r="U128" s="9"/>
      <c r="V128" s="9"/>
      <c r="W128" s="126"/>
    </row>
    <row r="129" spans="1:23" ht="13.5" thickBot="1">
      <c r="A129" s="10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28"/>
      <c r="T129" s="33"/>
      <c r="U129" s="33"/>
      <c r="V129" s="33"/>
      <c r="W129" s="127"/>
    </row>
    <row r="130" spans="1:23" s="1" customFormat="1" ht="12.75">
      <c r="A130" s="17" t="s">
        <v>17</v>
      </c>
      <c r="B130" s="18" t="s">
        <v>18</v>
      </c>
      <c r="C130" s="19" t="s">
        <v>21</v>
      </c>
      <c r="D130" s="18" t="s">
        <v>38</v>
      </c>
      <c r="E130" s="20"/>
      <c r="F130" s="19"/>
      <c r="G130" s="21"/>
      <c r="H130" s="21"/>
      <c r="I130" s="21" t="s">
        <v>36</v>
      </c>
      <c r="J130" s="21"/>
      <c r="K130" s="21"/>
      <c r="L130" s="21"/>
      <c r="M130" s="21"/>
      <c r="N130" s="21"/>
      <c r="O130" s="21"/>
      <c r="P130" s="21"/>
      <c r="Q130" s="21"/>
      <c r="R130" s="21"/>
      <c r="S130" s="20"/>
      <c r="T130" s="12"/>
      <c r="U130" s="12"/>
      <c r="V130" s="12"/>
      <c r="W130" s="110"/>
    </row>
    <row r="131" spans="1:23" s="1" customFormat="1" ht="12.75">
      <c r="A131" s="22"/>
      <c r="B131" s="3" t="s">
        <v>19</v>
      </c>
      <c r="C131" s="8"/>
      <c r="D131" s="10" t="s">
        <v>25</v>
      </c>
      <c r="E131" s="11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90"/>
      <c r="T131" s="5"/>
      <c r="U131" s="5"/>
      <c r="V131" s="5"/>
      <c r="W131" s="104"/>
    </row>
    <row r="132" spans="1:23" s="1" customFormat="1" ht="13.5" thickBot="1">
      <c r="A132" s="170"/>
      <c r="B132" s="169" t="s">
        <v>20</v>
      </c>
      <c r="C132" s="171"/>
      <c r="D132" s="144" t="s">
        <v>26</v>
      </c>
      <c r="E132" s="144" t="s">
        <v>27</v>
      </c>
      <c r="F132" s="171"/>
      <c r="G132" s="80">
        <v>2002</v>
      </c>
      <c r="H132" s="80">
        <v>2003</v>
      </c>
      <c r="I132" s="80">
        <v>2004</v>
      </c>
      <c r="J132" s="80">
        <v>2005</v>
      </c>
      <c r="K132" s="80">
        <v>2006</v>
      </c>
      <c r="L132" s="80">
        <v>2007</v>
      </c>
      <c r="M132" s="80">
        <v>2008</v>
      </c>
      <c r="N132" s="80">
        <v>2009</v>
      </c>
      <c r="O132" s="80">
        <v>2010</v>
      </c>
      <c r="P132" s="80">
        <v>2011</v>
      </c>
      <c r="Q132" s="80">
        <v>2012</v>
      </c>
      <c r="R132" s="80">
        <v>2013</v>
      </c>
      <c r="S132" s="91">
        <v>2014</v>
      </c>
      <c r="T132" s="91">
        <v>2015</v>
      </c>
      <c r="U132" s="91">
        <v>2016</v>
      </c>
      <c r="V132" s="91">
        <v>2017</v>
      </c>
      <c r="W132" s="172">
        <v>2018</v>
      </c>
    </row>
    <row r="133" spans="1:23" ht="13.5" thickTop="1">
      <c r="A133" s="23" t="s">
        <v>32</v>
      </c>
      <c r="B133" s="9"/>
      <c r="C133" s="9"/>
      <c r="D133" s="9"/>
      <c r="E133" s="9"/>
      <c r="F133" s="9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6"/>
      <c r="U133" s="6"/>
      <c r="V133" s="6"/>
      <c r="W133" s="106"/>
    </row>
    <row r="134" spans="1:23" ht="12.75">
      <c r="A134" s="24" t="s">
        <v>33</v>
      </c>
      <c r="B134" s="7">
        <v>34711</v>
      </c>
      <c r="C134" s="6" t="s">
        <v>22</v>
      </c>
      <c r="D134" s="36">
        <f>SUM(G134:N134)</f>
        <v>72176000</v>
      </c>
      <c r="E134" s="36"/>
      <c r="F134" s="6" t="s">
        <v>26</v>
      </c>
      <c r="G134" s="36">
        <f>200000*B196</f>
        <v>9022000</v>
      </c>
      <c r="H134" s="36">
        <f>200000*B196</f>
        <v>9022000</v>
      </c>
      <c r="I134" s="36">
        <f>200000*B196</f>
        <v>9022000</v>
      </c>
      <c r="J134" s="36">
        <f>200000*B196</f>
        <v>9022000</v>
      </c>
      <c r="K134" s="36">
        <f>200000*B196</f>
        <v>9022000</v>
      </c>
      <c r="L134" s="36">
        <f>200000*B196</f>
        <v>9022000</v>
      </c>
      <c r="M134" s="36">
        <f>200000*B196</f>
        <v>9022000</v>
      </c>
      <c r="N134" s="36">
        <f>200000*B196</f>
        <v>9022000</v>
      </c>
      <c r="O134" s="6"/>
      <c r="P134" s="36"/>
      <c r="Q134" s="36"/>
      <c r="R134" s="36"/>
      <c r="S134" s="36"/>
      <c r="T134" s="6"/>
      <c r="U134" s="6"/>
      <c r="V134" s="6"/>
      <c r="W134" s="106"/>
    </row>
    <row r="135" spans="1:23" ht="12.75">
      <c r="A135" s="24"/>
      <c r="B135" s="6"/>
      <c r="C135" s="6"/>
      <c r="D135" s="6"/>
      <c r="E135" s="36">
        <f>SUM(G135:N135)</f>
        <v>21046748.9544</v>
      </c>
      <c r="F135" s="6" t="s">
        <v>27</v>
      </c>
      <c r="G135" s="36">
        <f>106349.38*B196</f>
        <v>4797420.5318</v>
      </c>
      <c r="H135" s="36">
        <f>92626.88*B196</f>
        <v>4178398.5568000004</v>
      </c>
      <c r="I135" s="36">
        <f>78904.38*B196</f>
        <v>3559376.5818000003</v>
      </c>
      <c r="J135" s="36">
        <f>65181.88*B196</f>
        <v>2940354.6067999997</v>
      </c>
      <c r="K135" s="36">
        <f>51459.38*B196</f>
        <v>2321332.6317999996</v>
      </c>
      <c r="L135" s="36">
        <f>37736.88*B196</f>
        <v>1702310.6567999998</v>
      </c>
      <c r="M135" s="36">
        <f>24014.38*B196</f>
        <v>1083288.6818000001</v>
      </c>
      <c r="N135" s="36">
        <f>10291.88*B196</f>
        <v>464266.7068</v>
      </c>
      <c r="O135" s="6"/>
      <c r="P135" s="36"/>
      <c r="Q135" s="36"/>
      <c r="R135" s="36"/>
      <c r="S135" s="36"/>
      <c r="T135" s="6"/>
      <c r="U135" s="6"/>
      <c r="V135" s="6"/>
      <c r="W135" s="106"/>
    </row>
    <row r="136" spans="1:23" ht="12.75">
      <c r="A136" s="24" t="s">
        <v>16</v>
      </c>
      <c r="B136" s="7">
        <v>35044</v>
      </c>
      <c r="C136" s="6" t="s">
        <v>22</v>
      </c>
      <c r="D136" s="36">
        <f>SUM(G136:L136)</f>
        <v>1102698330.6625</v>
      </c>
      <c r="E136" s="36"/>
      <c r="F136" s="6" t="s">
        <v>26</v>
      </c>
      <c r="G136" s="36">
        <f>4444482.5*B196</f>
        <v>200490605.575</v>
      </c>
      <c r="H136" s="36">
        <f>4444482.5*B196</f>
        <v>200490605.575</v>
      </c>
      <c r="I136" s="36">
        <f>4444482.5*B196</f>
        <v>200490605.575</v>
      </c>
      <c r="J136" s="36">
        <f>4444482.5*B196</f>
        <v>200490605.575</v>
      </c>
      <c r="K136" s="36">
        <f>4444482.5*B196</f>
        <v>200490605.575</v>
      </c>
      <c r="L136" s="36">
        <f>2222241.25*B196</f>
        <v>100245302.7875</v>
      </c>
      <c r="M136" s="6"/>
      <c r="N136" s="36"/>
      <c r="O136" s="36"/>
      <c r="P136" s="36"/>
      <c r="Q136" s="36"/>
      <c r="R136" s="36"/>
      <c r="S136" s="36"/>
      <c r="T136" s="6"/>
      <c r="U136" s="6"/>
      <c r="V136" s="6"/>
      <c r="W136" s="106"/>
    </row>
    <row r="137" spans="1:23" ht="13.5" thickBot="1">
      <c r="A137" s="25"/>
      <c r="B137" s="14"/>
      <c r="C137" s="14"/>
      <c r="D137" s="14"/>
      <c r="E137" s="37">
        <f>SUM(G137:L137)</f>
        <v>226648096.03930002</v>
      </c>
      <c r="F137" s="14" t="s">
        <v>27</v>
      </c>
      <c r="G137" s="37">
        <f>1598654.46*B196</f>
        <v>72115302.6906</v>
      </c>
      <c r="H137" s="37">
        <f>1294148.86*B196</f>
        <v>58379055.0746</v>
      </c>
      <c r="I137" s="37">
        <f>989643.26*B196</f>
        <v>44642807.4586</v>
      </c>
      <c r="J137" s="37">
        <f>685137.65*B196</f>
        <v>30906559.3915</v>
      </c>
      <c r="K137" s="37">
        <f>380632*B196</f>
        <v>17170309.52</v>
      </c>
      <c r="L137" s="37">
        <f>76126.4*B196</f>
        <v>3434061.9039999996</v>
      </c>
      <c r="M137" s="14"/>
      <c r="N137" s="37"/>
      <c r="O137" s="37"/>
      <c r="P137" s="37"/>
      <c r="Q137" s="37"/>
      <c r="R137" s="37"/>
      <c r="S137" s="37"/>
      <c r="T137" s="14"/>
      <c r="U137" s="14"/>
      <c r="V137" s="14"/>
      <c r="W137" s="105"/>
    </row>
    <row r="138" spans="1:23" s="2" customFormat="1" ht="14.25" thickBot="1" thickTop="1">
      <c r="A138" s="29" t="s">
        <v>7</v>
      </c>
      <c r="B138" s="30"/>
      <c r="C138" s="30"/>
      <c r="D138" s="39">
        <f>SUM(D134:D137)</f>
        <v>1174874330.6625</v>
      </c>
      <c r="E138" s="39">
        <f>SUM(E134:E137)</f>
        <v>247694844.99370003</v>
      </c>
      <c r="F138" s="30"/>
      <c r="G138" s="39">
        <f aca="true" t="shared" si="5" ref="G138:N138">SUM(G134:G137)</f>
        <v>286425328.7974</v>
      </c>
      <c r="H138" s="39">
        <f t="shared" si="5"/>
        <v>272070059.2064</v>
      </c>
      <c r="I138" s="39">
        <f t="shared" si="5"/>
        <v>257714789.61540002</v>
      </c>
      <c r="J138" s="39">
        <f t="shared" si="5"/>
        <v>243359519.57329997</v>
      </c>
      <c r="K138" s="39">
        <f t="shared" si="5"/>
        <v>229004247.7268</v>
      </c>
      <c r="L138" s="39">
        <f t="shared" si="5"/>
        <v>114403675.3483</v>
      </c>
      <c r="M138" s="39">
        <f t="shared" si="5"/>
        <v>10105288.6818</v>
      </c>
      <c r="N138" s="39">
        <f t="shared" si="5"/>
        <v>9486266.7068</v>
      </c>
      <c r="O138" s="39"/>
      <c r="P138" s="39"/>
      <c r="Q138" s="39"/>
      <c r="R138" s="39"/>
      <c r="S138" s="39"/>
      <c r="T138" s="16"/>
      <c r="U138" s="16"/>
      <c r="V138" s="16"/>
      <c r="W138" s="111"/>
    </row>
    <row r="139" spans="1:23" s="2" customFormat="1" ht="12.75">
      <c r="A139" s="128"/>
      <c r="B139" s="47"/>
      <c r="C139" s="47"/>
      <c r="D139" s="60"/>
      <c r="E139" s="60"/>
      <c r="F139" s="47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73"/>
      <c r="T139" s="45"/>
      <c r="U139" s="45"/>
      <c r="V139" s="45"/>
      <c r="W139" s="114"/>
    </row>
    <row r="140" spans="1:23" ht="13.5" thickBot="1">
      <c r="A140" s="12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28"/>
      <c r="T140" s="33"/>
      <c r="U140" s="33"/>
      <c r="V140" s="33"/>
      <c r="W140" s="127"/>
    </row>
    <row r="141" spans="1:23" s="1" customFormat="1" ht="12.75">
      <c r="A141" s="17" t="s">
        <v>17</v>
      </c>
      <c r="B141" s="18" t="s">
        <v>18</v>
      </c>
      <c r="C141" s="19" t="s">
        <v>21</v>
      </c>
      <c r="D141" s="18" t="s">
        <v>38</v>
      </c>
      <c r="E141" s="18"/>
      <c r="F141" s="19"/>
      <c r="G141" s="21"/>
      <c r="H141" s="21"/>
      <c r="I141" s="21" t="s">
        <v>36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0"/>
      <c r="T141" s="12"/>
      <c r="U141" s="12"/>
      <c r="V141" s="12"/>
      <c r="W141" s="110"/>
    </row>
    <row r="142" spans="1:23" s="1" customFormat="1" ht="12.75">
      <c r="A142" s="22"/>
      <c r="B142" s="3" t="s">
        <v>19</v>
      </c>
      <c r="C142" s="8"/>
      <c r="D142" s="10" t="s">
        <v>25</v>
      </c>
      <c r="E142" s="11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90"/>
      <c r="T142" s="5"/>
      <c r="U142" s="5"/>
      <c r="V142" s="5"/>
      <c r="W142" s="104"/>
    </row>
    <row r="143" spans="1:23" s="1" customFormat="1" ht="13.5" thickBot="1">
      <c r="A143" s="170"/>
      <c r="B143" s="169" t="s">
        <v>20</v>
      </c>
      <c r="C143" s="171"/>
      <c r="D143" s="144" t="s">
        <v>26</v>
      </c>
      <c r="E143" s="144" t="s">
        <v>27</v>
      </c>
      <c r="F143" s="171"/>
      <c r="G143" s="80">
        <v>2002</v>
      </c>
      <c r="H143" s="80">
        <v>2003</v>
      </c>
      <c r="I143" s="80">
        <v>2004</v>
      </c>
      <c r="J143" s="80">
        <v>2005</v>
      </c>
      <c r="K143" s="80">
        <v>2006</v>
      </c>
      <c r="L143" s="80">
        <v>2007</v>
      </c>
      <c r="M143" s="80">
        <v>2008</v>
      </c>
      <c r="N143" s="80">
        <v>2009</v>
      </c>
      <c r="O143" s="80">
        <v>2010</v>
      </c>
      <c r="P143" s="80">
        <v>2011</v>
      </c>
      <c r="Q143" s="80">
        <v>2012</v>
      </c>
      <c r="R143" s="80">
        <v>2013</v>
      </c>
      <c r="S143" s="91">
        <v>2014</v>
      </c>
      <c r="T143" s="91">
        <v>2015</v>
      </c>
      <c r="U143" s="91">
        <v>2016</v>
      </c>
      <c r="V143" s="91">
        <v>2017</v>
      </c>
      <c r="W143" s="172">
        <v>2018</v>
      </c>
    </row>
    <row r="144" spans="1:23" ht="13.5" thickTop="1">
      <c r="A144" s="51"/>
      <c r="B144" s="9"/>
      <c r="C144" s="9"/>
      <c r="D144" s="9"/>
      <c r="E144" s="9"/>
      <c r="F144" s="9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6"/>
      <c r="U144" s="6"/>
      <c r="V144" s="6"/>
      <c r="W144" s="106"/>
    </row>
    <row r="145" spans="1:23" ht="12.75">
      <c r="A145" s="32" t="s">
        <v>30</v>
      </c>
      <c r="B145" s="7">
        <v>34058</v>
      </c>
      <c r="C145" s="6" t="s">
        <v>24</v>
      </c>
      <c r="D145" s="36">
        <f>SUM(G145:M145)</f>
        <v>1561309750</v>
      </c>
      <c r="E145" s="6"/>
      <c r="F145" s="6" t="s">
        <v>26</v>
      </c>
      <c r="G145" s="36">
        <f>5500000*B197</f>
        <v>240201500</v>
      </c>
      <c r="H145" s="36">
        <f>5500000*B197</f>
        <v>240201500</v>
      </c>
      <c r="I145" s="36">
        <f>5500000*B197</f>
        <v>240201500</v>
      </c>
      <c r="J145" s="36">
        <f>5500000*B197</f>
        <v>240201500</v>
      </c>
      <c r="K145" s="36">
        <f>5500000*B197</f>
        <v>240201500</v>
      </c>
      <c r="L145" s="36">
        <f>5500000*B197</f>
        <v>240201500</v>
      </c>
      <c r="M145" s="36">
        <f>2750000*B197</f>
        <v>120100750</v>
      </c>
      <c r="N145" s="15"/>
      <c r="O145" s="36"/>
      <c r="P145" s="36"/>
      <c r="Q145" s="36"/>
      <c r="R145" s="36"/>
      <c r="S145" s="36"/>
      <c r="T145" s="6"/>
      <c r="U145" s="6"/>
      <c r="V145" s="6"/>
      <c r="W145" s="106"/>
    </row>
    <row r="146" spans="1:23" ht="13.5" thickBot="1">
      <c r="A146" s="25" t="s">
        <v>31</v>
      </c>
      <c r="B146" s="50"/>
      <c r="C146" s="14"/>
      <c r="D146" s="14"/>
      <c r="E146" s="14"/>
      <c r="F146" s="14" t="s">
        <v>27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14"/>
      <c r="U146" s="14"/>
      <c r="V146" s="14"/>
      <c r="W146" s="105"/>
    </row>
    <row r="147" spans="1:23" s="2" customFormat="1" ht="14.25" thickBot="1" thickTop="1">
      <c r="A147" s="26" t="s">
        <v>7</v>
      </c>
      <c r="B147" s="16"/>
      <c r="C147" s="16"/>
      <c r="D147" s="38">
        <f>SUM(D145:D146)</f>
        <v>1561309750</v>
      </c>
      <c r="E147" s="16"/>
      <c r="F147" s="16"/>
      <c r="G147" s="38">
        <f aca="true" t="shared" si="6" ref="G147:M147">SUM(G145:G146)</f>
        <v>240201500</v>
      </c>
      <c r="H147" s="38">
        <f t="shared" si="6"/>
        <v>240201500</v>
      </c>
      <c r="I147" s="38">
        <f t="shared" si="6"/>
        <v>240201500</v>
      </c>
      <c r="J147" s="38">
        <f t="shared" si="6"/>
        <v>240201500</v>
      </c>
      <c r="K147" s="38">
        <f t="shared" si="6"/>
        <v>240201500</v>
      </c>
      <c r="L147" s="38">
        <f t="shared" si="6"/>
        <v>240201500</v>
      </c>
      <c r="M147" s="38">
        <f t="shared" si="6"/>
        <v>120100750</v>
      </c>
      <c r="N147" s="38"/>
      <c r="O147" s="38"/>
      <c r="P147" s="38"/>
      <c r="Q147" s="38"/>
      <c r="R147" s="38"/>
      <c r="S147" s="38"/>
      <c r="T147" s="16"/>
      <c r="U147" s="16"/>
      <c r="V147" s="16"/>
      <c r="W147" s="111"/>
    </row>
    <row r="148" spans="1:23" s="1" customFormat="1" ht="13.5" thickBot="1">
      <c r="A148" s="129"/>
      <c r="B148" s="130"/>
      <c r="C148" s="130"/>
      <c r="D148" s="130"/>
      <c r="E148" s="130"/>
      <c r="F148" s="130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0"/>
      <c r="U148" s="130"/>
      <c r="V148" s="130"/>
      <c r="W148" s="132"/>
    </row>
    <row r="149" spans="1:23" s="1" customFormat="1" ht="13.5" thickBot="1">
      <c r="A149" s="61"/>
      <c r="B149" s="8"/>
      <c r="C149" s="8"/>
      <c r="D149" s="8"/>
      <c r="E149" s="8"/>
      <c r="F149" s="8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8"/>
      <c r="U149" s="8"/>
      <c r="V149" s="8"/>
      <c r="W149" s="167"/>
    </row>
    <row r="150" spans="1:12" ht="12.75">
      <c r="A150" s="17" t="s">
        <v>17</v>
      </c>
      <c r="B150" s="18" t="s">
        <v>18</v>
      </c>
      <c r="C150" s="19" t="s">
        <v>21</v>
      </c>
      <c r="D150" s="18" t="s">
        <v>38</v>
      </c>
      <c r="E150" s="18"/>
      <c r="F150" s="19"/>
      <c r="G150" s="21"/>
      <c r="H150" s="21"/>
      <c r="I150" s="21" t="s">
        <v>36</v>
      </c>
      <c r="J150" s="21"/>
      <c r="K150" s="21"/>
      <c r="L150" s="21"/>
    </row>
    <row r="151" spans="1:12" ht="12.75">
      <c r="A151" s="22"/>
      <c r="B151" s="3" t="s">
        <v>19</v>
      </c>
      <c r="C151" s="8"/>
      <c r="D151" s="10" t="s">
        <v>25</v>
      </c>
      <c r="E151" s="11"/>
      <c r="F151" s="8"/>
      <c r="G151" s="4"/>
      <c r="H151" s="4"/>
      <c r="I151" s="4"/>
      <c r="J151" s="4"/>
      <c r="K151" s="4"/>
      <c r="L151" s="4"/>
    </row>
    <row r="152" spans="1:23" s="1" customFormat="1" ht="13.5" thickBot="1">
      <c r="A152" s="170"/>
      <c r="B152" s="169" t="s">
        <v>20</v>
      </c>
      <c r="C152" s="171"/>
      <c r="D152" s="144" t="s">
        <v>26</v>
      </c>
      <c r="E152" s="144" t="s">
        <v>27</v>
      </c>
      <c r="F152" s="171"/>
      <c r="G152" s="80">
        <v>2002</v>
      </c>
      <c r="H152" s="80">
        <v>2003</v>
      </c>
      <c r="I152" s="80">
        <v>2004</v>
      </c>
      <c r="J152" s="80">
        <v>2005</v>
      </c>
      <c r="K152" s="80">
        <v>2006</v>
      </c>
      <c r="L152" s="80">
        <v>2007</v>
      </c>
      <c r="M152" s="80">
        <v>2008</v>
      </c>
      <c r="N152" s="80">
        <v>2009</v>
      </c>
      <c r="O152" s="80">
        <v>2010</v>
      </c>
      <c r="P152" s="80">
        <v>2011</v>
      </c>
      <c r="Q152" s="80">
        <v>2012</v>
      </c>
      <c r="R152" s="80">
        <v>2013</v>
      </c>
      <c r="S152" s="91">
        <v>2014</v>
      </c>
      <c r="T152" s="91">
        <v>2015</v>
      </c>
      <c r="U152" s="91">
        <v>2016</v>
      </c>
      <c r="V152" s="91">
        <v>2017</v>
      </c>
      <c r="W152" s="172">
        <v>2018</v>
      </c>
    </row>
    <row r="153" spans="1:12" ht="13.5" thickTop="1">
      <c r="A153" s="161" t="s">
        <v>48</v>
      </c>
      <c r="B153" s="162">
        <v>34582</v>
      </c>
      <c r="C153" s="163" t="s">
        <v>24</v>
      </c>
      <c r="D153" s="164">
        <f>SUM(G153:L153)</f>
        <v>420802006.19464004</v>
      </c>
      <c r="E153" s="164"/>
      <c r="F153" s="163" t="s">
        <v>26</v>
      </c>
      <c r="G153" s="164">
        <f>875935.43*B197</f>
        <v>38254728.03439</v>
      </c>
      <c r="H153" s="164">
        <f>1751870.85*B197</f>
        <v>76509455.63205001</v>
      </c>
      <c r="I153" s="164">
        <f>1751870.85*B197</f>
        <v>76509455.63205001</v>
      </c>
      <c r="J153" s="164">
        <f>1751870.85*B197</f>
        <v>76509455.63205001</v>
      </c>
      <c r="K153" s="164">
        <f>1751870.85*B197</f>
        <v>76509455.63205001</v>
      </c>
      <c r="L153" s="164">
        <f>1751870.85*B197</f>
        <v>76509455.63205001</v>
      </c>
    </row>
    <row r="154" spans="1:12" ht="12.75">
      <c r="A154" s="165" t="s">
        <v>16</v>
      </c>
      <c r="B154" s="162"/>
      <c r="C154" s="163"/>
      <c r="D154" s="163"/>
      <c r="E154" s="164">
        <f>SUM(G154:M154)</f>
        <v>69842484.67325</v>
      </c>
      <c r="F154" s="163" t="s">
        <v>27</v>
      </c>
      <c r="G154" s="164">
        <f>(50792.1+53460.75+47621.42+50703.13+60156.25)*44.305</f>
        <v>11640414.36325</v>
      </c>
      <c r="H154" s="164">
        <v>20106169.75</v>
      </c>
      <c r="I154" s="164">
        <v>15873291.91</v>
      </c>
      <c r="J154" s="164">
        <v>11640414.06</v>
      </c>
      <c r="K154" s="164">
        <v>7407536.22</v>
      </c>
      <c r="L154" s="164">
        <v>3174658.37</v>
      </c>
    </row>
    <row r="155" spans="1:12" ht="12.75">
      <c r="A155" s="165"/>
      <c r="B155" s="162"/>
      <c r="C155" s="163" t="s">
        <v>22</v>
      </c>
      <c r="D155" s="164">
        <f>SUM(G155:L155)</f>
        <v>39851865.625</v>
      </c>
      <c r="E155" s="164"/>
      <c r="F155" s="163" t="s">
        <v>26</v>
      </c>
      <c r="G155" s="164">
        <f>80312.5*B196</f>
        <v>3622896.875</v>
      </c>
      <c r="H155" s="164">
        <f>160625*B196</f>
        <v>7245793.75</v>
      </c>
      <c r="I155" s="164">
        <f>160625*B196</f>
        <v>7245793.75</v>
      </c>
      <c r="J155" s="164">
        <f>160625*B196</f>
        <v>7245793.75</v>
      </c>
      <c r="K155" s="164">
        <f>160625*B196</f>
        <v>7245793.75</v>
      </c>
      <c r="L155" s="164">
        <f>160625*B196</f>
        <v>7245793.75</v>
      </c>
    </row>
    <row r="156" spans="1:13" ht="13.5" thickBot="1">
      <c r="A156" s="165"/>
      <c r="B156" s="162"/>
      <c r="C156" s="163"/>
      <c r="D156" s="163"/>
      <c r="E156" s="164">
        <f>SUM(G156:M156)</f>
        <v>7565694.978699999</v>
      </c>
      <c r="F156" s="163" t="s">
        <v>27</v>
      </c>
      <c r="G156" s="164">
        <f>28049.14*44.955</f>
        <v>1260949.0887</v>
      </c>
      <c r="H156" s="164">
        <v>2178003.22</v>
      </c>
      <c r="I156" s="164">
        <v>1719476.15</v>
      </c>
      <c r="J156" s="164">
        <v>1260949.09</v>
      </c>
      <c r="K156" s="164">
        <v>802422.47</v>
      </c>
      <c r="L156" s="164">
        <v>343894.96</v>
      </c>
      <c r="M156" s="52"/>
    </row>
    <row r="157" spans="1:12" ht="14.25" thickBot="1" thickTop="1">
      <c r="A157" s="26" t="s">
        <v>7</v>
      </c>
      <c r="B157" s="16"/>
      <c r="C157" s="16"/>
      <c r="D157" s="38">
        <f>SUM(D153:D156)</f>
        <v>460653871.81964004</v>
      </c>
      <c r="E157" s="38">
        <f>SUM(E153:E156)</f>
        <v>77408179.65195</v>
      </c>
      <c r="F157" s="16"/>
      <c r="G157" s="38">
        <f aca="true" t="shared" si="7" ref="G157:L157">SUM(G153:G156)</f>
        <v>54778988.36134</v>
      </c>
      <c r="H157" s="38">
        <f t="shared" si="7"/>
        <v>106039422.35205</v>
      </c>
      <c r="I157" s="38">
        <f t="shared" si="7"/>
        <v>101348017.44205001</v>
      </c>
      <c r="J157" s="38">
        <f t="shared" si="7"/>
        <v>96656612.53205001</v>
      </c>
      <c r="K157" s="38">
        <f t="shared" si="7"/>
        <v>91965208.07205</v>
      </c>
      <c r="L157" s="38">
        <f t="shared" si="7"/>
        <v>87273802.71205</v>
      </c>
    </row>
    <row r="158" spans="1:23" s="1" customFormat="1" ht="13.5" thickBot="1">
      <c r="A158" s="129"/>
      <c r="B158" s="130"/>
      <c r="C158" s="130"/>
      <c r="D158" s="130"/>
      <c r="E158" s="130"/>
      <c r="F158" s="130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0"/>
      <c r="U158" s="130"/>
      <c r="V158" s="130"/>
      <c r="W158" s="132"/>
    </row>
    <row r="159" spans="1:23" s="1" customFormat="1" ht="12.75">
      <c r="A159" s="53"/>
      <c r="B159" s="54"/>
      <c r="C159" s="54"/>
      <c r="D159" s="54"/>
      <c r="E159" s="54"/>
      <c r="F159" s="54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12"/>
      <c r="U159" s="12"/>
      <c r="V159" s="12"/>
      <c r="W159" s="110"/>
    </row>
    <row r="160" spans="1:23" ht="12.75">
      <c r="A160" s="41" t="s">
        <v>35</v>
      </c>
      <c r="B160" s="42">
        <v>36348</v>
      </c>
      <c r="C160" s="43" t="s">
        <v>24</v>
      </c>
      <c r="D160" s="36">
        <f>SUM(G160:R160)</f>
        <v>2136133776</v>
      </c>
      <c r="E160" s="57"/>
      <c r="F160" s="43" t="s">
        <v>26</v>
      </c>
      <c r="G160" s="44">
        <f>4076000*B197</f>
        <v>178011148</v>
      </c>
      <c r="H160" s="44">
        <f>4076000*B197</f>
        <v>178011148</v>
      </c>
      <c r="I160" s="44">
        <f>4076000*B197</f>
        <v>178011148</v>
      </c>
      <c r="J160" s="44">
        <f>4076000*B197</f>
        <v>178011148</v>
      </c>
      <c r="K160" s="44">
        <f>4076000*B197</f>
        <v>178011148</v>
      </c>
      <c r="L160" s="44">
        <f>4076000*B197</f>
        <v>178011148</v>
      </c>
      <c r="M160" s="44">
        <f>4076000*B197</f>
        <v>178011148</v>
      </c>
      <c r="N160" s="44">
        <f>4076000*B197</f>
        <v>178011148</v>
      </c>
      <c r="O160" s="44">
        <f>4076000*B197</f>
        <v>178011148</v>
      </c>
      <c r="P160" s="44">
        <f>4076000*B197</f>
        <v>178011148</v>
      </c>
      <c r="Q160" s="44">
        <f>4076000*B197</f>
        <v>178011148</v>
      </c>
      <c r="R160" s="44">
        <f>4076000*B197</f>
        <v>178011148</v>
      </c>
      <c r="S160" s="6"/>
      <c r="T160" s="6"/>
      <c r="U160" s="6"/>
      <c r="V160" s="6"/>
      <c r="W160" s="106"/>
    </row>
    <row r="161" spans="1:23" s="15" customFormat="1" ht="13.5" thickBot="1">
      <c r="A161" s="25" t="s">
        <v>16</v>
      </c>
      <c r="B161" s="14"/>
      <c r="C161" s="14"/>
      <c r="D161" s="14"/>
      <c r="E161" s="37">
        <f>SUM(G161:R161)</f>
        <v>346053671.7120001</v>
      </c>
      <c r="F161" s="56" t="s">
        <v>27</v>
      </c>
      <c r="G161" s="37">
        <f>1265598*B197</f>
        <v>55272461.454</v>
      </c>
      <c r="H161" s="37">
        <f>1155546*B197</f>
        <v>50466160.458000004</v>
      </c>
      <c r="I161" s="37">
        <f>1045494*B197</f>
        <v>45659859.462000005</v>
      </c>
      <c r="J161" s="37">
        <f>935442*B197</f>
        <v>40853558.466</v>
      </c>
      <c r="K161" s="37">
        <f>825390*B197</f>
        <v>36047257.47</v>
      </c>
      <c r="L161" s="37">
        <f>715338*B197</f>
        <v>31240956.474</v>
      </c>
      <c r="M161" s="37">
        <f>605286*B197</f>
        <v>26434655.478</v>
      </c>
      <c r="N161" s="37">
        <f>495234*B197</f>
        <v>21628354.482</v>
      </c>
      <c r="O161" s="37">
        <f>385182*B197</f>
        <v>16822053.486</v>
      </c>
      <c r="P161" s="37">
        <f>275130*B197</f>
        <v>12015752.49</v>
      </c>
      <c r="Q161" s="37">
        <f>165078*B197</f>
        <v>7209451.494</v>
      </c>
      <c r="R161" s="37">
        <f>55026*B197</f>
        <v>2403150.498</v>
      </c>
      <c r="S161" s="14"/>
      <c r="T161" s="14"/>
      <c r="U161" s="14"/>
      <c r="V161" s="14"/>
      <c r="W161" s="105"/>
    </row>
    <row r="162" spans="1:23" s="47" customFormat="1" ht="14.25" thickBot="1" thickTop="1">
      <c r="A162" s="26" t="s">
        <v>7</v>
      </c>
      <c r="B162" s="16"/>
      <c r="C162" s="16"/>
      <c r="D162" s="38">
        <f>SUM(D160:D161)</f>
        <v>2136133776</v>
      </c>
      <c r="E162" s="38">
        <f>SUM(E160:E161)</f>
        <v>346053671.7120001</v>
      </c>
      <c r="F162" s="16"/>
      <c r="G162" s="38">
        <f aca="true" t="shared" si="8" ref="G162:R162">SUM(G160:G161)</f>
        <v>233283609.454</v>
      </c>
      <c r="H162" s="38">
        <f t="shared" si="8"/>
        <v>228477308.458</v>
      </c>
      <c r="I162" s="38">
        <f t="shared" si="8"/>
        <v>223671007.462</v>
      </c>
      <c r="J162" s="38">
        <f t="shared" si="8"/>
        <v>218864706.466</v>
      </c>
      <c r="K162" s="38">
        <f t="shared" si="8"/>
        <v>214058405.47</v>
      </c>
      <c r="L162" s="38">
        <f t="shared" si="8"/>
        <v>209252104.474</v>
      </c>
      <c r="M162" s="38">
        <f t="shared" si="8"/>
        <v>204445803.478</v>
      </c>
      <c r="N162" s="38">
        <f t="shared" si="8"/>
        <v>199639502.482</v>
      </c>
      <c r="O162" s="38">
        <f t="shared" si="8"/>
        <v>194833201.486</v>
      </c>
      <c r="P162" s="38">
        <f t="shared" si="8"/>
        <v>190026900.49</v>
      </c>
      <c r="Q162" s="38">
        <f t="shared" si="8"/>
        <v>185220599.494</v>
      </c>
      <c r="R162" s="38">
        <f t="shared" si="8"/>
        <v>180414298.498</v>
      </c>
      <c r="S162" s="38"/>
      <c r="T162" s="16"/>
      <c r="U162" s="16"/>
      <c r="V162" s="16"/>
      <c r="W162" s="111"/>
    </row>
    <row r="163" spans="1:23" s="47" customFormat="1" ht="13.5" thickBot="1">
      <c r="A163" s="51"/>
      <c r="B163" s="9"/>
      <c r="C163" s="9"/>
      <c r="D163" s="9"/>
      <c r="E163" s="9"/>
      <c r="F163" s="9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45"/>
      <c r="U163" s="45"/>
      <c r="V163" s="45"/>
      <c r="W163" s="114"/>
    </row>
    <row r="164" spans="1:23" s="47" customFormat="1" ht="12.75">
      <c r="A164" s="17" t="s">
        <v>17</v>
      </c>
      <c r="B164" s="18" t="s">
        <v>18</v>
      </c>
      <c r="C164" s="19" t="s">
        <v>21</v>
      </c>
      <c r="D164" s="18" t="s">
        <v>38</v>
      </c>
      <c r="E164" s="18"/>
      <c r="F164" s="19"/>
      <c r="G164" s="21"/>
      <c r="H164" s="21"/>
      <c r="I164" s="21" t="s">
        <v>36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20"/>
      <c r="T164" s="12"/>
      <c r="U164" s="12"/>
      <c r="V164" s="12"/>
      <c r="W164" s="110"/>
    </row>
    <row r="165" spans="1:23" s="47" customFormat="1" ht="12.75">
      <c r="A165" s="22"/>
      <c r="B165" s="3" t="s">
        <v>19</v>
      </c>
      <c r="C165" s="8"/>
      <c r="D165" s="10" t="s">
        <v>25</v>
      </c>
      <c r="E165" s="11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90"/>
      <c r="T165" s="5"/>
      <c r="U165" s="5"/>
      <c r="V165" s="5"/>
      <c r="W165" s="104"/>
    </row>
    <row r="166" spans="1:23" s="1" customFormat="1" ht="13.5" thickBot="1">
      <c r="A166" s="170"/>
      <c r="B166" s="169" t="s">
        <v>20</v>
      </c>
      <c r="C166" s="171"/>
      <c r="D166" s="144" t="s">
        <v>26</v>
      </c>
      <c r="E166" s="144" t="s">
        <v>27</v>
      </c>
      <c r="F166" s="171"/>
      <c r="G166" s="80">
        <v>2002</v>
      </c>
      <c r="H166" s="80">
        <v>2003</v>
      </c>
      <c r="I166" s="80">
        <v>2004</v>
      </c>
      <c r="J166" s="80">
        <v>2005</v>
      </c>
      <c r="K166" s="80">
        <v>2006</v>
      </c>
      <c r="L166" s="80">
        <v>2007</v>
      </c>
      <c r="M166" s="80">
        <v>2008</v>
      </c>
      <c r="N166" s="80">
        <v>2009</v>
      </c>
      <c r="O166" s="80">
        <v>2010</v>
      </c>
      <c r="P166" s="80">
        <v>2011</v>
      </c>
      <c r="Q166" s="80">
        <v>2012</v>
      </c>
      <c r="R166" s="80">
        <v>2013</v>
      </c>
      <c r="S166" s="91">
        <v>2014</v>
      </c>
      <c r="T166" s="91">
        <v>2015</v>
      </c>
      <c r="U166" s="91">
        <v>2016</v>
      </c>
      <c r="V166" s="91">
        <v>2017</v>
      </c>
      <c r="W166" s="172">
        <v>2018</v>
      </c>
    </row>
    <row r="167" spans="1:23" s="47" customFormat="1" ht="13.5" thickTop="1">
      <c r="A167" s="51"/>
      <c r="B167" s="9"/>
      <c r="C167" s="9"/>
      <c r="D167" s="9"/>
      <c r="E167" s="9"/>
      <c r="F167" s="9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78"/>
      <c r="U167" s="78"/>
      <c r="V167" s="78"/>
      <c r="W167" s="115"/>
    </row>
    <row r="168" spans="1:23" s="47" customFormat="1" ht="12.75">
      <c r="A168" s="32" t="s">
        <v>44</v>
      </c>
      <c r="B168" s="7">
        <v>36644</v>
      </c>
      <c r="C168" s="6" t="s">
        <v>22</v>
      </c>
      <c r="D168" s="36">
        <f>SUM(G168:M168)</f>
        <v>69830280</v>
      </c>
      <c r="E168" s="36"/>
      <c r="F168" s="6" t="s">
        <v>26</v>
      </c>
      <c r="H168" s="36">
        <f>1548000*B196</f>
        <v>69830280</v>
      </c>
      <c r="I168" s="36"/>
      <c r="J168" s="36"/>
      <c r="K168" s="36"/>
      <c r="L168" s="36"/>
      <c r="M168" s="36"/>
      <c r="N168" s="6"/>
      <c r="O168" s="36"/>
      <c r="P168" s="36"/>
      <c r="Q168" s="36"/>
      <c r="R168" s="36"/>
      <c r="S168" s="36"/>
      <c r="T168" s="78"/>
      <c r="U168" s="78"/>
      <c r="V168" s="78"/>
      <c r="W168" s="115"/>
    </row>
    <row r="169" spans="1:23" s="47" customFormat="1" ht="13.5" thickBot="1">
      <c r="A169" s="25" t="s">
        <v>43</v>
      </c>
      <c r="B169" s="50"/>
      <c r="C169" s="14"/>
      <c r="D169" s="14"/>
      <c r="E169" s="37"/>
      <c r="F169" s="14" t="s">
        <v>27</v>
      </c>
      <c r="G169" s="37"/>
      <c r="H169" s="37"/>
      <c r="I169" s="37"/>
      <c r="J169" s="37"/>
      <c r="K169" s="37"/>
      <c r="L169" s="37"/>
      <c r="M169" s="37"/>
      <c r="N169" s="14"/>
      <c r="O169" s="37"/>
      <c r="P169" s="37"/>
      <c r="Q169" s="37"/>
      <c r="R169" s="37"/>
      <c r="S169" s="37"/>
      <c r="T169" s="70"/>
      <c r="U169" s="70"/>
      <c r="V169" s="70"/>
      <c r="W169" s="120"/>
    </row>
    <row r="170" spans="1:23" s="47" customFormat="1" ht="14.25" thickBot="1" thickTop="1">
      <c r="A170" s="26" t="s">
        <v>7</v>
      </c>
      <c r="B170" s="16"/>
      <c r="C170" s="16"/>
      <c r="D170" s="38">
        <f>SUM(D168:D169)</f>
        <v>69830280</v>
      </c>
      <c r="E170" s="38"/>
      <c r="F170" s="16"/>
      <c r="G170" s="38">
        <f aca="true" t="shared" si="9" ref="G170:M170">SUM(G168:G169)</f>
        <v>0</v>
      </c>
      <c r="H170" s="38">
        <f t="shared" si="9"/>
        <v>69830280</v>
      </c>
      <c r="I170" s="38">
        <f t="shared" si="9"/>
        <v>0</v>
      </c>
      <c r="J170" s="38">
        <f t="shared" si="9"/>
        <v>0</v>
      </c>
      <c r="K170" s="38">
        <f t="shared" si="9"/>
        <v>0</v>
      </c>
      <c r="L170" s="38">
        <f t="shared" si="9"/>
        <v>0</v>
      </c>
      <c r="M170" s="38">
        <f t="shared" si="9"/>
        <v>0</v>
      </c>
      <c r="N170" s="38"/>
      <c r="O170" s="38"/>
      <c r="P170" s="38"/>
      <c r="Q170" s="38"/>
      <c r="R170" s="38"/>
      <c r="S170" s="38"/>
      <c r="T170" s="16"/>
      <c r="U170" s="16"/>
      <c r="V170" s="16"/>
      <c r="W170" s="111"/>
    </row>
    <row r="171" spans="1:23" s="47" customFormat="1" ht="13.5" thickBot="1">
      <c r="A171" s="29"/>
      <c r="B171" s="130"/>
      <c r="C171" s="130"/>
      <c r="D171" s="130"/>
      <c r="E171" s="130"/>
      <c r="F171" s="130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30"/>
      <c r="U171" s="30"/>
      <c r="V171" s="30"/>
      <c r="W171" s="107"/>
    </row>
    <row r="172" spans="1:23" s="47" customFormat="1" ht="12.75">
      <c r="A172" s="48"/>
      <c r="B172" s="12"/>
      <c r="C172" s="12"/>
      <c r="D172" s="12"/>
      <c r="E172" s="12"/>
      <c r="F172" s="12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5"/>
      <c r="U172" s="45"/>
      <c r="V172" s="45"/>
      <c r="W172" s="114"/>
    </row>
    <row r="173" spans="1:23" s="47" customFormat="1" ht="12.75">
      <c r="A173" s="32" t="s">
        <v>45</v>
      </c>
      <c r="B173" s="7">
        <v>36704</v>
      </c>
      <c r="C173" s="6" t="s">
        <v>24</v>
      </c>
      <c r="D173" s="36">
        <f>SUM(G173:O173)</f>
        <v>268326912.00000003</v>
      </c>
      <c r="E173" s="36"/>
      <c r="F173" s="6" t="s">
        <v>26</v>
      </c>
      <c r="G173" s="36"/>
      <c r="H173" s="36"/>
      <c r="I173" s="36"/>
      <c r="J173" s="6"/>
      <c r="K173" s="36">
        <f>1228800*B197</f>
        <v>53665382.400000006</v>
      </c>
      <c r="L173" s="36">
        <f>1228800*B197</f>
        <v>53665382.400000006</v>
      </c>
      <c r="M173" s="36">
        <f>1228800*B197</f>
        <v>53665382.400000006</v>
      </c>
      <c r="N173" s="36">
        <f>1228800*B197</f>
        <v>53665382.400000006</v>
      </c>
      <c r="O173" s="36">
        <f>1228800*B197</f>
        <v>53665382.400000006</v>
      </c>
      <c r="P173" s="36"/>
      <c r="Q173" s="36"/>
      <c r="R173" s="36"/>
      <c r="S173" s="36"/>
      <c r="T173" s="78"/>
      <c r="U173" s="78"/>
      <c r="V173" s="78"/>
      <c r="W173" s="115"/>
    </row>
    <row r="174" spans="1:23" s="47" customFormat="1" ht="12.75">
      <c r="A174" s="6" t="s">
        <v>55</v>
      </c>
      <c r="B174" s="7"/>
      <c r="C174" s="6"/>
      <c r="D174" s="6"/>
      <c r="E174" s="36">
        <f>SUM(G174:K174)</f>
        <v>46478335.155</v>
      </c>
      <c r="F174" s="6" t="s">
        <v>27</v>
      </c>
      <c r="G174" s="36">
        <f>236715*B197</f>
        <v>10338054.195</v>
      </c>
      <c r="H174" s="36">
        <f>236715*B197</f>
        <v>10338054.195</v>
      </c>
      <c r="I174" s="36">
        <f>236715*B197</f>
        <v>10338054.195</v>
      </c>
      <c r="J174" s="36">
        <f>236715*B197</f>
        <v>10338054.195</v>
      </c>
      <c r="K174" s="36">
        <f>117375*B197</f>
        <v>5126118.375</v>
      </c>
      <c r="L174" s="36"/>
      <c r="M174" s="36"/>
      <c r="N174" s="36"/>
      <c r="O174" s="36"/>
      <c r="P174" s="36"/>
      <c r="Q174" s="36"/>
      <c r="R174" s="36"/>
      <c r="S174" s="36"/>
      <c r="T174" s="78"/>
      <c r="U174" s="78"/>
      <c r="V174" s="78"/>
      <c r="W174" s="78"/>
    </row>
    <row r="175" spans="1:23" s="47" customFormat="1" ht="12.75">
      <c r="A175" s="23" t="s">
        <v>45</v>
      </c>
      <c r="B175" s="64">
        <v>37153</v>
      </c>
      <c r="C175" s="9" t="s">
        <v>24</v>
      </c>
      <c r="D175" s="35">
        <f>SUM(G175:P175)</f>
        <v>351130920</v>
      </c>
      <c r="E175" s="63"/>
      <c r="F175" s="62" t="s">
        <v>26</v>
      </c>
      <c r="G175" s="63"/>
      <c r="H175" s="63"/>
      <c r="I175" s="63"/>
      <c r="J175" s="63"/>
      <c r="K175" s="63"/>
      <c r="L175" s="36">
        <f>1608000*B197</f>
        <v>70226184</v>
      </c>
      <c r="M175" s="36">
        <f>1608000*B197</f>
        <v>70226184</v>
      </c>
      <c r="N175" s="36">
        <f>1608000*B197</f>
        <v>70226184</v>
      </c>
      <c r="O175" s="36">
        <f>1608000*B197</f>
        <v>70226184</v>
      </c>
      <c r="P175" s="36">
        <f>1608000*B197</f>
        <v>70226184</v>
      </c>
      <c r="Q175" s="36"/>
      <c r="R175" s="36"/>
      <c r="S175" s="36"/>
      <c r="T175" s="78"/>
      <c r="U175" s="78"/>
      <c r="V175" s="78"/>
      <c r="W175" s="78"/>
    </row>
    <row r="176" spans="1:23" s="47" customFormat="1" ht="13.5" thickBot="1">
      <c r="A176" s="25" t="s">
        <v>55</v>
      </c>
      <c r="B176" s="83"/>
      <c r="C176" s="62"/>
      <c r="D176" s="62"/>
      <c r="E176" s="37">
        <f>SUM(G176:K176)</f>
        <v>65509500</v>
      </c>
      <c r="F176" s="56" t="s">
        <v>27</v>
      </c>
      <c r="G176" s="37">
        <f>300000*B197</f>
        <v>13101900</v>
      </c>
      <c r="H176" s="37">
        <f>300000*B197</f>
        <v>13101900</v>
      </c>
      <c r="I176" s="37">
        <f>300000*B197</f>
        <v>13101900</v>
      </c>
      <c r="J176" s="37">
        <f>300000*B197</f>
        <v>13101900</v>
      </c>
      <c r="K176" s="37">
        <f>300000*B197</f>
        <v>13101900</v>
      </c>
      <c r="L176" s="63"/>
      <c r="M176" s="63"/>
      <c r="N176" s="63"/>
      <c r="O176" s="63"/>
      <c r="P176" s="63"/>
      <c r="Q176" s="63"/>
      <c r="R176" s="37"/>
      <c r="S176" s="37"/>
      <c r="T176" s="70"/>
      <c r="U176" s="70"/>
      <c r="V176" s="70"/>
      <c r="W176" s="70"/>
    </row>
    <row r="177" spans="1:23" s="47" customFormat="1" ht="14.25" thickBot="1" thickTop="1">
      <c r="A177" s="26" t="s">
        <v>7</v>
      </c>
      <c r="B177" s="16"/>
      <c r="C177" s="16"/>
      <c r="D177" s="38">
        <f>SUM(D173:D176)</f>
        <v>619457832</v>
      </c>
      <c r="E177" s="38">
        <f>SUM(E173:E176)</f>
        <v>111987835.155</v>
      </c>
      <c r="F177" s="16"/>
      <c r="G177" s="38">
        <f>SUM(G173:G176)</f>
        <v>23439954.195</v>
      </c>
      <c r="H177" s="38">
        <f aca="true" t="shared" si="10" ref="H177:P177">SUM(H173:H176)</f>
        <v>23439954.195</v>
      </c>
      <c r="I177" s="38">
        <f t="shared" si="10"/>
        <v>23439954.195</v>
      </c>
      <c r="J177" s="38">
        <f t="shared" si="10"/>
        <v>23439954.195</v>
      </c>
      <c r="K177" s="38">
        <f t="shared" si="10"/>
        <v>71893400.775</v>
      </c>
      <c r="L177" s="38">
        <f t="shared" si="10"/>
        <v>123891566.4</v>
      </c>
      <c r="M177" s="38">
        <f t="shared" si="10"/>
        <v>123891566.4</v>
      </c>
      <c r="N177" s="38">
        <f t="shared" si="10"/>
        <v>123891566.4</v>
      </c>
      <c r="O177" s="38">
        <f t="shared" si="10"/>
        <v>123891566.4</v>
      </c>
      <c r="P177" s="38">
        <f t="shared" si="10"/>
        <v>70226184</v>
      </c>
      <c r="Q177" s="38"/>
      <c r="R177" s="39"/>
      <c r="S177" s="39"/>
      <c r="T177" s="30"/>
      <c r="U177" s="30"/>
      <c r="V177" s="30"/>
      <c r="W177" s="107"/>
    </row>
    <row r="178" spans="1:23" s="47" customFormat="1" ht="13.5" thickBot="1">
      <c r="A178" s="129"/>
      <c r="B178" s="130"/>
      <c r="C178" s="130"/>
      <c r="D178" s="130"/>
      <c r="E178" s="130"/>
      <c r="F178" s="130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30"/>
      <c r="U178" s="30"/>
      <c r="V178" s="30"/>
      <c r="W178" s="107"/>
    </row>
    <row r="179" spans="1:23" s="47" customFormat="1" ht="12.75">
      <c r="A179" s="65"/>
      <c r="B179" s="65"/>
      <c r="C179" s="65"/>
      <c r="D179" s="72"/>
      <c r="E179" s="72"/>
      <c r="F179" s="65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6"/>
      <c r="S179" s="72"/>
      <c r="T179" s="45"/>
      <c r="U179" s="45"/>
      <c r="V179" s="45"/>
      <c r="W179" s="45"/>
    </row>
    <row r="180" spans="1:23" s="47" customFormat="1" ht="12.75">
      <c r="A180" s="5" t="s">
        <v>56</v>
      </c>
      <c r="B180" s="68">
        <v>36889</v>
      </c>
      <c r="C180" s="67" t="s">
        <v>24</v>
      </c>
      <c r="D180" s="36">
        <f>SUM(G180:O180)</f>
        <v>655821830.08615</v>
      </c>
      <c r="E180" s="69"/>
      <c r="F180" s="43" t="s">
        <v>26</v>
      </c>
      <c r="G180" s="69">
        <f>15016642.55*B197</f>
        <v>655821830.08615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78"/>
      <c r="U180" s="78"/>
      <c r="V180" s="78"/>
      <c r="W180" s="78"/>
    </row>
    <row r="181" spans="1:23" s="47" customFormat="1" ht="13.5" thickBot="1">
      <c r="A181" s="49" t="s">
        <v>46</v>
      </c>
      <c r="B181" s="70"/>
      <c r="C181" s="70"/>
      <c r="D181" s="74"/>
      <c r="E181" s="37">
        <f>SUM(G181:K181)</f>
        <v>112564.97385</v>
      </c>
      <c r="F181" s="56" t="s">
        <v>27</v>
      </c>
      <c r="G181" s="102">
        <f>2577.45*B197</f>
        <v>112564.97385</v>
      </c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7"/>
      <c r="S181" s="74"/>
      <c r="T181" s="70"/>
      <c r="U181" s="70"/>
      <c r="V181" s="70"/>
      <c r="W181" s="70"/>
    </row>
    <row r="182" spans="1:23" s="47" customFormat="1" ht="14.25" thickBot="1" thickTop="1">
      <c r="A182" s="16" t="s">
        <v>7</v>
      </c>
      <c r="B182" s="16"/>
      <c r="C182" s="16"/>
      <c r="D182" s="38">
        <f>SUM(D180:D181)</f>
        <v>655821830.08615</v>
      </c>
      <c r="E182" s="38">
        <f>SUM(E180:E181)</f>
        <v>112564.97385</v>
      </c>
      <c r="F182" s="16"/>
      <c r="G182" s="38">
        <f>SUM(G180:G181)</f>
        <v>655934395.0600001</v>
      </c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16"/>
      <c r="U182" s="16"/>
      <c r="V182" s="16"/>
      <c r="W182" s="16"/>
    </row>
    <row r="183" spans="1:23" s="47" customFormat="1" ht="13.5" thickBot="1">
      <c r="A183" s="133"/>
      <c r="B183" s="30"/>
      <c r="C183" s="30"/>
      <c r="D183" s="39"/>
      <c r="E183" s="39"/>
      <c r="F183" s="30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0"/>
      <c r="U183" s="30"/>
      <c r="V183" s="30"/>
      <c r="W183" s="30"/>
    </row>
    <row r="184" spans="1:23" s="47" customFormat="1" ht="12.75">
      <c r="A184" s="89"/>
      <c r="B184" s="45"/>
      <c r="C184" s="45"/>
      <c r="D184" s="46"/>
      <c r="E184" s="46"/>
      <c r="F184" s="45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5"/>
      <c r="U184" s="45"/>
      <c r="V184" s="45"/>
      <c r="W184" s="45"/>
    </row>
    <row r="185" spans="1:23" ht="12.75">
      <c r="A185" s="32" t="s">
        <v>34</v>
      </c>
      <c r="B185" s="7">
        <v>36048</v>
      </c>
      <c r="C185" s="6" t="s">
        <v>24</v>
      </c>
      <c r="D185" s="36">
        <f>SUM(G185:M185)</f>
        <v>907142045.2703701</v>
      </c>
      <c r="E185" s="36"/>
      <c r="F185" s="6" t="s">
        <v>26</v>
      </c>
      <c r="G185" s="36">
        <f>3195574.26*B197</f>
        <v>139560314.65698</v>
      </c>
      <c r="H185" s="36">
        <f>3195574.26*B197</f>
        <v>139560314.65698</v>
      </c>
      <c r="I185" s="36">
        <f>3195574.26*B197</f>
        <v>139560314.65698</v>
      </c>
      <c r="J185" s="36">
        <f>3195574.26*B197</f>
        <v>139560314.65698</v>
      </c>
      <c r="K185" s="36">
        <f>3195574.26*B197</f>
        <v>139560314.65698</v>
      </c>
      <c r="L185" s="36">
        <f>3195574.26*B197</f>
        <v>139560314.65698</v>
      </c>
      <c r="M185" s="36">
        <f>1597787.13*B197</f>
        <v>69780157.32849</v>
      </c>
      <c r="N185" s="6"/>
      <c r="O185" s="36"/>
      <c r="P185" s="36"/>
      <c r="Q185" s="36"/>
      <c r="R185" s="36"/>
      <c r="S185" s="36"/>
      <c r="T185" s="6"/>
      <c r="U185" s="6"/>
      <c r="V185" s="6"/>
      <c r="W185" s="6"/>
    </row>
    <row r="186" spans="1:23" ht="12.75">
      <c r="A186" s="6" t="s">
        <v>12</v>
      </c>
      <c r="B186" s="7"/>
      <c r="C186" s="6"/>
      <c r="D186" s="6"/>
      <c r="E186" s="36">
        <f>SUM(G186:M186)</f>
        <v>142844761.40137002</v>
      </c>
      <c r="F186" s="6" t="s">
        <v>27</v>
      </c>
      <c r="G186" s="36">
        <f>898656.76*B197</f>
        <v>39247036.67948</v>
      </c>
      <c r="H186" s="36">
        <f>754855.92*B197</f>
        <v>32966822.59416</v>
      </c>
      <c r="I186" s="36">
        <f>611055.09*B197</f>
        <v>26686608.94557</v>
      </c>
      <c r="J186" s="36">
        <f>467254.24*B197</f>
        <v>20406394.42352</v>
      </c>
      <c r="K186" s="36">
        <f>323453.4*B197</f>
        <v>14126180.338200001</v>
      </c>
      <c r="L186" s="36">
        <f>179652.56*B197</f>
        <v>7845966.2528800005</v>
      </c>
      <c r="M186" s="36">
        <f>35851.72*B197</f>
        <v>1565752.1675600002</v>
      </c>
      <c r="N186" s="6"/>
      <c r="O186" s="36"/>
      <c r="P186" s="36"/>
      <c r="Q186" s="36"/>
      <c r="R186" s="36"/>
      <c r="S186" s="36"/>
      <c r="T186" s="6"/>
      <c r="U186" s="6"/>
      <c r="V186" s="6"/>
      <c r="W186" s="6"/>
    </row>
    <row r="187" spans="1:23" ht="12.75">
      <c r="A187" s="32" t="s">
        <v>34</v>
      </c>
      <c r="B187" s="83">
        <v>36881</v>
      </c>
      <c r="C187" s="62" t="s">
        <v>24</v>
      </c>
      <c r="D187" s="36">
        <f>SUM(G187:W187)</f>
        <v>1441209000</v>
      </c>
      <c r="E187" s="63"/>
      <c r="F187" s="9" t="s">
        <v>26</v>
      </c>
      <c r="G187" s="36"/>
      <c r="H187" s="36"/>
      <c r="I187" s="36">
        <f>2200000*B197</f>
        <v>96080600</v>
      </c>
      <c r="J187" s="36">
        <f>2200000*B197</f>
        <v>96080600</v>
      </c>
      <c r="K187" s="36">
        <f>2200000*B197</f>
        <v>96080600</v>
      </c>
      <c r="L187" s="36">
        <f>2200000*B197</f>
        <v>96080600</v>
      </c>
      <c r="M187" s="36">
        <f>2200000*B197</f>
        <v>96080600</v>
      </c>
      <c r="N187" s="36">
        <f>2200000*B197</f>
        <v>96080600</v>
      </c>
      <c r="O187" s="36">
        <f>2200000*B197</f>
        <v>96080600</v>
      </c>
      <c r="P187" s="36">
        <f>2200000*B197</f>
        <v>96080600</v>
      </c>
      <c r="Q187" s="36">
        <f>2200000*B197</f>
        <v>96080600</v>
      </c>
      <c r="R187" s="36">
        <f>2200000*B197</f>
        <v>96080600</v>
      </c>
      <c r="S187" s="36">
        <f>2200000*B197</f>
        <v>96080600</v>
      </c>
      <c r="T187" s="36">
        <f>2200000*B197</f>
        <v>96080600</v>
      </c>
      <c r="U187" s="36">
        <f>2200000*B197</f>
        <v>96080600</v>
      </c>
      <c r="V187" s="36">
        <f>2200000*B197</f>
        <v>96080600</v>
      </c>
      <c r="W187" s="36">
        <f>2200000*B197</f>
        <v>96080600</v>
      </c>
    </row>
    <row r="188" spans="1:23" ht="12.75">
      <c r="A188" s="86" t="s">
        <v>12</v>
      </c>
      <c r="B188" s="83"/>
      <c r="C188" s="62"/>
      <c r="D188" s="62"/>
      <c r="E188" s="36">
        <f>SUM(G188:T188)</f>
        <v>3743938.6752599995</v>
      </c>
      <c r="F188" s="62" t="s">
        <v>27</v>
      </c>
      <c r="G188" s="36">
        <f>6123.33*B197</f>
        <v>267424.19109000004</v>
      </c>
      <c r="H188" s="36">
        <f>6123.33*B197</f>
        <v>267424.19109000004</v>
      </c>
      <c r="I188" s="36">
        <f>6123.33*B197</f>
        <v>267424.19109000004</v>
      </c>
      <c r="J188" s="36">
        <f>6123.33*B197</f>
        <v>267424.19109000004</v>
      </c>
      <c r="K188" s="36">
        <f>6123.33*B197</f>
        <v>267424.19109000004</v>
      </c>
      <c r="L188" s="36">
        <f>6123.33*B197</f>
        <v>267424.19109000004</v>
      </c>
      <c r="M188" s="36">
        <f>6123.33*B197</f>
        <v>267424.19109000004</v>
      </c>
      <c r="N188" s="36">
        <f>6123.33*B197</f>
        <v>267424.19109000004</v>
      </c>
      <c r="O188" s="36">
        <f>6123.33*B197</f>
        <v>267424.19109000004</v>
      </c>
      <c r="P188" s="36">
        <f>6123.33*B197</f>
        <v>267424.19109000004</v>
      </c>
      <c r="Q188" s="36">
        <f>6123.33*B197</f>
        <v>267424.19109000004</v>
      </c>
      <c r="R188" s="36">
        <f>6123.33*B197</f>
        <v>267424.19109000004</v>
      </c>
      <c r="S188" s="36">
        <f>6123.33*B197</f>
        <v>267424.19109000004</v>
      </c>
      <c r="T188" s="36">
        <f>6123.33*B197</f>
        <v>267424.19109000004</v>
      </c>
      <c r="U188" s="6"/>
      <c r="V188" s="6"/>
      <c r="W188" s="6"/>
    </row>
    <row r="189" spans="1:23" ht="12.75">
      <c r="A189" s="86"/>
      <c r="B189" s="83">
        <v>36881</v>
      </c>
      <c r="C189" s="62" t="s">
        <v>24</v>
      </c>
      <c r="D189" s="36">
        <f>SUM(G189:R189)</f>
        <v>305711000</v>
      </c>
      <c r="E189" s="63"/>
      <c r="F189" s="62" t="s">
        <v>26</v>
      </c>
      <c r="G189" s="36"/>
      <c r="H189" s="36"/>
      <c r="I189" s="36">
        <f>700000*B197</f>
        <v>30571100</v>
      </c>
      <c r="J189" s="36">
        <f>700000*B197</f>
        <v>30571100</v>
      </c>
      <c r="K189" s="36">
        <f>700000*B197</f>
        <v>30571100</v>
      </c>
      <c r="L189" s="36">
        <f>700000*B197</f>
        <v>30571100</v>
      </c>
      <c r="M189" s="36">
        <f>700000*B197</f>
        <v>30571100</v>
      </c>
      <c r="N189" s="36">
        <f>700000*B197</f>
        <v>30571100</v>
      </c>
      <c r="O189" s="36">
        <f>700000*B197</f>
        <v>30571100</v>
      </c>
      <c r="P189" s="36">
        <f>700000*B197</f>
        <v>30571100</v>
      </c>
      <c r="Q189" s="36">
        <f>700000*B197</f>
        <v>30571100</v>
      </c>
      <c r="R189" s="36">
        <f>700000*B197</f>
        <v>30571100</v>
      </c>
      <c r="S189" s="36"/>
      <c r="T189" s="6"/>
      <c r="U189" s="6"/>
      <c r="V189" s="6"/>
      <c r="W189" s="6"/>
    </row>
    <row r="190" spans="1:23" ht="13.5" thickBot="1">
      <c r="A190" s="84"/>
      <c r="B190" s="85"/>
      <c r="C190" s="13"/>
      <c r="D190" s="13"/>
      <c r="E190" s="37">
        <f>SUM(G190:O190)</f>
        <v>525819.8628899999</v>
      </c>
      <c r="F190" s="14" t="s">
        <v>27</v>
      </c>
      <c r="G190" s="37">
        <f>1337.77*B197</f>
        <v>58424.42921</v>
      </c>
      <c r="H190" s="37">
        <f>1337.77*B197</f>
        <v>58424.42921</v>
      </c>
      <c r="I190" s="37">
        <f>1337.77*B197</f>
        <v>58424.42921</v>
      </c>
      <c r="J190" s="37">
        <f>1337.77*B197</f>
        <v>58424.42921</v>
      </c>
      <c r="K190" s="37">
        <f>1337.77*B197</f>
        <v>58424.42921</v>
      </c>
      <c r="L190" s="37">
        <f>1337.77*B197</f>
        <v>58424.42921</v>
      </c>
      <c r="M190" s="37">
        <f>1337.77*B197</f>
        <v>58424.42921</v>
      </c>
      <c r="N190" s="37">
        <f>1337.77*B197</f>
        <v>58424.42921</v>
      </c>
      <c r="O190" s="37">
        <f>1337.77*B197</f>
        <v>58424.42921</v>
      </c>
      <c r="P190" s="37"/>
      <c r="Q190" s="37"/>
      <c r="R190" s="37"/>
      <c r="S190" s="37"/>
      <c r="T190" s="14"/>
      <c r="U190" s="14"/>
      <c r="V190" s="14"/>
      <c r="W190" s="14"/>
    </row>
    <row r="191" spans="1:28" s="2" customFormat="1" ht="14.25" thickBot="1" thickTop="1">
      <c r="A191" s="26" t="s">
        <v>7</v>
      </c>
      <c r="B191" s="16"/>
      <c r="C191" s="16"/>
      <c r="D191" s="38">
        <f>SUM(D185:D190)</f>
        <v>2654062045.27037</v>
      </c>
      <c r="E191" s="38">
        <f>SUM(E185:E190)</f>
        <v>147114519.93952003</v>
      </c>
      <c r="F191" s="16"/>
      <c r="G191" s="38">
        <f aca="true" t="shared" si="11" ref="G191:W191">SUM(G185:G190)</f>
        <v>179133199.95676</v>
      </c>
      <c r="H191" s="38">
        <f t="shared" si="11"/>
        <v>172852985.87144</v>
      </c>
      <c r="I191" s="38">
        <f t="shared" si="11"/>
        <v>293224472.22285</v>
      </c>
      <c r="J191" s="38">
        <f t="shared" si="11"/>
        <v>286944257.7008</v>
      </c>
      <c r="K191" s="38">
        <f t="shared" si="11"/>
        <v>280664043.61548</v>
      </c>
      <c r="L191" s="38">
        <f t="shared" si="11"/>
        <v>274383829.53016</v>
      </c>
      <c r="M191" s="38">
        <f t="shared" si="11"/>
        <v>198323458.11635</v>
      </c>
      <c r="N191" s="38">
        <f t="shared" si="11"/>
        <v>126977548.62030001</v>
      </c>
      <c r="O191" s="38">
        <f t="shared" si="11"/>
        <v>126977548.62030001</v>
      </c>
      <c r="P191" s="38">
        <f t="shared" si="11"/>
        <v>126919124.19109</v>
      </c>
      <c r="Q191" s="38">
        <f t="shared" si="11"/>
        <v>126919124.19109</v>
      </c>
      <c r="R191" s="38">
        <f t="shared" si="11"/>
        <v>126919124.19109</v>
      </c>
      <c r="S191" s="38">
        <f t="shared" si="11"/>
        <v>96348024.19109</v>
      </c>
      <c r="T191" s="38">
        <f t="shared" si="11"/>
        <v>96348024.19109</v>
      </c>
      <c r="U191" s="38">
        <f t="shared" si="11"/>
        <v>96080600</v>
      </c>
      <c r="V191" s="38">
        <f t="shared" si="11"/>
        <v>96080600</v>
      </c>
      <c r="W191" s="38">
        <f t="shared" si="11"/>
        <v>96080600</v>
      </c>
      <c r="AB191" s="87"/>
    </row>
    <row r="192" spans="1:28" s="1" customFormat="1" ht="13.5" thickBot="1">
      <c r="A192" s="29"/>
      <c r="B192" s="130"/>
      <c r="C192" s="130"/>
      <c r="D192" s="130"/>
      <c r="E192" s="130"/>
      <c r="F192" s="130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0"/>
      <c r="U192" s="130"/>
      <c r="V192" s="130"/>
      <c r="W192" s="130"/>
      <c r="AB192" s="88"/>
    </row>
    <row r="193" spans="1:26" ht="16.5" thickBot="1">
      <c r="A193" s="173" t="s">
        <v>39</v>
      </c>
      <c r="B193" s="31"/>
      <c r="C193" s="31"/>
      <c r="D193" s="75">
        <f>D191+D182+D177+D170+D162+D157+D147+D138+D127+D119+D112+D100+D89+D59+D47+D37</f>
        <v>126390581284.93643</v>
      </c>
      <c r="E193" s="75">
        <f>E191+E182+E177+E170+E162+E157+E147+E138+E127+E119+E112+E100+E89+E59+E47+E37</f>
        <v>48971748841.786026</v>
      </c>
      <c r="F193" s="75"/>
      <c r="G193" s="75">
        <f aca="true" t="shared" si="12" ref="G193:Z193">G191+G182+G177+G170+G162+G157+G147+G138+G127+G119+G112+G100+G89+G59+G47+G37</f>
        <v>31233624199.36992</v>
      </c>
      <c r="H193" s="75">
        <f t="shared" si="12"/>
        <v>15058668415.909538</v>
      </c>
      <c r="I193" s="75">
        <f t="shared" si="12"/>
        <v>14460031748.925972</v>
      </c>
      <c r="J193" s="75">
        <f t="shared" si="12"/>
        <v>22081462865.160156</v>
      </c>
      <c r="K193" s="75">
        <f t="shared" si="12"/>
        <v>25808580668.339104</v>
      </c>
      <c r="L193" s="75">
        <f t="shared" si="12"/>
        <v>21460037759.910717</v>
      </c>
      <c r="M193" s="75">
        <f t="shared" si="12"/>
        <v>8508232311.478049</v>
      </c>
      <c r="N193" s="75">
        <f t="shared" si="12"/>
        <v>6717359771.94623</v>
      </c>
      <c r="O193" s="75">
        <f t="shared" si="12"/>
        <v>6256111012.605299</v>
      </c>
      <c r="P193" s="75">
        <f t="shared" si="12"/>
        <v>4947573475.68109</v>
      </c>
      <c r="Q193" s="75">
        <f t="shared" si="12"/>
        <v>3792247584.53509</v>
      </c>
      <c r="R193" s="75">
        <f t="shared" si="12"/>
        <v>3496643547.47909</v>
      </c>
      <c r="S193" s="75">
        <f t="shared" si="12"/>
        <v>9128041532.341091</v>
      </c>
      <c r="T193" s="75">
        <f t="shared" si="12"/>
        <v>1172671820.48109</v>
      </c>
      <c r="U193" s="75">
        <f t="shared" si="12"/>
        <v>274206171.26</v>
      </c>
      <c r="V193" s="75">
        <f t="shared" si="12"/>
        <v>266352892.4</v>
      </c>
      <c r="W193" s="75">
        <f t="shared" si="12"/>
        <v>258499613.54</v>
      </c>
      <c r="X193" s="75">
        <f t="shared" si="12"/>
        <v>154565734.68</v>
      </c>
      <c r="Y193" s="75">
        <f t="shared" si="12"/>
        <v>146712455.82</v>
      </c>
      <c r="Z193" s="75">
        <f t="shared" si="12"/>
        <v>140706544.86</v>
      </c>
    </row>
    <row r="194" ht="12.75">
      <c r="A194" t="s">
        <v>81</v>
      </c>
    </row>
    <row r="195" spans="4:23" ht="12.75">
      <c r="D195" s="52"/>
      <c r="E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2" ht="12.75">
      <c r="A196" t="s">
        <v>22</v>
      </c>
      <c r="B196">
        <v>45.11</v>
      </c>
      <c r="E196" s="52">
        <f>SUM(D193:E193)</f>
        <v>175362330126.72247</v>
      </c>
      <c r="V196" s="58"/>
    </row>
    <row r="197" spans="1:5" ht="12.75">
      <c r="A197" t="s">
        <v>24</v>
      </c>
      <c r="B197">
        <v>43.673</v>
      </c>
      <c r="E197" s="52"/>
    </row>
    <row r="198" spans="1:5" ht="12.75">
      <c r="A198" t="s">
        <v>23</v>
      </c>
      <c r="B198">
        <v>1</v>
      </c>
      <c r="E198" s="52">
        <f>SUM(G193:Z193)</f>
        <v>175362330126.7224</v>
      </c>
    </row>
    <row r="201" ht="12.75">
      <c r="A201" s="79"/>
    </row>
    <row r="202" ht="12.75">
      <c r="A202" s="79"/>
    </row>
    <row r="204" ht="12.75">
      <c r="A204" s="79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&amp;C&amp;16Prehľad štátnych záruk - splátkový kalendár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>splátkové kalendáre aktualizované podľa prichádzajúcich informácií v priebehu roka 2002</dc:description>
  <cp:lastModifiedBy>user</cp:lastModifiedBy>
  <cp:lastPrinted>2003-04-30T11:17:20Z</cp:lastPrinted>
  <dcterms:created xsi:type="dcterms:W3CDTF">1999-11-30T08:07:18Z</dcterms:created>
  <dcterms:modified xsi:type="dcterms:W3CDTF">2003-04-30T11:39:00Z</dcterms:modified>
  <cp:category/>
  <cp:version/>
  <cp:contentType/>
  <cp:contentStatus/>
</cp:coreProperties>
</file>