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tabRatio="858" activeTab="2"/>
  </bookViews>
  <sheets>
    <sheet name="SOP PS" sheetId="1" r:id="rId1"/>
    <sheet name="SOP ĽZ" sheetId="2" r:id="rId2"/>
    <sheet name="SOP P-RV" sheetId="3" r:id="rId3"/>
    <sheet name="OP ZI" sheetId="4" r:id="rId4"/>
    <sheet name="JPD Cieľ 2" sheetId="5" r:id="rId5"/>
    <sheet name="JPD Cieľ 3" sheetId="6" r:id="rId6"/>
    <sheet name="Interreg AT - SR" sheetId="7" r:id="rId7"/>
    <sheet name="Interreg PL - SR" sheetId="8" r:id="rId8"/>
    <sheet name="Interreg SR - ČR" sheetId="9" r:id="rId9"/>
    <sheet name="HU-SR-UA" sheetId="10" r:id="rId10"/>
    <sheet name="IS EQUAL" sheetId="11" r:id="rId11"/>
  </sheets>
  <externalReferences>
    <externalReference r:id="rId14"/>
  </externalReferences>
  <definedNames>
    <definedName name="holiadys">#REF!</definedName>
    <definedName name="holidays">#REF!</definedName>
    <definedName name="nazov_PD">#REF!</definedName>
    <definedName name="_xlnm.Print_Area" localSheetId="5">'JPD Cieľ 3'!$A$1:$W$12</definedName>
    <definedName name="OVZ_SKK">#REF!</definedName>
    <definedName name="prázdniny">'[1]kurzy_ECB Sviatky'!$K$3:$K$102</definedName>
    <definedName name="SF_EUR">#REF!</definedName>
    <definedName name="SF_SKK">#REF!</definedName>
    <definedName name="SFaSR_EUR">#REF!</definedName>
    <definedName name="SFaSR_SKK">#REF!</definedName>
    <definedName name="SR_EUR">#REF!</definedName>
    <definedName name="SR_SKK">#REF!</definedName>
    <definedName name="stav_pd_pj_rok">#REF!</definedName>
    <definedName name="SZ_SKK">#REF!</definedName>
    <definedName name="SZP_term">#REF!</definedName>
    <definedName name="tab">#REF!</definedName>
  </definedNames>
  <calcPr fullCalcOnLoad="1"/>
</workbook>
</file>

<file path=xl/sharedStrings.xml><?xml version="1.0" encoding="utf-8"?>
<sst xmlns="http://schemas.openxmlformats.org/spreadsheetml/2006/main" count="494" uniqueCount="137">
  <si>
    <t>v EUR</t>
  </si>
  <si>
    <t>Programový
dokument</t>
  </si>
  <si>
    <t>v %</t>
  </si>
  <si>
    <t>Zálohová platba
16%</t>
  </si>
  <si>
    <t>Opatrenie 1.1</t>
  </si>
  <si>
    <t>Opatrenie 1.2</t>
  </si>
  <si>
    <t>Opatrenie 1.3</t>
  </si>
  <si>
    <t>Záväzok 
2004-2006</t>
  </si>
  <si>
    <t>Záväzok
2006</t>
  </si>
  <si>
    <t>Záväzok
2005</t>
  </si>
  <si>
    <t>Záväzok
2004</t>
  </si>
  <si>
    <t>Podiel čerpania 
na záväzku 2006</t>
  </si>
  <si>
    <t>Podiel čerpania 
na záväzku 2005</t>
  </si>
  <si>
    <t>Podiel čerpania
na záväzku 2004-2006</t>
  </si>
  <si>
    <t>Potrebné vyčerpať
do 31.12.2008</t>
  </si>
  <si>
    <t>Nezrovnalosti</t>
  </si>
  <si>
    <t>Čerpanie ERDF 
po odpočítaní nezrovnalostí</t>
  </si>
  <si>
    <t>Zálohová platba
15,16%</t>
  </si>
  <si>
    <t>SPOLU</t>
  </si>
  <si>
    <t>Priorita 1 spolu</t>
  </si>
  <si>
    <t>Priorita 2 spolu</t>
  </si>
  <si>
    <t>Opatrenie 2.1</t>
  </si>
  <si>
    <t>Opatrenie 2.2</t>
  </si>
  <si>
    <t>Opatrenie 3.1</t>
  </si>
  <si>
    <t>Opatrenie 3.2</t>
  </si>
  <si>
    <t>Priorita 3 spolu</t>
  </si>
  <si>
    <t>Opatrenie 4.1</t>
  </si>
  <si>
    <t>Opatrenie 4.2</t>
  </si>
  <si>
    <t>Priorita 4 spolu</t>
  </si>
  <si>
    <t>Opatrenie 5.1</t>
  </si>
  <si>
    <t>Opatrenie 5.2</t>
  </si>
  <si>
    <t>Opatrenie 5.3</t>
  </si>
  <si>
    <t>Priorita 5 spolu</t>
  </si>
  <si>
    <t>Priorita 6 TP</t>
  </si>
  <si>
    <t xml:space="preserve">Potrebné vyčerpať
</t>
  </si>
  <si>
    <t xml:space="preserve">Stav čerpania za INTERREG AT-SR k 13.06.2008 podľa opatrení vo vzťahu k záväzkom v EUR </t>
  </si>
  <si>
    <t>Čerpanie ERDF 
k 13.06.2008 po odpočitaní N</t>
  </si>
  <si>
    <t>Potrebné vyčerpať</t>
  </si>
  <si>
    <t>Opatrenie 2.3</t>
  </si>
  <si>
    <t>Priorita 3 TP</t>
  </si>
  <si>
    <t>Opatrenie 1.4</t>
  </si>
  <si>
    <t>Opatrenie 1.5</t>
  </si>
  <si>
    <t>Technická pomoc</t>
  </si>
  <si>
    <t xml:space="preserve">Stav čerpania za OP ZI k 13.06.2008 podľa opatrení vo vzťahu k záväzkom v EUR </t>
  </si>
  <si>
    <t xml:space="preserve">Čerpanie ERDF 
k 13.06.2008 </t>
  </si>
  <si>
    <t>Nezrovnalosti a vratky</t>
  </si>
  <si>
    <t>Podiel čerpania
na záväzku
2004-2006</t>
  </si>
  <si>
    <t>OP ZI polu</t>
  </si>
  <si>
    <t>Priorita 1</t>
  </si>
  <si>
    <t>Priorita 2</t>
  </si>
  <si>
    <t>Opatrenie 2.4</t>
  </si>
  <si>
    <t>Priorita 3</t>
  </si>
  <si>
    <t>Opatrenie 3.3</t>
  </si>
  <si>
    <t>Opatrenie 3.4</t>
  </si>
  <si>
    <t xml:space="preserve">Stav čerpania za OP ZI k 13.06.2008 podľa opatrení vo vzťahu k záväzkom v SKK </t>
  </si>
  <si>
    <t>v SKK</t>
  </si>
  <si>
    <t xml:space="preserve">Stav čerpania za CIP Interreg IIIA PL-SR k 13.06.2008 podľa opatrení vo vzťahu k záväzkom v EUR </t>
  </si>
  <si>
    <t>Čerpanie ERDF 
po odpočítaní nezrovnalostí a vratiek</t>
  </si>
  <si>
    <t>CIP INTERREG IIIA PL-SR</t>
  </si>
  <si>
    <t xml:space="preserve">Stav čerpania za CIP Interreg IIIA PL-SR k 13.06.2008 podľa opatrení vo vzťahu k záväzkom v SKK </t>
  </si>
  <si>
    <t xml:space="preserve">Stav čerpania za CIP Interreg IIIA SR-ČR k 13.06.2008 podľa opatrení vo vzťahu k záväzkom v EUR </t>
  </si>
  <si>
    <t>CIP INTERREG IIIA SR-ČR</t>
  </si>
  <si>
    <t>Stav čerpania za CIP Interreg IIIA SR-ČR k 13.06.2008 podľa opatrení vo vzťahu k záväzkom v SKK</t>
  </si>
  <si>
    <t>Stav čerpania za IS EQUAL k 13.06.2008 podľa opatrení vo vzťahu k záväzkom v EUR</t>
  </si>
  <si>
    <t>Priorita/Opatrenie</t>
  </si>
  <si>
    <t>Schválené SŽP k 13.06.2008</t>
  </si>
  <si>
    <t>Čerpanie IS EQUAL 
k 13.06.2008 po odpočítaní nezrovnalostí</t>
  </si>
  <si>
    <t>Záväzok 
2004 - 2006</t>
  </si>
  <si>
    <t>Podiel čerpania 
na záväzku 
2004 - 2006</t>
  </si>
  <si>
    <t>Potrebné zrealizovať do 31.12.2008 
(k 13.06.2008)</t>
  </si>
  <si>
    <t xml:space="preserve">   Opatrenie 1.1</t>
  </si>
  <si>
    <t xml:space="preserve">   Opatrenie 1.2</t>
  </si>
  <si>
    <t xml:space="preserve">   Opatrenie 2.1</t>
  </si>
  <si>
    <t xml:space="preserve">   Opatrenie 3.1</t>
  </si>
  <si>
    <t>Priorita 4</t>
  </si>
  <si>
    <t xml:space="preserve">   Opatrenie 4.1</t>
  </si>
  <si>
    <t>Priorita  5</t>
  </si>
  <si>
    <t xml:space="preserve">  Opatrenie 5.1</t>
  </si>
  <si>
    <t>TA</t>
  </si>
  <si>
    <t>Spolu</t>
  </si>
  <si>
    <t>Čerpanie SOP ĽZ 
k 13.06.2008 po odpočítaní nezrovnalostí</t>
  </si>
  <si>
    <t xml:space="preserve">   Opatrenie 1.3</t>
  </si>
  <si>
    <t xml:space="preserve">   Opatrenie 2.2</t>
  </si>
  <si>
    <t xml:space="preserve">   Opatrenie 3.2</t>
  </si>
  <si>
    <t xml:space="preserve">Opatrenie 3.3         </t>
  </si>
  <si>
    <t xml:space="preserve">Technická pomoc </t>
  </si>
  <si>
    <t>MPSVR SR</t>
  </si>
  <si>
    <t>MŠ SR</t>
  </si>
  <si>
    <t>Stav čerpania za JPD NUTS II - Bratislava Cieľ 3 k 13. 06. 2008 podľa opatrení vo vzťahu k záväzkom v EUR</t>
  </si>
  <si>
    <t>Programový dokument</t>
  </si>
  <si>
    <t xml:space="preserve">Nezrovnalosti a vratky </t>
  </si>
  <si>
    <t xml:space="preserve">Čerpanie JPD Cieľ 3 k 13.06.2008 v EUR po odpočítaní nezrovnalostí </t>
  </si>
  <si>
    <t>Záväzok
2004-2006 (po automatickom znížení a realokáciách)</t>
  </si>
  <si>
    <t xml:space="preserve">Podiel čerpania na záväzku                2004-2006 </t>
  </si>
  <si>
    <t>Záväzok 2004 v bežných cenách v EUR (znížený záväzok)</t>
  </si>
  <si>
    <t>Zálohové platby EK v EUR</t>
  </si>
  <si>
    <t>Záväzok 2004 - zálohové platby (potrebné vyčerpať do 31.12.2006)</t>
  </si>
  <si>
    <t>Objem nevyčerpaných prostriedkov za záv. 2004 zníženého o zál. platby</t>
  </si>
  <si>
    <t xml:space="preserve">Záväzok 2005 v bežných cenách v EUR
</t>
  </si>
  <si>
    <t>Potrebné vyčerpať zo záväzku 2005 do 31.12.2007
(záv. 2005-čerpanie-záv. 2004 + zál. platby)</t>
  </si>
  <si>
    <t>Podiel čerpania na záväzku 2005 v %</t>
  </si>
  <si>
    <t>Záväzok 2006 v bežných cenách v EUR</t>
  </si>
  <si>
    <t>Záväzok 2006 + zálohové platby (potrebné vyčerpať do 31.10.2008)</t>
  </si>
  <si>
    <t>Záväzok 2006 + zálohové platby (potrebné zrealizovať do 31.12.2008 k aktuálnemu dňu)</t>
  </si>
  <si>
    <t>Podiel čerpania na záväzku 2006</t>
  </si>
  <si>
    <t>Podiel celkového čerpania 2004+2005+2006 na prostriedkoch čerpaných v r. 2004 a v r. 2005, a na prostriedkoch  zabezpečených v ŠR na r. 2006 a  v %</t>
  </si>
  <si>
    <t>EÚ zdroje</t>
  </si>
  <si>
    <t>Zdroje ŠR</t>
  </si>
  <si>
    <t>a</t>
  </si>
  <si>
    <t>b</t>
  </si>
  <si>
    <t>3=1/2</t>
  </si>
  <si>
    <t>6=4-5</t>
  </si>
  <si>
    <t>10=9-1-5+4</t>
  </si>
  <si>
    <t>11=(1-4+5)/9</t>
  </si>
  <si>
    <t>13=12+5</t>
  </si>
  <si>
    <t>14=(1-4-9+5)/12</t>
  </si>
  <si>
    <t>JPD Cieľ 3 Spolu</t>
  </si>
  <si>
    <t xml:space="preserve"> </t>
  </si>
  <si>
    <t>Čerpanie SOP P-RV k 13.06.2008
po odpočítaní nezrovnalostí</t>
  </si>
  <si>
    <t xml:space="preserve">Podiel čerpania
na záväzku 2004-2006 </t>
  </si>
  <si>
    <t>SOP P-RV spolu</t>
  </si>
  <si>
    <t xml:space="preserve">Stav čerpania za SOP PS k 13.06.2008 podľa opatrení vo vzťahu k záväzkom v EUR </t>
  </si>
  <si>
    <t>Čerpanie ERDF 
k 13.6.2008 po odčítaní nezrovnalostí</t>
  </si>
  <si>
    <t xml:space="preserve">Stav čerpania za JPD 2 k 13.06.2008 podľa opatrení vo vzťahu k záväzkom v EUR </t>
  </si>
  <si>
    <t xml:space="preserve">Stav čerpania za INTERREG HU-SR-UKR k 13.06.2008 podľa opatrení vo vzťahu k záväzkom v EUR </t>
  </si>
  <si>
    <t>Čerpanie ERDF 
k 13.06.2008 po odpočítani N</t>
  </si>
  <si>
    <t>Stav čerpania za SOP ĽZ k 13.06.2008 podľa opatrení vo vzťahu k záväzkom v EUR</t>
  </si>
  <si>
    <t>Čerpanie ERDF 
k 13.06.2008 po odpočítaní nezrovnalostí</t>
  </si>
  <si>
    <r>
      <t xml:space="preserve">Priorita 1 - </t>
    </r>
    <r>
      <rPr>
        <i/>
        <sz val="11"/>
        <color indexed="10"/>
        <rFont val="Arial Narrow"/>
        <family val="2"/>
      </rPr>
      <t>MPSVR SR</t>
    </r>
  </si>
  <si>
    <r>
      <t xml:space="preserve">Priorita 2 - </t>
    </r>
    <r>
      <rPr>
        <i/>
        <sz val="11"/>
        <color indexed="10"/>
        <rFont val="Arial Narrow"/>
        <family val="2"/>
      </rPr>
      <t>MPSVR SR</t>
    </r>
  </si>
  <si>
    <r>
      <t xml:space="preserve">   Opatrenie 3.1 - </t>
    </r>
    <r>
      <rPr>
        <i/>
        <sz val="11"/>
        <color indexed="12"/>
        <rFont val="Arial Narrow"/>
        <family val="2"/>
      </rPr>
      <t>MŠ SR</t>
    </r>
  </si>
  <si>
    <r>
      <t xml:space="preserve">3.2.1 </t>
    </r>
    <r>
      <rPr>
        <i/>
        <sz val="11"/>
        <color indexed="10"/>
        <rFont val="Arial Narrow"/>
        <family val="2"/>
      </rPr>
      <t>MPSVR SR</t>
    </r>
  </si>
  <si>
    <r>
      <t xml:space="preserve">3.2.2 </t>
    </r>
    <r>
      <rPr>
        <i/>
        <sz val="11"/>
        <color indexed="12"/>
        <rFont val="Arial Narrow"/>
        <family val="2"/>
      </rPr>
      <t>MŠ SR</t>
    </r>
  </si>
  <si>
    <r>
      <t xml:space="preserve">3.3.1 </t>
    </r>
    <r>
      <rPr>
        <i/>
        <sz val="11"/>
        <color indexed="12"/>
        <rFont val="Arial Narrow"/>
        <family val="2"/>
      </rPr>
      <t>MŠ SR</t>
    </r>
  </si>
  <si>
    <r>
      <t xml:space="preserve">3.3.2 </t>
    </r>
    <r>
      <rPr>
        <i/>
        <sz val="11"/>
        <color indexed="10"/>
        <rFont val="Arial Narrow"/>
        <family val="2"/>
      </rPr>
      <t>MPSVR SR</t>
    </r>
  </si>
  <si>
    <t xml:space="preserve">Stav čerpania za SOP P-RV k 13.06.2008 podľa opatrení vo vzťahu k záväzkom v EUR </t>
  </si>
  <si>
    <t xml:space="preserve">Potrebné vyčerpať
do 31.12.2008 </t>
  </si>
</sst>
</file>

<file path=xl/styles.xml><?xml version="1.0" encoding="utf-8"?>
<styleSheet xmlns="http://schemas.openxmlformats.org/spreadsheetml/2006/main">
  <numFmts count="5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00\ 00"/>
    <numFmt numFmtId="173" formatCode="mmm/yyyy"/>
    <numFmt numFmtId="174" formatCode="0.000"/>
    <numFmt numFmtId="175" formatCode="#,##0.000"/>
    <numFmt numFmtId="176" formatCode="#,##0.0"/>
    <numFmt numFmtId="177" formatCode="0.0000"/>
    <numFmt numFmtId="178" formatCode="0.0"/>
    <numFmt numFmtId="179" formatCode="0.0%"/>
    <numFmt numFmtId="180" formatCode="#,##0.0000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0.00000000%"/>
    <numFmt numFmtId="190" formatCode="0.000000000%"/>
    <numFmt numFmtId="191" formatCode="0.0000000000%"/>
    <numFmt numFmtId="192" formatCode="0.00000000000%"/>
    <numFmt numFmtId="193" formatCode="0.000000000000%"/>
    <numFmt numFmtId="194" formatCode="0.0000000000000%"/>
    <numFmt numFmtId="195" formatCode="0.00000000000000%"/>
    <numFmt numFmtId="196" formatCode="0.000000000000000%"/>
    <numFmt numFmtId="197" formatCode="0.0000000000000000%"/>
    <numFmt numFmtId="198" formatCode="0.00000000000000000%"/>
    <numFmt numFmtId="199" formatCode="0.000000000000000000%"/>
    <numFmt numFmtId="200" formatCode="0.0000000000000000000%"/>
    <numFmt numFmtId="201" formatCode="#,##0.00000"/>
    <numFmt numFmtId="202" formatCode="[$-41B]d\.\ mmmm\ yyyy"/>
    <numFmt numFmtId="203" formatCode="m/d/yyyy"/>
    <numFmt numFmtId="204" formatCode="00"/>
    <numFmt numFmtId="205" formatCode="####"/>
    <numFmt numFmtId="206" formatCode="000000000000"/>
    <numFmt numFmtId="207" formatCode="\$00000000000"/>
    <numFmt numFmtId="208" formatCode="00000000000"/>
    <numFmt numFmtId="209" formatCode="*00000000000"/>
    <numFmt numFmtId="210" formatCode="&quot;S&quot;00000000000"/>
    <numFmt numFmtId="211" formatCode="&quot;S&quot;0000000000"/>
    <numFmt numFmtId="212" formatCode="[$-405]d\.\ mmmm\ yyyy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i/>
      <sz val="10"/>
      <name val="Arial Narrow"/>
      <family val="2"/>
    </font>
    <font>
      <i/>
      <sz val="11"/>
      <color indexed="10"/>
      <name val="Arial Narrow"/>
      <family val="2"/>
    </font>
    <font>
      <i/>
      <sz val="11"/>
      <color indexed="12"/>
      <name val="Arial Narrow"/>
      <family val="2"/>
    </font>
    <font>
      <b/>
      <i/>
      <sz val="11"/>
      <name val="Arial Narrow"/>
      <family val="2"/>
    </font>
    <font>
      <b/>
      <sz val="11"/>
      <color indexed="10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right"/>
    </xf>
    <xf numFmtId="4" fontId="8" fillId="0" borderId="6" xfId="0" applyNumberFormat="1" applyFont="1" applyFill="1" applyBorder="1" applyAlignment="1">
      <alignment/>
    </xf>
    <xf numFmtId="4" fontId="8" fillId="0" borderId="6" xfId="0" applyNumberFormat="1" applyFont="1" applyFill="1" applyBorder="1" applyAlignment="1">
      <alignment horizontal="center"/>
    </xf>
    <xf numFmtId="4" fontId="8" fillId="0" borderId="7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/>
    </xf>
    <xf numFmtId="4" fontId="8" fillId="0" borderId="9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/>
    </xf>
    <xf numFmtId="4" fontId="7" fillId="0" borderId="6" xfId="0" applyNumberFormat="1" applyFont="1" applyFill="1" applyBorder="1" applyAlignment="1">
      <alignment/>
    </xf>
    <xf numFmtId="4" fontId="7" fillId="0" borderId="6" xfId="0" applyNumberFormat="1" applyFont="1" applyFill="1" applyBorder="1" applyAlignment="1">
      <alignment horizontal="center"/>
    </xf>
    <xf numFmtId="4" fontId="7" fillId="0" borderId="7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/>
    </xf>
    <xf numFmtId="4" fontId="7" fillId="2" borderId="15" xfId="0" applyNumberFormat="1" applyFont="1" applyFill="1" applyBorder="1" applyAlignment="1">
      <alignment/>
    </xf>
    <xf numFmtId="4" fontId="7" fillId="2" borderId="15" xfId="0" applyNumberFormat="1" applyFont="1" applyFill="1" applyBorder="1" applyAlignment="1">
      <alignment horizontal="center"/>
    </xf>
    <xf numFmtId="4" fontId="7" fillId="2" borderId="16" xfId="0" applyNumberFormat="1" applyFont="1" applyFill="1" applyBorder="1" applyAlignment="1">
      <alignment horizontal="right"/>
    </xf>
    <xf numFmtId="0" fontId="6" fillId="2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wrapText="1"/>
    </xf>
    <xf numFmtId="0" fontId="10" fillId="3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wrapText="1"/>
    </xf>
    <xf numFmtId="4" fontId="6" fillId="0" borderId="9" xfId="0" applyNumberFormat="1" applyFont="1" applyFill="1" applyBorder="1" applyAlignment="1">
      <alignment wrapText="1"/>
    </xf>
    <xf numFmtId="3" fontId="6" fillId="0" borderId="9" xfId="0" applyNumberFormat="1" applyFont="1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4" fontId="10" fillId="0" borderId="9" xfId="0" applyNumberFormat="1" applyFont="1" applyFill="1" applyBorder="1" applyAlignment="1">
      <alignment wrapText="1"/>
    </xf>
    <xf numFmtId="3" fontId="10" fillId="0" borderId="9" xfId="0" applyNumberFormat="1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4" fontId="6" fillId="2" borderId="9" xfId="0" applyNumberFormat="1" applyFont="1" applyFill="1" applyBorder="1" applyAlignment="1">
      <alignment wrapText="1"/>
    </xf>
    <xf numFmtId="3" fontId="6" fillId="2" borderId="9" xfId="0" applyNumberFormat="1" applyFont="1" applyFill="1" applyBorder="1" applyAlignment="1">
      <alignment wrapText="1"/>
    </xf>
    <xf numFmtId="0" fontId="6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/>
    </xf>
    <xf numFmtId="4" fontId="10" fillId="2" borderId="9" xfId="0" applyNumberFormat="1" applyFont="1" applyFill="1" applyBorder="1" applyAlignment="1">
      <alignment/>
    </xf>
    <xf numFmtId="4" fontId="10" fillId="2" borderId="9" xfId="0" applyNumberFormat="1" applyFont="1" applyFill="1" applyBorder="1" applyAlignment="1">
      <alignment horizontal="center"/>
    </xf>
    <xf numFmtId="4" fontId="10" fillId="2" borderId="9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4" fontId="10" fillId="0" borderId="9" xfId="0" applyNumberFormat="1" applyFont="1" applyFill="1" applyBorder="1" applyAlignment="1">
      <alignment/>
    </xf>
    <xf numFmtId="4" fontId="10" fillId="0" borderId="9" xfId="0" applyNumberFormat="1" applyFont="1" applyFill="1" applyBorder="1" applyAlignment="1">
      <alignment horizontal="center"/>
    </xf>
    <xf numFmtId="4" fontId="10" fillId="0" borderId="9" xfId="0" applyNumberFormat="1" applyFont="1" applyFill="1" applyBorder="1" applyAlignment="1">
      <alignment horizontal="right"/>
    </xf>
    <xf numFmtId="0" fontId="6" fillId="4" borderId="9" xfId="0" applyFont="1" applyFill="1" applyBorder="1" applyAlignment="1">
      <alignment/>
    </xf>
    <xf numFmtId="4" fontId="6" fillId="4" borderId="9" xfId="0" applyNumberFormat="1" applyFont="1" applyFill="1" applyBorder="1" applyAlignment="1">
      <alignment/>
    </xf>
    <xf numFmtId="4" fontId="6" fillId="4" borderId="9" xfId="0" applyNumberFormat="1" applyFont="1" applyFill="1" applyBorder="1" applyAlignment="1">
      <alignment horizontal="center"/>
    </xf>
    <xf numFmtId="4" fontId="6" fillId="4" borderId="9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" fontId="2" fillId="5" borderId="0" xfId="0" applyNumberFormat="1" applyFont="1" applyFill="1" applyBorder="1" applyAlignment="1">
      <alignment horizontal="right"/>
    </xf>
    <xf numFmtId="4" fontId="3" fillId="5" borderId="0" xfId="0" applyNumberFormat="1" applyFont="1" applyFill="1" applyBorder="1" applyAlignment="1">
      <alignment horizontal="right"/>
    </xf>
    <xf numFmtId="4" fontId="1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5" borderId="0" xfId="0" applyNumberFormat="1" applyFont="1" applyFill="1" applyAlignment="1">
      <alignment/>
    </xf>
    <xf numFmtId="0" fontId="6" fillId="0" borderId="17" xfId="0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6" fillId="0" borderId="5" xfId="0" applyFont="1" applyFill="1" applyBorder="1" applyAlignment="1">
      <alignment/>
    </xf>
    <xf numFmtId="4" fontId="6" fillId="0" borderId="9" xfId="0" applyNumberFormat="1" applyFont="1" applyFill="1" applyBorder="1" applyAlignment="1">
      <alignment/>
    </xf>
    <xf numFmtId="4" fontId="6" fillId="0" borderId="6" xfId="0" applyNumberFormat="1" applyFont="1" applyFill="1" applyBorder="1" applyAlignment="1">
      <alignment/>
    </xf>
    <xf numFmtId="10" fontId="6" fillId="0" borderId="6" xfId="20" applyNumberFormat="1" applyFon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0" fontId="10" fillId="0" borderId="8" xfId="0" applyFont="1" applyFill="1" applyBorder="1" applyAlignment="1">
      <alignment horizontal="right"/>
    </xf>
    <xf numFmtId="10" fontId="10" fillId="0" borderId="9" xfId="2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10" fontId="6" fillId="0" borderId="9" xfId="2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0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0" fontId="6" fillId="2" borderId="11" xfId="0" applyFont="1" applyFill="1" applyBorder="1" applyAlignment="1">
      <alignment/>
    </xf>
    <xf numFmtId="4" fontId="6" fillId="2" borderId="12" xfId="0" applyNumberFormat="1" applyFont="1" applyFill="1" applyBorder="1" applyAlignment="1">
      <alignment/>
    </xf>
    <xf numFmtId="10" fontId="6" fillId="2" borderId="12" xfId="20" applyNumberFormat="1" applyFont="1" applyFill="1" applyBorder="1" applyAlignment="1">
      <alignment/>
    </xf>
    <xf numFmtId="4" fontId="6" fillId="2" borderId="1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43" fontId="10" fillId="0" borderId="0" xfId="15" applyFont="1" applyAlignment="1">
      <alignment/>
    </xf>
    <xf numFmtId="0" fontId="6" fillId="2" borderId="5" xfId="0" applyFont="1" applyFill="1" applyBorder="1" applyAlignment="1">
      <alignment/>
    </xf>
    <xf numFmtId="4" fontId="6" fillId="2" borderId="6" xfId="0" applyNumberFormat="1" applyFont="1" applyFill="1" applyBorder="1" applyAlignment="1">
      <alignment/>
    </xf>
    <xf numFmtId="4" fontId="6" fillId="2" borderId="6" xfId="0" applyNumberFormat="1" applyFont="1" applyFill="1" applyBorder="1" applyAlignment="1">
      <alignment horizontal="center"/>
    </xf>
    <xf numFmtId="4" fontId="6" fillId="2" borderId="7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right"/>
    </xf>
    <xf numFmtId="4" fontId="10" fillId="0" borderId="12" xfId="0" applyNumberFormat="1" applyFont="1" applyFill="1" applyBorder="1" applyAlignment="1">
      <alignment/>
    </xf>
    <xf numFmtId="4" fontId="10" fillId="0" borderId="12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 horizontal="center"/>
    </xf>
    <xf numFmtId="4" fontId="10" fillId="0" borderId="16" xfId="0" applyNumberFormat="1" applyFont="1" applyFill="1" applyBorder="1" applyAlignment="1">
      <alignment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6" borderId="21" xfId="0" applyFont="1" applyFill="1" applyBorder="1" applyAlignment="1">
      <alignment/>
    </xf>
    <xf numFmtId="4" fontId="6" fillId="6" borderId="6" xfId="0" applyNumberFormat="1" applyFont="1" applyFill="1" applyBorder="1" applyAlignment="1">
      <alignment/>
    </xf>
    <xf numFmtId="4" fontId="6" fillId="6" borderId="6" xfId="0" applyNumberFormat="1" applyFont="1" applyFill="1" applyBorder="1" applyAlignment="1">
      <alignment horizontal="center"/>
    </xf>
    <xf numFmtId="4" fontId="6" fillId="6" borderId="22" xfId="0" applyNumberFormat="1" applyFont="1" applyFill="1" applyBorder="1" applyAlignment="1">
      <alignment/>
    </xf>
    <xf numFmtId="0" fontId="10" fillId="7" borderId="23" xfId="0" applyFont="1" applyFill="1" applyBorder="1" applyAlignment="1">
      <alignment/>
    </xf>
    <xf numFmtId="4" fontId="10" fillId="7" borderId="9" xfId="0" applyNumberFormat="1" applyFont="1" applyFill="1" applyBorder="1" applyAlignment="1">
      <alignment/>
    </xf>
    <xf numFmtId="4" fontId="10" fillId="7" borderId="9" xfId="0" applyNumberFormat="1" applyFont="1" applyFill="1" applyBorder="1" applyAlignment="1">
      <alignment horizontal="center"/>
    </xf>
    <xf numFmtId="4" fontId="10" fillId="7" borderId="24" xfId="0" applyNumberFormat="1" applyFont="1" applyFill="1" applyBorder="1" applyAlignment="1">
      <alignment/>
    </xf>
    <xf numFmtId="0" fontId="10" fillId="0" borderId="23" xfId="0" applyFont="1" applyFill="1" applyBorder="1" applyAlignment="1">
      <alignment horizontal="right"/>
    </xf>
    <xf numFmtId="4" fontId="10" fillId="0" borderId="24" xfId="0" applyNumberFormat="1" applyFont="1" applyFill="1" applyBorder="1" applyAlignment="1">
      <alignment/>
    </xf>
    <xf numFmtId="0" fontId="10" fillId="7" borderId="25" xfId="0" applyFont="1" applyFill="1" applyBorder="1" applyAlignment="1">
      <alignment/>
    </xf>
    <xf numFmtId="4" fontId="10" fillId="7" borderId="3" xfId="0" applyNumberFormat="1" applyFont="1" applyFill="1" applyBorder="1" applyAlignment="1">
      <alignment/>
    </xf>
    <xf numFmtId="4" fontId="10" fillId="7" borderId="3" xfId="0" applyNumberFormat="1" applyFont="1" applyFill="1" applyBorder="1" applyAlignment="1">
      <alignment horizontal="center"/>
    </xf>
    <xf numFmtId="4" fontId="10" fillId="7" borderId="26" xfId="0" applyNumberFormat="1" applyFont="1" applyFill="1" applyBorder="1" applyAlignment="1">
      <alignment/>
    </xf>
    <xf numFmtId="14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8" fillId="0" borderId="7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6" fillId="0" borderId="6" xfId="0" applyNumberFormat="1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right"/>
    </xf>
    <xf numFmtId="4" fontId="7" fillId="2" borderId="16" xfId="0" applyNumberFormat="1" applyFon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27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wrapText="1"/>
    </xf>
    <xf numFmtId="4" fontId="10" fillId="0" borderId="29" xfId="0" applyNumberFormat="1" applyFont="1" applyFill="1" applyBorder="1" applyAlignment="1">
      <alignment horizontal="center" wrapText="1"/>
    </xf>
    <xf numFmtId="4" fontId="10" fillId="0" borderId="30" xfId="0" applyNumberFormat="1" applyFont="1" applyFill="1" applyBorder="1" applyAlignment="1">
      <alignment horizontal="center" wrapText="1"/>
    </xf>
    <xf numFmtId="4" fontId="10" fillId="0" borderId="31" xfId="0" applyNumberFormat="1" applyFont="1" applyFill="1" applyBorder="1" applyAlignment="1">
      <alignment horizontal="center" wrapText="1"/>
    </xf>
    <xf numFmtId="4" fontId="10" fillId="0" borderId="32" xfId="0" applyNumberFormat="1" applyFont="1" applyFill="1" applyBorder="1" applyAlignment="1">
      <alignment horizontal="center" wrapText="1"/>
    </xf>
    <xf numFmtId="4" fontId="10" fillId="0" borderId="33" xfId="0" applyNumberFormat="1" applyFont="1" applyFill="1" applyBorder="1" applyAlignment="1">
      <alignment horizontal="center" wrapText="1"/>
    </xf>
    <xf numFmtId="4" fontId="10" fillId="0" borderId="34" xfId="0" applyNumberFormat="1" applyFont="1" applyFill="1" applyBorder="1" applyAlignment="1">
      <alignment horizontal="center" wrapText="1"/>
    </xf>
    <xf numFmtId="4" fontId="14" fillId="4" borderId="9" xfId="0" applyNumberFormat="1" applyFont="1" applyFill="1" applyBorder="1" applyAlignment="1">
      <alignment horizontal="right" wrapText="1"/>
    </xf>
    <xf numFmtId="4" fontId="6" fillId="2" borderId="35" xfId="0" applyNumberFormat="1" applyFont="1" applyFill="1" applyBorder="1" applyAlignment="1">
      <alignment horizontal="center" wrapText="1"/>
    </xf>
    <xf numFmtId="4" fontId="6" fillId="2" borderId="3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10" fontId="10" fillId="0" borderId="0" xfId="20" applyNumberFormat="1" applyFont="1" applyFill="1" applyBorder="1" applyAlignment="1">
      <alignment horizontal="right" wrapText="1"/>
    </xf>
    <xf numFmtId="4" fontId="10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5" xfId="0" applyFont="1" applyFill="1" applyBorder="1" applyAlignment="1">
      <alignment horizontal="right"/>
    </xf>
    <xf numFmtId="4" fontId="10" fillId="0" borderId="6" xfId="0" applyNumberFormat="1" applyFont="1" applyFill="1" applyBorder="1" applyAlignment="1">
      <alignment/>
    </xf>
    <xf numFmtId="4" fontId="10" fillId="0" borderId="6" xfId="0" applyNumberFormat="1" applyFont="1" applyFill="1" applyBorder="1" applyAlignment="1">
      <alignment horizontal="center"/>
    </xf>
    <xf numFmtId="4" fontId="10" fillId="0" borderId="7" xfId="0" applyNumberFormat="1" applyFont="1" applyFill="1" applyBorder="1" applyAlignment="1">
      <alignment/>
    </xf>
    <xf numFmtId="4" fontId="6" fillId="0" borderId="9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4" fontId="6" fillId="2" borderId="15" xfId="0" applyNumberFormat="1" applyFont="1" applyFill="1" applyBorder="1" applyAlignment="1">
      <alignment/>
    </xf>
    <xf numFmtId="4" fontId="6" fillId="2" borderId="15" xfId="0" applyNumberFormat="1" applyFont="1" applyFill="1" applyBorder="1" applyAlignment="1">
      <alignment horizontal="center"/>
    </xf>
    <xf numFmtId="4" fontId="6" fillId="2" borderId="16" xfId="0" applyNumberFormat="1" applyFont="1" applyFill="1" applyBorder="1" applyAlignment="1">
      <alignment/>
    </xf>
    <xf numFmtId="0" fontId="10" fillId="0" borderId="5" xfId="0" applyFont="1" applyFill="1" applyBorder="1" applyAlignment="1">
      <alignment/>
    </xf>
    <xf numFmtId="3" fontId="10" fillId="0" borderId="6" xfId="0" applyNumberFormat="1" applyFont="1" applyFill="1" applyBorder="1" applyAlignment="1">
      <alignment/>
    </xf>
    <xf numFmtId="3" fontId="10" fillId="0" borderId="9" xfId="0" applyNumberFormat="1" applyFont="1" applyFill="1" applyBorder="1" applyAlignment="1">
      <alignment/>
    </xf>
    <xf numFmtId="0" fontId="6" fillId="8" borderId="21" xfId="0" applyFont="1" applyFill="1" applyBorder="1" applyAlignment="1">
      <alignment/>
    </xf>
    <xf numFmtId="4" fontId="6" fillId="8" borderId="6" xfId="0" applyNumberFormat="1" applyFont="1" applyFill="1" applyBorder="1" applyAlignment="1">
      <alignment/>
    </xf>
    <xf numFmtId="4" fontId="6" fillId="8" borderId="6" xfId="0" applyNumberFormat="1" applyFont="1" applyFill="1" applyBorder="1" applyAlignment="1">
      <alignment horizontal="center"/>
    </xf>
    <xf numFmtId="4" fontId="6" fillId="8" borderId="22" xfId="0" applyNumberFormat="1" applyFont="1" applyFill="1" applyBorder="1" applyAlignment="1">
      <alignment/>
    </xf>
    <xf numFmtId="0" fontId="10" fillId="9" borderId="23" xfId="0" applyFont="1" applyFill="1" applyBorder="1" applyAlignment="1">
      <alignment/>
    </xf>
    <xf numFmtId="4" fontId="10" fillId="9" borderId="9" xfId="0" applyNumberFormat="1" applyFont="1" applyFill="1" applyBorder="1" applyAlignment="1">
      <alignment/>
    </xf>
    <xf numFmtId="3" fontId="10" fillId="9" borderId="9" xfId="0" applyNumberFormat="1" applyFont="1" applyFill="1" applyBorder="1" applyAlignment="1">
      <alignment/>
    </xf>
    <xf numFmtId="4" fontId="10" fillId="9" borderId="9" xfId="0" applyNumberFormat="1" applyFont="1" applyFill="1" applyBorder="1" applyAlignment="1">
      <alignment horizontal="center"/>
    </xf>
    <xf numFmtId="4" fontId="10" fillId="9" borderId="24" xfId="0" applyNumberFormat="1" applyFont="1" applyFill="1" applyBorder="1" applyAlignment="1">
      <alignment/>
    </xf>
    <xf numFmtId="4" fontId="15" fillId="0" borderId="9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right"/>
    </xf>
    <xf numFmtId="4" fontId="10" fillId="0" borderId="3" xfId="0" applyNumberFormat="1" applyFont="1" applyFill="1" applyBorder="1" applyAlignment="1">
      <alignment/>
    </xf>
    <xf numFmtId="4" fontId="10" fillId="0" borderId="3" xfId="0" applyNumberFormat="1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/>
    </xf>
    <xf numFmtId="0" fontId="6" fillId="10" borderId="21" xfId="0" applyFont="1" applyFill="1" applyBorder="1" applyAlignment="1">
      <alignment/>
    </xf>
    <xf numFmtId="4" fontId="6" fillId="10" borderId="6" xfId="0" applyNumberFormat="1" applyFont="1" applyFill="1" applyBorder="1" applyAlignment="1">
      <alignment/>
    </xf>
    <xf numFmtId="4" fontId="6" fillId="10" borderId="6" xfId="0" applyNumberFormat="1" applyFont="1" applyFill="1" applyBorder="1" applyAlignment="1">
      <alignment horizontal="center"/>
    </xf>
    <xf numFmtId="4" fontId="6" fillId="10" borderId="22" xfId="0" applyNumberFormat="1" applyFont="1" applyFill="1" applyBorder="1" applyAlignment="1">
      <alignment/>
    </xf>
    <xf numFmtId="0" fontId="10" fillId="3" borderId="23" xfId="0" applyFont="1" applyFill="1" applyBorder="1" applyAlignment="1">
      <alignment/>
    </xf>
    <xf numFmtId="4" fontId="10" fillId="3" borderId="9" xfId="0" applyNumberFormat="1" applyFont="1" applyFill="1" applyBorder="1" applyAlignment="1">
      <alignment/>
    </xf>
    <xf numFmtId="4" fontId="10" fillId="3" borderId="9" xfId="0" applyNumberFormat="1" applyFont="1" applyFill="1" applyBorder="1" applyAlignment="1">
      <alignment horizontal="center"/>
    </xf>
    <xf numFmtId="4" fontId="10" fillId="3" borderId="24" xfId="0" applyNumberFormat="1" applyFont="1" applyFill="1" applyBorder="1" applyAlignment="1">
      <alignment/>
    </xf>
    <xf numFmtId="0" fontId="10" fillId="0" borderId="37" xfId="0" applyFont="1" applyFill="1" applyBorder="1" applyAlignment="1">
      <alignment horizontal="right"/>
    </xf>
    <xf numFmtId="4" fontId="10" fillId="0" borderId="38" xfId="0" applyNumberFormat="1" applyFont="1" applyFill="1" applyBorder="1" applyAlignment="1">
      <alignment/>
    </xf>
    <xf numFmtId="4" fontId="10" fillId="0" borderId="38" xfId="0" applyNumberFormat="1" applyFont="1" applyFill="1" applyBorder="1" applyAlignment="1">
      <alignment horizontal="center"/>
    </xf>
    <xf numFmtId="4" fontId="10" fillId="0" borderId="39" xfId="0" applyNumberFormat="1" applyFont="1" applyFill="1" applyBorder="1" applyAlignment="1">
      <alignment/>
    </xf>
    <xf numFmtId="0" fontId="6" fillId="2" borderId="40" xfId="0" applyFont="1" applyFill="1" applyBorder="1" applyAlignment="1">
      <alignment/>
    </xf>
    <xf numFmtId="4" fontId="6" fillId="2" borderId="41" xfId="0" applyNumberFormat="1" applyFont="1" applyFill="1" applyBorder="1" applyAlignment="1">
      <alignment/>
    </xf>
    <xf numFmtId="4" fontId="6" fillId="2" borderId="41" xfId="0" applyNumberFormat="1" applyFont="1" applyFill="1" applyBorder="1" applyAlignment="1">
      <alignment horizontal="center"/>
    </xf>
    <xf numFmtId="4" fontId="6" fillId="2" borderId="42" xfId="0" applyNumberFormat="1" applyFont="1" applyFill="1" applyBorder="1" applyAlignment="1">
      <alignment/>
    </xf>
    <xf numFmtId="0" fontId="8" fillId="5" borderId="0" xfId="0" applyFont="1" applyFill="1" applyAlignment="1">
      <alignment/>
    </xf>
    <xf numFmtId="0" fontId="6" fillId="0" borderId="43" xfId="0" applyFont="1" applyFill="1" applyBorder="1" applyAlignment="1">
      <alignment/>
    </xf>
    <xf numFmtId="4" fontId="6" fillId="0" borderId="44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0" fontId="6" fillId="0" borderId="44" xfId="20" applyNumberFormat="1" applyFont="1" applyFill="1" applyBorder="1" applyAlignment="1">
      <alignment/>
    </xf>
    <xf numFmtId="4" fontId="6" fillId="0" borderId="45" xfId="0" applyNumberFormat="1" applyFont="1" applyFill="1" applyBorder="1" applyAlignment="1">
      <alignment/>
    </xf>
    <xf numFmtId="0" fontId="10" fillId="0" borderId="43" xfId="0" applyFont="1" applyFill="1" applyBorder="1" applyAlignment="1">
      <alignment/>
    </xf>
    <xf numFmtId="4" fontId="10" fillId="0" borderId="44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10" fontId="10" fillId="0" borderId="44" xfId="2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0" fontId="6" fillId="0" borderId="46" xfId="0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10" fontId="10" fillId="0" borderId="15" xfId="2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6" fillId="2" borderId="46" xfId="0" applyFont="1" applyFill="1" applyBorder="1" applyAlignment="1">
      <alignment/>
    </xf>
    <xf numFmtId="4" fontId="6" fillId="2" borderId="47" xfId="0" applyNumberFormat="1" applyFont="1" applyFill="1" applyBorder="1" applyAlignment="1">
      <alignment/>
    </xf>
    <xf numFmtId="10" fontId="6" fillId="2" borderId="15" xfId="20" applyNumberFormat="1" applyFont="1" applyFill="1" applyBorder="1" applyAlignment="1">
      <alignment/>
    </xf>
    <xf numFmtId="0" fontId="7" fillId="2" borderId="48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49" fontId="6" fillId="0" borderId="52" xfId="0" applyNumberFormat="1" applyFont="1" applyFill="1" applyBorder="1" applyAlignment="1">
      <alignment horizontal="center" vertical="center" wrapText="1"/>
    </xf>
    <xf numFmtId="49" fontId="10" fillId="0" borderId="53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hlad%20SZP\S&#381;P\rok%202005\tabulkaJK\Prehlad_SZP_31122005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znam_SZP"/>
      <sheetName val="zostavy_pocet"/>
      <sheetName val="zostavy_sumyPJ"/>
      <sheetName val="zostavy_sumyPD"/>
      <sheetName val="zostava_cerpanie"/>
      <sheetName val="kurzy_ECB Sviatky"/>
    </sheetNames>
    <sheetDataSet>
      <sheetData sheetId="5">
        <row r="3">
          <cell r="K3">
            <v>37987</v>
          </cell>
        </row>
        <row r="4">
          <cell r="K4">
            <v>37992</v>
          </cell>
        </row>
        <row r="5">
          <cell r="K5">
            <v>38086</v>
          </cell>
        </row>
        <row r="6">
          <cell r="K6">
            <v>38173</v>
          </cell>
        </row>
        <row r="7">
          <cell r="K7">
            <v>38231</v>
          </cell>
        </row>
        <row r="8">
          <cell r="K8">
            <v>38245</v>
          </cell>
        </row>
        <row r="9">
          <cell r="K9">
            <v>38292</v>
          </cell>
        </row>
        <row r="10">
          <cell r="K10">
            <v>38308</v>
          </cell>
        </row>
        <row r="11">
          <cell r="K11">
            <v>38345</v>
          </cell>
        </row>
        <row r="12">
          <cell r="K12">
            <v>38358</v>
          </cell>
        </row>
        <row r="13">
          <cell r="K13">
            <v>38436</v>
          </cell>
        </row>
        <row r="14">
          <cell r="K14">
            <v>38439</v>
          </cell>
        </row>
        <row r="15">
          <cell r="K15">
            <v>38538</v>
          </cell>
        </row>
        <row r="16">
          <cell r="K16">
            <v>38593</v>
          </cell>
        </row>
        <row r="17">
          <cell r="K17">
            <v>38596</v>
          </cell>
        </row>
        <row r="18">
          <cell r="K18">
            <v>38610</v>
          </cell>
        </row>
        <row r="19">
          <cell r="K19">
            <v>38657</v>
          </cell>
        </row>
        <row r="20">
          <cell r="K20">
            <v>38673</v>
          </cell>
        </row>
        <row r="21">
          <cell r="K21">
            <v>38712</v>
          </cell>
        </row>
        <row r="22">
          <cell r="K22">
            <v>38723</v>
          </cell>
        </row>
        <row r="23">
          <cell r="K23">
            <v>38821</v>
          </cell>
        </row>
        <row r="24">
          <cell r="K24">
            <v>38824</v>
          </cell>
        </row>
        <row r="25">
          <cell r="K25">
            <v>38838</v>
          </cell>
        </row>
        <row r="26">
          <cell r="K26">
            <v>38903</v>
          </cell>
        </row>
        <row r="27">
          <cell r="K27">
            <v>38958</v>
          </cell>
        </row>
        <row r="28">
          <cell r="K28">
            <v>38961</v>
          </cell>
        </row>
        <row r="29">
          <cell r="K29">
            <v>38975</v>
          </cell>
        </row>
        <row r="30">
          <cell r="K30">
            <v>39022</v>
          </cell>
        </row>
        <row r="31">
          <cell r="K31">
            <v>39038</v>
          </cell>
        </row>
        <row r="32">
          <cell r="K32">
            <v>39076</v>
          </cell>
        </row>
        <row r="33">
          <cell r="K33">
            <v>39047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L31"/>
  <sheetViews>
    <sheetView workbookViewId="0" topLeftCell="A1">
      <selection activeCell="O3" sqref="O3"/>
    </sheetView>
  </sheetViews>
  <sheetFormatPr defaultColWidth="9.140625" defaultRowHeight="12.75"/>
  <cols>
    <col min="1" max="1" width="19.7109375" style="2" customWidth="1"/>
    <col min="2" max="5" width="13.7109375" style="2" hidden="1" customWidth="1"/>
    <col min="6" max="6" width="13.7109375" style="2" customWidth="1"/>
    <col min="7" max="7" width="15.8515625" style="2" hidden="1" customWidth="1"/>
    <col min="8" max="8" width="15.7109375" style="2" customWidth="1"/>
    <col min="9" max="9" width="18.421875" style="2" hidden="1" customWidth="1"/>
    <col min="10" max="10" width="20.28125" style="2" hidden="1" customWidth="1"/>
    <col min="11" max="11" width="18.140625" style="2" customWidth="1"/>
    <col min="12" max="12" width="13.421875" style="2" customWidth="1"/>
    <col min="13" max="16384" width="9.140625" style="2" customWidth="1"/>
  </cols>
  <sheetData>
    <row r="1" ht="16.5">
      <c r="A1" s="4"/>
    </row>
    <row r="2" spans="1:12" ht="19.5" customHeight="1">
      <c r="A2" s="54" t="s">
        <v>121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3.5" thickBot="1"/>
    <row r="4" spans="1:12" ht="69" customHeight="1">
      <c r="A4" s="218" t="s">
        <v>1</v>
      </c>
      <c r="B4" s="5" t="s">
        <v>10</v>
      </c>
      <c r="C4" s="5" t="s">
        <v>3</v>
      </c>
      <c r="D4" s="5" t="s">
        <v>9</v>
      </c>
      <c r="E4" s="5" t="s">
        <v>8</v>
      </c>
      <c r="F4" s="5" t="s">
        <v>7</v>
      </c>
      <c r="G4" s="5" t="s">
        <v>15</v>
      </c>
      <c r="H4" s="5" t="s">
        <v>122</v>
      </c>
      <c r="I4" s="5" t="s">
        <v>12</v>
      </c>
      <c r="J4" s="5" t="s">
        <v>11</v>
      </c>
      <c r="K4" s="5" t="s">
        <v>13</v>
      </c>
      <c r="L4" s="6" t="s">
        <v>34</v>
      </c>
    </row>
    <row r="5" spans="1:12" ht="18.75" customHeight="1" thickBot="1">
      <c r="A5" s="219"/>
      <c r="B5" s="7" t="s">
        <v>0</v>
      </c>
      <c r="C5" s="7" t="s">
        <v>0</v>
      </c>
      <c r="D5" s="7" t="s">
        <v>0</v>
      </c>
      <c r="E5" s="7" t="s">
        <v>0</v>
      </c>
      <c r="F5" s="7" t="s">
        <v>0</v>
      </c>
      <c r="G5" s="7" t="s">
        <v>0</v>
      </c>
      <c r="H5" s="7" t="s">
        <v>0</v>
      </c>
      <c r="I5" s="7" t="s">
        <v>2</v>
      </c>
      <c r="J5" s="7" t="s">
        <v>2</v>
      </c>
      <c r="K5" s="7" t="s">
        <v>2</v>
      </c>
      <c r="L5" s="8" t="s">
        <v>0</v>
      </c>
    </row>
    <row r="6" spans="1:12" ht="15" customHeight="1" thickTop="1">
      <c r="A6" s="9" t="s">
        <v>4</v>
      </c>
      <c r="B6" s="10">
        <v>4791000</v>
      </c>
      <c r="C6" s="10">
        <v>3279632.775</v>
      </c>
      <c r="D6" s="10">
        <v>6843000</v>
      </c>
      <c r="E6" s="10">
        <f>8864000</f>
        <v>8864000</v>
      </c>
      <c r="F6" s="10">
        <v>20497430</v>
      </c>
      <c r="G6" s="10">
        <f>4810.7+69942.99+42567.38+36554.55-4693.79</f>
        <v>149181.83</v>
      </c>
      <c r="H6" s="10">
        <v>16285492.914763987</v>
      </c>
      <c r="I6" s="11">
        <v>100</v>
      </c>
      <c r="J6" s="11">
        <f>100*(H6-B6+C6-D6)/(E6+C6)</f>
        <v>65.31098096190567</v>
      </c>
      <c r="K6" s="11">
        <f aca="true" t="shared" si="0" ref="K6:K17">100*(H6/F6)</f>
        <v>79.4513893437567</v>
      </c>
      <c r="L6" s="12">
        <f aca="true" t="shared" si="1" ref="L6:L17">F6-H6</f>
        <v>4211937.085236013</v>
      </c>
    </row>
    <row r="7" spans="1:12" ht="15" customHeight="1">
      <c r="A7" s="13" t="s">
        <v>5</v>
      </c>
      <c r="B7" s="14">
        <v>9634000</v>
      </c>
      <c r="C7" s="14">
        <v>6594861.647</v>
      </c>
      <c r="D7" s="14">
        <v>13759000</v>
      </c>
      <c r="E7" s="14">
        <v>17823000</v>
      </c>
      <c r="F7" s="14">
        <v>41216758</v>
      </c>
      <c r="G7" s="14">
        <f>4852.78+783.91+13514.9</f>
        <v>19151.59</v>
      </c>
      <c r="H7" s="14">
        <v>25293210.75881258</v>
      </c>
      <c r="I7" s="15">
        <v>100</v>
      </c>
      <c r="J7" s="15">
        <f>100*(H7-B7+C7-D7)/(E7+C7)</f>
        <v>34.79040273314143</v>
      </c>
      <c r="K7" s="15">
        <f t="shared" si="0"/>
        <v>61.36632764472301</v>
      </c>
      <c r="L7" s="16">
        <f t="shared" si="1"/>
        <v>15923547.24118742</v>
      </c>
    </row>
    <row r="8" spans="1:12" ht="15" customHeight="1">
      <c r="A8" s="13" t="s">
        <v>6</v>
      </c>
      <c r="B8" s="14">
        <v>695000</v>
      </c>
      <c r="C8" s="14">
        <v>475755.5372</v>
      </c>
      <c r="D8" s="14">
        <v>993000</v>
      </c>
      <c r="E8" s="14">
        <v>1286000</v>
      </c>
      <c r="F8" s="14">
        <v>2974556</v>
      </c>
      <c r="G8" s="14">
        <f>196529.37+23153.73+208718.8</f>
        <v>428401.9</v>
      </c>
      <c r="H8" s="14">
        <v>564904.1072233301</v>
      </c>
      <c r="I8" s="15">
        <f>100*(H8-B8+C8)/D8</f>
        <v>34.80963186539074</v>
      </c>
      <c r="J8" s="15">
        <v>0</v>
      </c>
      <c r="K8" s="15">
        <f t="shared" si="0"/>
        <v>18.991207670096983</v>
      </c>
      <c r="L8" s="16">
        <f t="shared" si="1"/>
        <v>2409651.89277667</v>
      </c>
    </row>
    <row r="9" spans="1:12" ht="15" customHeight="1">
      <c r="A9" s="13" t="s">
        <v>40</v>
      </c>
      <c r="B9" s="14">
        <v>2649000</v>
      </c>
      <c r="C9" s="14">
        <v>1813347.364</v>
      </c>
      <c r="D9" s="14">
        <v>3783000</v>
      </c>
      <c r="E9" s="14">
        <v>4901000</v>
      </c>
      <c r="F9" s="14">
        <v>11332933</v>
      </c>
      <c r="G9" s="14">
        <v>471.25</v>
      </c>
      <c r="H9" s="14">
        <v>8393550.561601216</v>
      </c>
      <c r="I9" s="15">
        <v>100</v>
      </c>
      <c r="J9" s="15">
        <f>100*(H9-B9+C9-D9)/(E9+C9)</f>
        <v>56.22136778089421</v>
      </c>
      <c r="K9" s="15">
        <f t="shared" si="0"/>
        <v>74.06335642857164</v>
      </c>
      <c r="L9" s="16">
        <f t="shared" si="1"/>
        <v>2939382.438398784</v>
      </c>
    </row>
    <row r="10" spans="1:12" ht="15" customHeight="1">
      <c r="A10" s="13" t="s">
        <v>41</v>
      </c>
      <c r="B10" s="14">
        <v>309000</v>
      </c>
      <c r="C10" s="14">
        <v>211522.9654</v>
      </c>
      <c r="D10" s="14">
        <v>442000</v>
      </c>
      <c r="E10" s="14">
        <v>572000</v>
      </c>
      <c r="F10" s="14">
        <v>1322587</v>
      </c>
      <c r="G10" s="14">
        <v>1135.85</v>
      </c>
      <c r="H10" s="14">
        <v>435738.11</v>
      </c>
      <c r="I10" s="15">
        <f>100*(H10-B10+C10)/D10</f>
        <v>76.5296550678733</v>
      </c>
      <c r="J10" s="15">
        <v>0</v>
      </c>
      <c r="K10" s="15">
        <f t="shared" si="0"/>
        <v>32.945893918509704</v>
      </c>
      <c r="L10" s="16">
        <f t="shared" si="1"/>
        <v>886848.89</v>
      </c>
    </row>
    <row r="11" spans="1:12" ht="15" customHeight="1">
      <c r="A11" s="17" t="s">
        <v>19</v>
      </c>
      <c r="B11" s="18">
        <f aca="true" t="shared" si="2" ref="B11:H11">B6+B7+B8+B9+B10</f>
        <v>18078000</v>
      </c>
      <c r="C11" s="18">
        <f t="shared" si="2"/>
        <v>12375120.2886</v>
      </c>
      <c r="D11" s="18">
        <f t="shared" si="2"/>
        <v>25820000</v>
      </c>
      <c r="E11" s="18">
        <f t="shared" si="2"/>
        <v>33446000</v>
      </c>
      <c r="F11" s="18">
        <f t="shared" si="2"/>
        <v>77344264</v>
      </c>
      <c r="G11" s="18">
        <f t="shared" si="2"/>
        <v>598342.42</v>
      </c>
      <c r="H11" s="18">
        <f t="shared" si="2"/>
        <v>50972896.45240111</v>
      </c>
      <c r="I11" s="19">
        <f>100*(H11-B11+C11)/D11</f>
        <v>175.32926700620104</v>
      </c>
      <c r="J11" s="19">
        <f aca="true" t="shared" si="3" ref="J11:J17">100*(H11-B11+C11-D11)/(E11+C11)</f>
        <v>42.44771105223315</v>
      </c>
      <c r="K11" s="19">
        <f t="shared" si="0"/>
        <v>65.90391299398894</v>
      </c>
      <c r="L11" s="20">
        <f t="shared" si="1"/>
        <v>26371367.54759889</v>
      </c>
    </row>
    <row r="12" spans="1:12" ht="15" customHeight="1">
      <c r="A12" s="13" t="s">
        <v>21</v>
      </c>
      <c r="B12" s="14">
        <v>7162000</v>
      </c>
      <c r="C12" s="14">
        <v>4902677.924</v>
      </c>
      <c r="D12" s="14">
        <v>10229000</v>
      </c>
      <c r="E12" s="14">
        <v>14249000</v>
      </c>
      <c r="F12" s="14">
        <v>31640835</v>
      </c>
      <c r="G12" s="14">
        <v>0</v>
      </c>
      <c r="H12" s="14">
        <v>24975794.455224868</v>
      </c>
      <c r="I12" s="15">
        <v>100</v>
      </c>
      <c r="J12" s="15">
        <f t="shared" si="3"/>
        <v>65.20301995876896</v>
      </c>
      <c r="K12" s="15">
        <f t="shared" si="0"/>
        <v>78.93532030752307</v>
      </c>
      <c r="L12" s="16">
        <f t="shared" si="1"/>
        <v>6665040.544775132</v>
      </c>
    </row>
    <row r="13" spans="1:12" ht="15" customHeight="1">
      <c r="A13" s="13" t="s">
        <v>22</v>
      </c>
      <c r="B13" s="14">
        <v>4297000</v>
      </c>
      <c r="C13" s="14">
        <v>2941469.846</v>
      </c>
      <c r="D13" s="14">
        <v>6138000</v>
      </c>
      <c r="E13" s="14">
        <v>8549000</v>
      </c>
      <c r="F13" s="14">
        <v>18984502</v>
      </c>
      <c r="G13" s="14">
        <v>0</v>
      </c>
      <c r="H13" s="14">
        <v>18049174.86077114</v>
      </c>
      <c r="I13" s="15">
        <v>100</v>
      </c>
      <c r="J13" s="15">
        <f t="shared" si="3"/>
        <v>91.8643436538473</v>
      </c>
      <c r="K13" s="15">
        <f t="shared" si="0"/>
        <v>95.07320687564592</v>
      </c>
      <c r="L13" s="16">
        <f t="shared" si="1"/>
        <v>935327.1392288618</v>
      </c>
    </row>
    <row r="14" spans="1:12" ht="15" customHeight="1">
      <c r="A14" s="13" t="s">
        <v>38</v>
      </c>
      <c r="B14" s="14">
        <v>3332000</v>
      </c>
      <c r="C14" s="14">
        <v>2280888.417</v>
      </c>
      <c r="D14" s="14">
        <v>4758000</v>
      </c>
      <c r="E14" s="14">
        <v>6628000</v>
      </c>
      <c r="F14" s="14">
        <v>14718834</v>
      </c>
      <c r="G14" s="14">
        <f>2280.53</f>
        <v>2280.53</v>
      </c>
      <c r="H14" s="14">
        <v>8574332.285659382</v>
      </c>
      <c r="I14" s="15">
        <v>100</v>
      </c>
      <c r="J14" s="15">
        <f t="shared" si="3"/>
        <v>31.038897034368162</v>
      </c>
      <c r="K14" s="15">
        <f t="shared" si="0"/>
        <v>58.25415440964537</v>
      </c>
      <c r="L14" s="16">
        <f t="shared" si="1"/>
        <v>6144501.714340618</v>
      </c>
    </row>
    <row r="15" spans="1:12" ht="15" customHeight="1">
      <c r="A15" s="17" t="s">
        <v>20</v>
      </c>
      <c r="B15" s="18">
        <f aca="true" t="shared" si="4" ref="B15:H15">B12+B13+B14</f>
        <v>14791000</v>
      </c>
      <c r="C15" s="18">
        <f t="shared" si="4"/>
        <v>10125036.186999999</v>
      </c>
      <c r="D15" s="18">
        <f t="shared" si="4"/>
        <v>21125000</v>
      </c>
      <c r="E15" s="18">
        <f t="shared" si="4"/>
        <v>29426000</v>
      </c>
      <c r="F15" s="18">
        <f t="shared" si="4"/>
        <v>65344171</v>
      </c>
      <c r="G15" s="18">
        <f t="shared" si="4"/>
        <v>2280.53</v>
      </c>
      <c r="H15" s="18">
        <f t="shared" si="4"/>
        <v>51599301.60165539</v>
      </c>
      <c r="I15" s="19">
        <f>100*(H15-B15+C15)/D15</f>
        <v>222.16964633683023</v>
      </c>
      <c r="J15" s="19">
        <f t="shared" si="3"/>
        <v>65.25325320588772</v>
      </c>
      <c r="K15" s="19">
        <f t="shared" si="0"/>
        <v>78.96542386566567</v>
      </c>
      <c r="L15" s="20">
        <f t="shared" si="1"/>
        <v>13744869.398344614</v>
      </c>
    </row>
    <row r="16" spans="1:12" ht="15" customHeight="1" thickBot="1">
      <c r="A16" s="21" t="s">
        <v>42</v>
      </c>
      <c r="B16" s="22">
        <v>2474000</v>
      </c>
      <c r="C16" s="22">
        <v>1693552.804</v>
      </c>
      <c r="D16" s="22">
        <v>3534000</v>
      </c>
      <c r="E16" s="22">
        <v>2515000</v>
      </c>
      <c r="F16" s="22">
        <v>8522248</v>
      </c>
      <c r="G16" s="22">
        <v>0</v>
      </c>
      <c r="H16" s="22">
        <v>6769821.66562433</v>
      </c>
      <c r="I16" s="23">
        <v>100</v>
      </c>
      <c r="J16" s="23">
        <f t="shared" si="3"/>
        <v>58.34248930631522</v>
      </c>
      <c r="K16" s="23">
        <f t="shared" si="0"/>
        <v>79.43704132553206</v>
      </c>
      <c r="L16" s="24">
        <f t="shared" si="1"/>
        <v>1752426.3343756702</v>
      </c>
    </row>
    <row r="17" spans="1:12" ht="15" customHeight="1" thickBot="1">
      <c r="A17" s="25" t="s">
        <v>18</v>
      </c>
      <c r="B17" s="26">
        <f>B11+B15+B16</f>
        <v>35343000</v>
      </c>
      <c r="C17" s="26">
        <f>C11+C15+C16</f>
        <v>24193709.2796</v>
      </c>
      <c r="D17" s="26">
        <f>D11+D15+D16</f>
        <v>50479000</v>
      </c>
      <c r="E17" s="26">
        <f>E11+E15+E16</f>
        <v>65387000</v>
      </c>
      <c r="F17" s="26">
        <f>F11+F15+F16</f>
        <v>151210683</v>
      </c>
      <c r="G17" s="26">
        <f>G11+G15</f>
        <v>600622.9500000001</v>
      </c>
      <c r="H17" s="26">
        <f>H11+H15+H16</f>
        <v>109342019.71968083</v>
      </c>
      <c r="I17" s="27">
        <f>100*(H17-B17+C17)/D17</f>
        <v>194.52193783411087</v>
      </c>
      <c r="J17" s="27">
        <f t="shared" si="3"/>
        <v>53.26339720123935</v>
      </c>
      <c r="K17" s="27">
        <f t="shared" si="0"/>
        <v>72.31104148883503</v>
      </c>
      <c r="L17" s="28">
        <f t="shared" si="1"/>
        <v>41868663.28031917</v>
      </c>
    </row>
    <row r="18" spans="4:6" ht="13.5" customHeight="1">
      <c r="D18" s="3"/>
      <c r="F18" s="3"/>
    </row>
    <row r="19" spans="4:10" ht="13.5" customHeight="1">
      <c r="D19" s="3"/>
      <c r="G19" s="55"/>
      <c r="J19" s="3"/>
    </row>
    <row r="20" spans="2:10" ht="13.5" customHeight="1">
      <c r="B20" s="3"/>
      <c r="D20" s="3"/>
      <c r="E20" s="3"/>
      <c r="F20" s="3"/>
      <c r="G20" s="56"/>
      <c r="H20" s="3"/>
      <c r="I20" s="3"/>
      <c r="J20" s="3"/>
    </row>
    <row r="21" spans="4:10" ht="13.5" customHeight="1">
      <c r="D21" s="3"/>
      <c r="E21" s="3"/>
      <c r="F21" s="3"/>
      <c r="G21" s="55"/>
      <c r="H21" s="3"/>
      <c r="I21" s="3"/>
      <c r="J21" s="3"/>
    </row>
    <row r="22" spans="4:10" ht="12.75">
      <c r="D22" s="3"/>
      <c r="E22" s="3"/>
      <c r="F22" s="3"/>
      <c r="G22" s="56"/>
      <c r="H22" s="3"/>
      <c r="I22" s="3"/>
      <c r="J22" s="3"/>
    </row>
    <row r="23" spans="4:10" ht="12.75">
      <c r="D23" s="3"/>
      <c r="E23" s="3"/>
      <c r="F23" s="3"/>
      <c r="G23" s="56"/>
      <c r="H23" s="3"/>
      <c r="I23" s="3"/>
      <c r="J23" s="3"/>
    </row>
    <row r="24" spans="4:10" ht="12.75">
      <c r="D24" s="3"/>
      <c r="E24" s="3"/>
      <c r="F24" s="3"/>
      <c r="G24" s="56"/>
      <c r="H24" s="3"/>
      <c r="I24" s="57"/>
      <c r="J24" s="3"/>
    </row>
    <row r="25" spans="4:10" ht="12.75">
      <c r="D25" s="3"/>
      <c r="E25" s="3"/>
      <c r="F25" s="58"/>
      <c r="G25" s="55"/>
      <c r="H25" s="3"/>
      <c r="I25" s="57"/>
      <c r="J25" s="3"/>
    </row>
    <row r="26" spans="5:10" ht="12.75">
      <c r="E26" s="3"/>
      <c r="F26" s="3"/>
      <c r="G26" s="58"/>
      <c r="H26" s="3"/>
      <c r="I26" s="57"/>
      <c r="J26" s="3"/>
    </row>
    <row r="27" spans="4:10" ht="12.75">
      <c r="D27" s="59"/>
      <c r="E27" s="3"/>
      <c r="F27" s="3"/>
      <c r="G27" s="58"/>
      <c r="H27" s="3"/>
      <c r="I27" s="3"/>
      <c r="J27" s="3"/>
    </row>
    <row r="28" spans="5:10" ht="12.75">
      <c r="E28" s="3"/>
      <c r="F28" s="3"/>
      <c r="G28" s="58"/>
      <c r="H28" s="3"/>
      <c r="I28" s="3"/>
      <c r="J28" s="3"/>
    </row>
    <row r="29" spans="5:10" ht="12.75">
      <c r="E29" s="3"/>
      <c r="F29" s="58"/>
      <c r="G29" s="58"/>
      <c r="H29" s="3"/>
      <c r="I29" s="3"/>
      <c r="J29" s="3"/>
    </row>
    <row r="30" spans="5:10" ht="12.75">
      <c r="E30" s="3"/>
      <c r="F30" s="58"/>
      <c r="G30" s="3"/>
      <c r="H30" s="3"/>
      <c r="I30" s="3"/>
      <c r="J30" s="3"/>
    </row>
    <row r="31" spans="5:9" ht="12.75">
      <c r="E31" s="3"/>
      <c r="F31" s="57"/>
      <c r="G31" s="3"/>
      <c r="H31" s="3"/>
      <c r="I31" s="3"/>
    </row>
  </sheetData>
  <mergeCells count="1">
    <mergeCell ref="A4:A5"/>
  </mergeCells>
  <printOptions/>
  <pageMargins left="0.1968503937007874" right="0.1968503937007874" top="0.5905511811023623" bottom="0.984251968503937" header="0.5118110236220472" footer="0.5118110236220472"/>
  <pageSetup horizontalDpi="600" verticalDpi="600" orientation="landscape" paperSize="9" scale="95" r:id="rId1"/>
  <headerFooter alignWithMargins="0">
    <oddHeader>&amp;LPríloha 3a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2:E32"/>
  <sheetViews>
    <sheetView workbookViewId="0" topLeftCell="A1">
      <selection activeCell="H9" sqref="H9"/>
    </sheetView>
  </sheetViews>
  <sheetFormatPr defaultColWidth="9.140625" defaultRowHeight="12.75"/>
  <cols>
    <col min="1" max="1" width="19.7109375" style="61" customWidth="1"/>
    <col min="2" max="2" width="14.7109375" style="61" customWidth="1"/>
    <col min="3" max="3" width="17.140625" style="61" customWidth="1"/>
    <col min="4" max="4" width="18.140625" style="61" customWidth="1"/>
    <col min="5" max="5" width="13.421875" style="61" customWidth="1"/>
    <col min="6" max="16384" width="9.140625" style="61" customWidth="1"/>
  </cols>
  <sheetData>
    <row r="2" ht="19.5" customHeight="1">
      <c r="A2" s="4" t="s">
        <v>124</v>
      </c>
    </row>
    <row r="3" ht="17.25" thickBot="1"/>
    <row r="4" spans="1:5" ht="48.75" customHeight="1">
      <c r="A4" s="220" t="s">
        <v>1</v>
      </c>
      <c r="B4" s="62" t="s">
        <v>7</v>
      </c>
      <c r="C4" s="62" t="s">
        <v>125</v>
      </c>
      <c r="D4" s="62" t="s">
        <v>13</v>
      </c>
      <c r="E4" s="63" t="s">
        <v>37</v>
      </c>
    </row>
    <row r="5" spans="1:5" ht="18.75" customHeight="1" thickBot="1">
      <c r="A5" s="221"/>
      <c r="B5" s="64" t="s">
        <v>0</v>
      </c>
      <c r="C5" s="64" t="s">
        <v>0</v>
      </c>
      <c r="D5" s="64" t="s">
        <v>2</v>
      </c>
      <c r="E5" s="65" t="s">
        <v>0</v>
      </c>
    </row>
    <row r="6" spans="1:5" ht="17.25" customHeight="1" thickTop="1">
      <c r="A6" s="157" t="s">
        <v>4</v>
      </c>
      <c r="B6" s="158">
        <v>2565000</v>
      </c>
      <c r="C6" s="158">
        <v>2596520.9747416093</v>
      </c>
      <c r="D6" s="159">
        <f aca="true" t="shared" si="0" ref="D6:D17">100*(C6/B6)</f>
        <v>101.22888790415632</v>
      </c>
      <c r="E6" s="160">
        <f aca="true" t="shared" si="1" ref="E6:E17">B6-C6</f>
        <v>-31520.9747416093</v>
      </c>
    </row>
    <row r="7" spans="1:5" ht="13.5" customHeight="1">
      <c r="A7" s="72" t="s">
        <v>5</v>
      </c>
      <c r="B7" s="47">
        <v>1197000</v>
      </c>
      <c r="C7" s="47">
        <v>705762.1048458341</v>
      </c>
      <c r="D7" s="48">
        <f t="shared" si="0"/>
        <v>58.960911014689565</v>
      </c>
      <c r="E7" s="74">
        <f t="shared" si="1"/>
        <v>491237.8951541659</v>
      </c>
    </row>
    <row r="8" spans="1:5" ht="13.5" customHeight="1">
      <c r="A8" s="72" t="s">
        <v>6</v>
      </c>
      <c r="B8" s="47">
        <v>512999</v>
      </c>
      <c r="C8" s="47">
        <v>415328.5836971897</v>
      </c>
      <c r="D8" s="48">
        <f t="shared" si="0"/>
        <v>80.96089538131453</v>
      </c>
      <c r="E8" s="74">
        <f t="shared" si="1"/>
        <v>97670.4163028103</v>
      </c>
    </row>
    <row r="9" spans="1:5" ht="13.5" customHeight="1">
      <c r="A9" s="76" t="s">
        <v>19</v>
      </c>
      <c r="B9" s="68">
        <v>4274999</v>
      </c>
      <c r="C9" s="68">
        <f>C6+C7+C8</f>
        <v>3717611.663284633</v>
      </c>
      <c r="D9" s="161">
        <f t="shared" si="0"/>
        <v>86.96169667606081</v>
      </c>
      <c r="E9" s="78">
        <f t="shared" si="1"/>
        <v>557387.3367153672</v>
      </c>
    </row>
    <row r="10" spans="1:5" ht="13.5" customHeight="1">
      <c r="A10" s="72" t="s">
        <v>21</v>
      </c>
      <c r="B10" s="47">
        <v>2052000</v>
      </c>
      <c r="C10" s="47">
        <v>1129145.4058892843</v>
      </c>
      <c r="D10" s="48">
        <f t="shared" si="0"/>
        <v>55.02657923437057</v>
      </c>
      <c r="E10" s="74">
        <f t="shared" si="1"/>
        <v>922854.5941107157</v>
      </c>
    </row>
    <row r="11" spans="1:5" ht="13.5" customHeight="1">
      <c r="A11" s="72" t="s">
        <v>22</v>
      </c>
      <c r="B11" s="47">
        <v>957600</v>
      </c>
      <c r="C11" s="47">
        <v>126580.9377591662</v>
      </c>
      <c r="D11" s="48">
        <f t="shared" si="0"/>
        <v>13.218560751792626</v>
      </c>
      <c r="E11" s="74">
        <f t="shared" si="1"/>
        <v>831019.0622408338</v>
      </c>
    </row>
    <row r="12" spans="1:5" ht="13.5" customHeight="1">
      <c r="A12" s="72" t="s">
        <v>38</v>
      </c>
      <c r="B12" s="47">
        <v>1550400</v>
      </c>
      <c r="C12" s="47">
        <v>1597160.5006651524</v>
      </c>
      <c r="D12" s="48">
        <f t="shared" si="0"/>
        <v>103.01602816467701</v>
      </c>
      <c r="E12" s="74">
        <f t="shared" si="1"/>
        <v>-46760.500665152445</v>
      </c>
    </row>
    <row r="13" spans="1:5" ht="13.5" customHeight="1">
      <c r="A13" s="76" t="s">
        <v>20</v>
      </c>
      <c r="B13" s="68">
        <v>4560000</v>
      </c>
      <c r="C13" s="68">
        <f>C10+C11+C12</f>
        <v>2852886.844313603</v>
      </c>
      <c r="D13" s="161">
        <f t="shared" si="0"/>
        <v>62.563307989333396</v>
      </c>
      <c r="E13" s="78">
        <f t="shared" si="1"/>
        <v>1707113.155686397</v>
      </c>
    </row>
    <row r="14" spans="1:5" ht="13.5" customHeight="1">
      <c r="A14" s="75" t="s">
        <v>39</v>
      </c>
      <c r="B14" s="47">
        <v>665001</v>
      </c>
      <c r="C14" s="47">
        <f>C16+C15</f>
        <v>378710.6708796426</v>
      </c>
      <c r="D14" s="48">
        <f t="shared" si="0"/>
        <v>56.9488874271832</v>
      </c>
      <c r="E14" s="74">
        <f t="shared" si="1"/>
        <v>286290.3291203574</v>
      </c>
    </row>
    <row r="15" spans="1:5" ht="13.5" customHeight="1">
      <c r="A15" s="72" t="s">
        <v>23</v>
      </c>
      <c r="B15" s="47">
        <v>475001</v>
      </c>
      <c r="C15" s="47">
        <v>367317.0284251696</v>
      </c>
      <c r="D15" s="48">
        <f t="shared" si="0"/>
        <v>77.32973792164007</v>
      </c>
      <c r="E15" s="74">
        <f t="shared" si="1"/>
        <v>107683.97157483042</v>
      </c>
    </row>
    <row r="16" spans="1:5" ht="13.5" customHeight="1" thickBot="1">
      <c r="A16" s="192" t="s">
        <v>24</v>
      </c>
      <c r="B16" s="193">
        <v>190000</v>
      </c>
      <c r="C16" s="193">
        <v>11393.642454473</v>
      </c>
      <c r="D16" s="194">
        <f t="shared" si="0"/>
        <v>5.996653923406842</v>
      </c>
      <c r="E16" s="195">
        <f t="shared" si="1"/>
        <v>178606.357545527</v>
      </c>
    </row>
    <row r="17" spans="1:5" ht="13.5" customHeight="1" thickBot="1">
      <c r="A17" s="196" t="s">
        <v>18</v>
      </c>
      <c r="B17" s="197">
        <v>9500000</v>
      </c>
      <c r="C17" s="197">
        <f>C9+C13+C14</f>
        <v>6949209.178477879</v>
      </c>
      <c r="D17" s="198">
        <f t="shared" si="0"/>
        <v>73.14957029976713</v>
      </c>
      <c r="E17" s="199">
        <f t="shared" si="1"/>
        <v>2550790.8215221213</v>
      </c>
    </row>
    <row r="18" ht="13.5" customHeight="1"/>
    <row r="19" ht="13.5" customHeight="1">
      <c r="C19" s="156"/>
    </row>
    <row r="20" ht="13.5" customHeight="1">
      <c r="C20" s="156"/>
    </row>
    <row r="21" spans="2:3" ht="13.5" customHeight="1">
      <c r="B21" s="200"/>
      <c r="C21" s="156"/>
    </row>
    <row r="22" ht="16.5">
      <c r="C22" s="156"/>
    </row>
    <row r="23" ht="16.5">
      <c r="C23" s="156"/>
    </row>
    <row r="24" ht="16.5">
      <c r="C24" s="156"/>
    </row>
    <row r="25" ht="16.5">
      <c r="C25" s="156"/>
    </row>
    <row r="26" ht="16.5">
      <c r="C26" s="156"/>
    </row>
    <row r="27" ht="16.5">
      <c r="C27" s="156"/>
    </row>
    <row r="28" ht="16.5">
      <c r="C28" s="156"/>
    </row>
    <row r="29" ht="16.5">
      <c r="C29" s="156"/>
    </row>
    <row r="30" ht="16.5">
      <c r="C30" s="156"/>
    </row>
    <row r="31" ht="16.5">
      <c r="C31" s="156"/>
    </row>
    <row r="32" ht="16.5">
      <c r="C32" s="156"/>
    </row>
  </sheetData>
  <mergeCells count="1">
    <mergeCell ref="A4:A5"/>
  </mergeCells>
  <printOptions/>
  <pageMargins left="0.1968503937007874" right="0.1968503937007874" top="0.5905511811023623" bottom="0.984251968503937" header="0.5118110236220472" footer="0.5118110236220472"/>
  <pageSetup horizontalDpi="600" verticalDpi="600" orientation="landscape" paperSize="9" r:id="rId1"/>
  <headerFooter alignWithMargins="0">
    <oddHeader>&amp;LPríloha 3j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1:G22"/>
  <sheetViews>
    <sheetView workbookViewId="0" topLeftCell="A1">
      <selection activeCell="J2" sqref="J2"/>
    </sheetView>
  </sheetViews>
  <sheetFormatPr defaultColWidth="9.140625" defaultRowHeight="12.75"/>
  <cols>
    <col min="1" max="1" width="17.00390625" style="61" customWidth="1"/>
    <col min="2" max="3" width="16.00390625" style="61" hidden="1" customWidth="1"/>
    <col min="4" max="7" width="16.00390625" style="61" customWidth="1"/>
    <col min="8" max="16384" width="9.140625" style="61" customWidth="1"/>
  </cols>
  <sheetData>
    <row r="1" ht="17.25" thickBot="1">
      <c r="A1" s="60" t="s">
        <v>63</v>
      </c>
    </row>
    <row r="2" spans="1:7" ht="82.5">
      <c r="A2" s="220" t="s">
        <v>64</v>
      </c>
      <c r="B2" s="62" t="s">
        <v>65</v>
      </c>
      <c r="C2" s="62" t="s">
        <v>45</v>
      </c>
      <c r="D2" s="62" t="s">
        <v>66</v>
      </c>
      <c r="E2" s="62" t="s">
        <v>67</v>
      </c>
      <c r="F2" s="62" t="s">
        <v>68</v>
      </c>
      <c r="G2" s="63" t="s">
        <v>69</v>
      </c>
    </row>
    <row r="3" spans="1:7" ht="17.25" thickBot="1">
      <c r="A3" s="221"/>
      <c r="B3" s="64" t="s">
        <v>0</v>
      </c>
      <c r="C3" s="64" t="s">
        <v>0</v>
      </c>
      <c r="D3" s="64" t="s">
        <v>0</v>
      </c>
      <c r="E3" s="64" t="s">
        <v>0</v>
      </c>
      <c r="F3" s="64" t="s">
        <v>2</v>
      </c>
      <c r="G3" s="65" t="s">
        <v>0</v>
      </c>
    </row>
    <row r="4" spans="1:7" ht="17.25" thickTop="1">
      <c r="A4" s="201" t="s">
        <v>48</v>
      </c>
      <c r="B4" s="202">
        <v>5271716.81318531</v>
      </c>
      <c r="C4" s="203">
        <v>6006.27</v>
      </c>
      <c r="D4" s="202">
        <v>5265710.54318531</v>
      </c>
      <c r="E4" s="202">
        <v>7347895</v>
      </c>
      <c r="F4" s="204">
        <f>D4/E4</f>
        <v>0.7166284416401311</v>
      </c>
      <c r="G4" s="205">
        <f>E4-D4</f>
        <v>2082184.4568146896</v>
      </c>
    </row>
    <row r="5" spans="1:7" ht="16.5">
      <c r="A5" s="206" t="s">
        <v>70</v>
      </c>
      <c r="B5" s="207">
        <v>3256047.97771152</v>
      </c>
      <c r="C5" s="208">
        <v>1318.34</v>
      </c>
      <c r="D5" s="207">
        <v>3254729.6377115203</v>
      </c>
      <c r="E5" s="207">
        <v>4453270</v>
      </c>
      <c r="F5" s="209">
        <f aca="true" t="shared" si="0" ref="F5:F22">D5/E5</f>
        <v>0.730862857565681</v>
      </c>
      <c r="G5" s="210">
        <f aca="true" t="shared" si="1" ref="G5:G22">E5-D5</f>
        <v>1198540.3622884797</v>
      </c>
    </row>
    <row r="6" spans="1:7" ht="16.5">
      <c r="A6" s="206" t="s">
        <v>71</v>
      </c>
      <c r="B6" s="207">
        <v>2015668.8354737898</v>
      </c>
      <c r="C6" s="208">
        <v>4687.93</v>
      </c>
      <c r="D6" s="207">
        <v>2010980.90547379</v>
      </c>
      <c r="E6" s="207">
        <v>2894625</v>
      </c>
      <c r="F6" s="209">
        <f t="shared" si="0"/>
        <v>0.6947293364334897</v>
      </c>
      <c r="G6" s="210">
        <f t="shared" si="1"/>
        <v>883644.0945262101</v>
      </c>
    </row>
    <row r="7" spans="1:7" ht="16.5">
      <c r="A7" s="206"/>
      <c r="B7" s="207"/>
      <c r="C7" s="208"/>
      <c r="D7" s="207"/>
      <c r="E7" s="207"/>
      <c r="F7" s="209"/>
      <c r="G7" s="210"/>
    </row>
    <row r="8" spans="1:7" ht="16.5">
      <c r="A8" s="201" t="s">
        <v>49</v>
      </c>
      <c r="B8" s="202">
        <v>3065272.579067208</v>
      </c>
      <c r="C8" s="202">
        <v>0</v>
      </c>
      <c r="D8" s="202">
        <v>3065272.579067208</v>
      </c>
      <c r="E8" s="202">
        <v>5121261</v>
      </c>
      <c r="F8" s="204">
        <f t="shared" si="0"/>
        <v>0.5985386370792678</v>
      </c>
      <c r="G8" s="205">
        <f t="shared" si="1"/>
        <v>2055988.4209327921</v>
      </c>
    </row>
    <row r="9" spans="1:7" ht="16.5">
      <c r="A9" s="206" t="s">
        <v>72</v>
      </c>
      <c r="B9" s="207">
        <v>3065272.579067208</v>
      </c>
      <c r="C9" s="208">
        <v>0</v>
      </c>
      <c r="D9" s="207">
        <v>3065272.579067208</v>
      </c>
      <c r="E9" s="207">
        <v>5121261</v>
      </c>
      <c r="F9" s="209">
        <f t="shared" si="0"/>
        <v>0.5985386370792678</v>
      </c>
      <c r="G9" s="210">
        <f t="shared" si="1"/>
        <v>2055988.4209327921</v>
      </c>
    </row>
    <row r="10" spans="1:7" ht="16.5">
      <c r="A10" s="206"/>
      <c r="B10" s="207"/>
      <c r="C10" s="208"/>
      <c r="D10" s="207"/>
      <c r="E10" s="207"/>
      <c r="F10" s="209"/>
      <c r="G10" s="210"/>
    </row>
    <row r="11" spans="1:7" ht="16.5">
      <c r="A11" s="201" t="s">
        <v>51</v>
      </c>
      <c r="B11" s="202">
        <v>3392183.5428695064</v>
      </c>
      <c r="C11" s="203">
        <v>291.21</v>
      </c>
      <c r="D11" s="202">
        <v>3391892.3328695064</v>
      </c>
      <c r="E11" s="202">
        <v>4675932</v>
      </c>
      <c r="F11" s="204">
        <f t="shared" si="0"/>
        <v>0.7253938536466112</v>
      </c>
      <c r="G11" s="205">
        <f t="shared" si="1"/>
        <v>1284039.6671304936</v>
      </c>
    </row>
    <row r="12" spans="1:7" ht="16.5">
      <c r="A12" s="206" t="s">
        <v>73</v>
      </c>
      <c r="B12" s="207">
        <v>3392183.5428695064</v>
      </c>
      <c r="C12" s="208">
        <v>291.21</v>
      </c>
      <c r="D12" s="207">
        <v>3391892.3328695064</v>
      </c>
      <c r="E12" s="207">
        <v>4675932</v>
      </c>
      <c r="F12" s="209">
        <f t="shared" si="0"/>
        <v>0.7253938536466112</v>
      </c>
      <c r="G12" s="210">
        <f t="shared" si="1"/>
        <v>1284039.6671304936</v>
      </c>
    </row>
    <row r="13" spans="1:7" ht="16.5">
      <c r="A13" s="206"/>
      <c r="B13" s="207"/>
      <c r="C13" s="208"/>
      <c r="D13" s="207"/>
      <c r="E13" s="207"/>
      <c r="F13" s="209"/>
      <c r="G13" s="210"/>
    </row>
    <row r="14" spans="1:7" ht="16.5">
      <c r="A14" s="201" t="s">
        <v>74</v>
      </c>
      <c r="B14" s="202">
        <v>1487518.1473462682</v>
      </c>
      <c r="C14" s="203">
        <v>316.3</v>
      </c>
      <c r="D14" s="202">
        <v>1487201.8473462681</v>
      </c>
      <c r="E14" s="202">
        <v>2671964</v>
      </c>
      <c r="F14" s="204">
        <f t="shared" si="0"/>
        <v>0.5565950167540686</v>
      </c>
      <c r="G14" s="205">
        <f t="shared" si="1"/>
        <v>1184762.1526537319</v>
      </c>
    </row>
    <row r="15" spans="1:7" ht="16.5">
      <c r="A15" s="206" t="s">
        <v>75</v>
      </c>
      <c r="B15" s="207">
        <v>1487518.1473462682</v>
      </c>
      <c r="C15" s="208">
        <v>316.3</v>
      </c>
      <c r="D15" s="207">
        <v>1487201.8473462681</v>
      </c>
      <c r="E15" s="207">
        <v>2671964</v>
      </c>
      <c r="F15" s="209">
        <f t="shared" si="0"/>
        <v>0.5565950167540686</v>
      </c>
      <c r="G15" s="210">
        <f t="shared" si="1"/>
        <v>1184762.1526537319</v>
      </c>
    </row>
    <row r="16" spans="1:7" ht="16.5">
      <c r="A16" s="206"/>
      <c r="B16" s="207"/>
      <c r="C16" s="208"/>
      <c r="D16" s="207"/>
      <c r="E16" s="207"/>
      <c r="F16" s="209"/>
      <c r="G16" s="210"/>
    </row>
    <row r="17" spans="1:7" ht="16.5">
      <c r="A17" s="201" t="s">
        <v>76</v>
      </c>
      <c r="B17" s="202">
        <v>434489.06882459467</v>
      </c>
      <c r="C17" s="203">
        <v>617.88</v>
      </c>
      <c r="D17" s="202">
        <v>433871.18882459466</v>
      </c>
      <c r="E17" s="202">
        <v>667991</v>
      </c>
      <c r="F17" s="204">
        <f t="shared" si="0"/>
        <v>0.649516518672549</v>
      </c>
      <c r="G17" s="205">
        <f t="shared" si="1"/>
        <v>234119.81117540534</v>
      </c>
    </row>
    <row r="18" spans="1:7" ht="16.5">
      <c r="A18" s="206" t="s">
        <v>77</v>
      </c>
      <c r="B18" s="207">
        <v>434489.06882459467</v>
      </c>
      <c r="C18" s="208">
        <v>617.88</v>
      </c>
      <c r="D18" s="207">
        <v>433871.18882459466</v>
      </c>
      <c r="E18" s="207">
        <v>667991</v>
      </c>
      <c r="F18" s="209">
        <f t="shared" si="0"/>
        <v>0.649516518672549</v>
      </c>
      <c r="G18" s="210">
        <f t="shared" si="1"/>
        <v>234119.81117540534</v>
      </c>
    </row>
    <row r="19" spans="1:7" ht="16.5">
      <c r="A19" s="206"/>
      <c r="B19" s="207"/>
      <c r="C19" s="208"/>
      <c r="D19" s="207"/>
      <c r="E19" s="207"/>
      <c r="F19" s="209"/>
      <c r="G19" s="210"/>
    </row>
    <row r="20" spans="1:7" s="4" customFormat="1" ht="16.5">
      <c r="A20" s="201" t="s">
        <v>78</v>
      </c>
      <c r="B20" s="202">
        <v>871902.659379071</v>
      </c>
      <c r="C20" s="203">
        <v>918.73</v>
      </c>
      <c r="D20" s="202">
        <v>870983.929379071</v>
      </c>
      <c r="E20" s="202">
        <v>1781308</v>
      </c>
      <c r="F20" s="204">
        <f t="shared" si="0"/>
        <v>0.4889575128944972</v>
      </c>
      <c r="G20" s="205">
        <f t="shared" si="1"/>
        <v>910324.070620929</v>
      </c>
    </row>
    <row r="21" spans="1:7" s="4" customFormat="1" ht="17.25" thickBot="1">
      <c r="A21" s="211"/>
      <c r="B21" s="100"/>
      <c r="C21" s="212"/>
      <c r="D21" s="100"/>
      <c r="E21" s="100"/>
      <c r="F21" s="213"/>
      <c r="G21" s="214"/>
    </row>
    <row r="22" spans="1:7" ht="17.25" thickBot="1">
      <c r="A22" s="215" t="s">
        <v>79</v>
      </c>
      <c r="B22" s="164">
        <v>14523082.810671957</v>
      </c>
      <c r="C22" s="216">
        <f>C4+C8+C11+C14+C17+C20</f>
        <v>8150.390000000001</v>
      </c>
      <c r="D22" s="164">
        <v>14514932.420671957</v>
      </c>
      <c r="E22" s="164">
        <v>22266351</v>
      </c>
      <c r="F22" s="217">
        <f t="shared" si="0"/>
        <v>0.6518774639217695</v>
      </c>
      <c r="G22" s="166">
        <f t="shared" si="1"/>
        <v>7751418.579328043</v>
      </c>
    </row>
  </sheetData>
  <mergeCells count="1">
    <mergeCell ref="A2:A3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&amp;LPríloha 3k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H25"/>
  <sheetViews>
    <sheetView workbookViewId="0" topLeftCell="A1">
      <pane xSplit="1" topLeftCell="B1" activePane="topRight" state="frozen"/>
      <selection pane="topLeft" activeCell="A1" sqref="A1"/>
      <selection pane="topRight" activeCell="J2" sqref="J2"/>
    </sheetView>
  </sheetViews>
  <sheetFormatPr defaultColWidth="9.140625" defaultRowHeight="12.75"/>
  <cols>
    <col min="1" max="1" width="19.28125" style="61" customWidth="1"/>
    <col min="2" max="3" width="12.7109375" style="61" hidden="1" customWidth="1"/>
    <col min="4" max="4" width="15.57421875" style="61" customWidth="1"/>
    <col min="5" max="5" width="15.8515625" style="61" customWidth="1"/>
    <col min="6" max="7" width="12.7109375" style="61" customWidth="1"/>
    <col min="8" max="8" width="15.7109375" style="61" customWidth="1"/>
    <col min="9" max="16384" width="9.140625" style="61" customWidth="1"/>
  </cols>
  <sheetData>
    <row r="1" ht="17.25" thickBot="1">
      <c r="A1" s="60" t="s">
        <v>126</v>
      </c>
    </row>
    <row r="2" spans="1:7" ht="82.5">
      <c r="A2" s="220" t="s">
        <v>64</v>
      </c>
      <c r="B2" s="62" t="s">
        <v>65</v>
      </c>
      <c r="C2" s="62" t="s">
        <v>45</v>
      </c>
      <c r="D2" s="62" t="s">
        <v>80</v>
      </c>
      <c r="E2" s="62" t="s">
        <v>67</v>
      </c>
      <c r="F2" s="62" t="s">
        <v>68</v>
      </c>
      <c r="G2" s="63" t="s">
        <v>69</v>
      </c>
    </row>
    <row r="3" spans="1:8" ht="14.25" customHeight="1" thickBot="1">
      <c r="A3" s="221"/>
      <c r="B3" s="41" t="s">
        <v>0</v>
      </c>
      <c r="C3" s="41" t="s">
        <v>0</v>
      </c>
      <c r="D3" s="64" t="s">
        <v>0</v>
      </c>
      <c r="E3" s="64" t="s">
        <v>0</v>
      </c>
      <c r="F3" s="64" t="s">
        <v>2</v>
      </c>
      <c r="G3" s="65" t="s">
        <v>0</v>
      </c>
      <c r="H3" s="66"/>
    </row>
    <row r="4" spans="1:7" ht="17.25" thickTop="1">
      <c r="A4" s="67" t="s">
        <v>128</v>
      </c>
      <c r="B4" s="68">
        <v>163258058.1000847</v>
      </c>
      <c r="C4" s="68">
        <v>164330.34</v>
      </c>
      <c r="D4" s="69">
        <v>163093727.7600847</v>
      </c>
      <c r="E4" s="69">
        <v>185436044</v>
      </c>
      <c r="F4" s="70">
        <v>0.8795147062136673</v>
      </c>
      <c r="G4" s="71">
        <v>22342316.23991531</v>
      </c>
    </row>
    <row r="5" spans="1:7" ht="16.5">
      <c r="A5" s="72" t="s">
        <v>70</v>
      </c>
      <c r="B5" s="47">
        <v>70913234.96487756</v>
      </c>
      <c r="C5" s="47">
        <v>17121.31</v>
      </c>
      <c r="D5" s="47">
        <v>70896113.65487756</v>
      </c>
      <c r="E5" s="47">
        <v>79459052</v>
      </c>
      <c r="F5" s="73">
        <v>0.8922345770608685</v>
      </c>
      <c r="G5" s="74">
        <v>8562938.345122442</v>
      </c>
    </row>
    <row r="6" spans="1:7" ht="16.5">
      <c r="A6" s="72" t="s">
        <v>71</v>
      </c>
      <c r="B6" s="47">
        <v>60446943.11730224</v>
      </c>
      <c r="C6" s="47">
        <v>84560.37</v>
      </c>
      <c r="D6" s="47">
        <v>60362382.74730224</v>
      </c>
      <c r="E6" s="47">
        <v>63883440</v>
      </c>
      <c r="F6" s="73">
        <v>0.9448830987702328</v>
      </c>
      <c r="G6" s="74">
        <v>3521057.2526977584</v>
      </c>
    </row>
    <row r="7" spans="1:7" ht="16.5">
      <c r="A7" s="72" t="s">
        <v>81</v>
      </c>
      <c r="B7" s="47">
        <v>31897880.017904866</v>
      </c>
      <c r="C7" s="47">
        <v>62648.66</v>
      </c>
      <c r="D7" s="47">
        <v>31835231.357904866</v>
      </c>
      <c r="E7" s="47">
        <v>42093552</v>
      </c>
      <c r="F7" s="73">
        <v>0.7562971012259756</v>
      </c>
      <c r="G7" s="74">
        <v>10258320.642095134</v>
      </c>
    </row>
    <row r="8" spans="1:7" ht="16.5">
      <c r="A8" s="75"/>
      <c r="B8" s="47"/>
      <c r="C8" s="47"/>
      <c r="D8" s="47"/>
      <c r="E8" s="47"/>
      <c r="F8" s="73"/>
      <c r="G8" s="74"/>
    </row>
    <row r="9" spans="1:7" s="4" customFormat="1" ht="16.5">
      <c r="A9" s="76" t="s">
        <v>129</v>
      </c>
      <c r="B9" s="68">
        <v>7281439.138621023</v>
      </c>
      <c r="C9" s="68">
        <v>218939.65</v>
      </c>
      <c r="D9" s="68">
        <v>7062499.488621023</v>
      </c>
      <c r="E9" s="68">
        <v>19324084</v>
      </c>
      <c r="F9" s="77">
        <v>0.3654765467082953</v>
      </c>
      <c r="G9" s="78">
        <v>12261584.511378977</v>
      </c>
    </row>
    <row r="10" spans="1:7" ht="16.5">
      <c r="A10" s="72" t="s">
        <v>72</v>
      </c>
      <c r="B10" s="47">
        <v>4148688.884299486</v>
      </c>
      <c r="C10" s="47">
        <v>210463.25</v>
      </c>
      <c r="D10" s="47">
        <v>3938225.634299486</v>
      </c>
      <c r="E10" s="47">
        <v>13686947</v>
      </c>
      <c r="F10" s="73">
        <v>0.28773587230954323</v>
      </c>
      <c r="G10" s="74">
        <v>9748721.365700513</v>
      </c>
    </row>
    <row r="11" spans="1:7" ht="16.5">
      <c r="A11" s="72" t="s">
        <v>82</v>
      </c>
      <c r="B11" s="47">
        <v>3132750.254321536</v>
      </c>
      <c r="C11" s="47">
        <v>8476.4</v>
      </c>
      <c r="D11" s="47">
        <v>3124273.854321536</v>
      </c>
      <c r="E11" s="47">
        <v>5637137</v>
      </c>
      <c r="F11" s="73">
        <v>0.5542306057705421</v>
      </c>
      <c r="G11" s="74">
        <v>2512863.145678464</v>
      </c>
    </row>
    <row r="12" spans="1:7" ht="16.5">
      <c r="A12" s="75"/>
      <c r="B12" s="47"/>
      <c r="C12" s="47"/>
      <c r="D12" s="47"/>
      <c r="E12" s="47"/>
      <c r="F12" s="73"/>
      <c r="G12" s="74"/>
    </row>
    <row r="13" spans="1:7" s="4" customFormat="1" ht="16.5">
      <c r="A13" s="76" t="s">
        <v>51</v>
      </c>
      <c r="B13" s="68">
        <v>18473691.270243015</v>
      </c>
      <c r="C13" s="68">
        <v>14945.33</v>
      </c>
      <c r="D13" s="68">
        <v>18458745.940243017</v>
      </c>
      <c r="E13" s="68">
        <v>71186367</v>
      </c>
      <c r="F13" s="77">
        <v>0.25930169944257747</v>
      </c>
      <c r="G13" s="78">
        <v>52727621.05975698</v>
      </c>
    </row>
    <row r="14" spans="1:7" ht="16.5">
      <c r="A14" s="72" t="s">
        <v>130</v>
      </c>
      <c r="B14" s="47">
        <v>6530308.493412804</v>
      </c>
      <c r="C14" s="47">
        <v>714.76</v>
      </c>
      <c r="D14" s="47">
        <v>6529593.733412804</v>
      </c>
      <c r="E14" s="47">
        <v>20504962</v>
      </c>
      <c r="F14" s="73">
        <v>0.31843968954503815</v>
      </c>
      <c r="G14" s="74">
        <v>13975368.266587196</v>
      </c>
    </row>
    <row r="15" spans="1:7" ht="16.5">
      <c r="A15" s="79" t="s">
        <v>83</v>
      </c>
      <c r="B15" s="47">
        <v>9920933.582372628</v>
      </c>
      <c r="C15" s="47">
        <v>13731.26</v>
      </c>
      <c r="D15" s="47">
        <v>9907202.322372628</v>
      </c>
      <c r="E15" s="47">
        <v>40674894</v>
      </c>
      <c r="F15" s="73">
        <v>0.24357045214113227</v>
      </c>
      <c r="G15" s="74">
        <v>30767691.67762737</v>
      </c>
    </row>
    <row r="16" spans="1:7" ht="16.5">
      <c r="A16" s="72" t="s">
        <v>131</v>
      </c>
      <c r="B16" s="47">
        <v>3951511.4515578966</v>
      </c>
      <c r="C16" s="47">
        <v>12452.49</v>
      </c>
      <c r="D16" s="47">
        <v>3939058.9615578963</v>
      </c>
      <c r="E16" s="47">
        <v>16816550</v>
      </c>
      <c r="F16" s="73">
        <v>0.234237043957167</v>
      </c>
      <c r="G16" s="74">
        <v>12877491.038442103</v>
      </c>
    </row>
    <row r="17" spans="1:7" ht="16.5">
      <c r="A17" s="72" t="s">
        <v>132</v>
      </c>
      <c r="B17" s="47">
        <v>5969422.130814731</v>
      </c>
      <c r="C17" s="47">
        <v>1278.77</v>
      </c>
      <c r="D17" s="47">
        <v>5968143.360814732</v>
      </c>
      <c r="E17" s="47">
        <v>23858344</v>
      </c>
      <c r="F17" s="73">
        <v>0.2501491034253983</v>
      </c>
      <c r="G17" s="74">
        <v>17890200.63918527</v>
      </c>
    </row>
    <row r="18" spans="1:7" ht="16.5">
      <c r="A18" s="72" t="s">
        <v>84</v>
      </c>
      <c r="B18" s="47">
        <v>2022449.1944575855</v>
      </c>
      <c r="C18" s="47">
        <v>499.31</v>
      </c>
      <c r="D18" s="47">
        <v>2021949.8844575854</v>
      </c>
      <c r="E18" s="47">
        <v>10006511</v>
      </c>
      <c r="F18" s="73">
        <v>0.20206342494977375</v>
      </c>
      <c r="G18" s="74">
        <v>7984561.115542415</v>
      </c>
    </row>
    <row r="19" spans="1:7" ht="16.5">
      <c r="A19" s="72" t="s">
        <v>133</v>
      </c>
      <c r="B19" s="47">
        <v>465072.64416269376</v>
      </c>
      <c r="C19" s="47">
        <v>499.31</v>
      </c>
      <c r="D19" s="47">
        <v>464573.33416269376</v>
      </c>
      <c r="E19" s="47">
        <v>6267358</v>
      </c>
      <c r="F19" s="73">
        <v>0.07412586518317507</v>
      </c>
      <c r="G19" s="74">
        <v>5802784.6658373065</v>
      </c>
    </row>
    <row r="20" spans="1:7" ht="16.5">
      <c r="A20" s="72" t="s">
        <v>134</v>
      </c>
      <c r="B20" s="47">
        <v>1557376.5502948917</v>
      </c>
      <c r="C20" s="47">
        <v>0</v>
      </c>
      <c r="D20" s="47">
        <v>1557376.5502948917</v>
      </c>
      <c r="E20" s="47">
        <v>3739153</v>
      </c>
      <c r="F20" s="73">
        <v>0.4165051684953495</v>
      </c>
      <c r="G20" s="74">
        <v>2181776.449705108</v>
      </c>
    </row>
    <row r="21" spans="1:7" ht="16.5">
      <c r="A21" s="75"/>
      <c r="B21" s="47"/>
      <c r="C21" s="47"/>
      <c r="D21" s="47"/>
      <c r="E21" s="47"/>
      <c r="F21" s="73"/>
      <c r="G21" s="74"/>
    </row>
    <row r="22" spans="1:7" s="4" customFormat="1" ht="16.5">
      <c r="A22" s="76" t="s">
        <v>85</v>
      </c>
      <c r="B22" s="68">
        <v>5851545.96635947</v>
      </c>
      <c r="C22" s="68">
        <v>0</v>
      </c>
      <c r="D22" s="68">
        <v>5851545.96635947</v>
      </c>
      <c r="E22" s="68">
        <v>8534429</v>
      </c>
      <c r="F22" s="77">
        <v>0.6856400078270579</v>
      </c>
      <c r="G22" s="78">
        <v>2682883.03364053</v>
      </c>
    </row>
    <row r="23" spans="1:7" s="4" customFormat="1" ht="16.5">
      <c r="A23" s="80" t="s">
        <v>86</v>
      </c>
      <c r="B23" s="47">
        <v>4148177.8930354305</v>
      </c>
      <c r="C23" s="47">
        <v>0</v>
      </c>
      <c r="D23" s="47">
        <v>4148177.8930354305</v>
      </c>
      <c r="E23" s="47">
        <v>5758582</v>
      </c>
      <c r="F23" s="73">
        <v>0.720347108547804</v>
      </c>
      <c r="G23" s="74">
        <v>1610404.1069645695</v>
      </c>
    </row>
    <row r="24" spans="1:7" s="4" customFormat="1" ht="16.5">
      <c r="A24" s="81" t="s">
        <v>87</v>
      </c>
      <c r="B24" s="47">
        <v>1703368.0733240396</v>
      </c>
      <c r="C24" s="47">
        <v>0</v>
      </c>
      <c r="D24" s="47">
        <v>1703368.0733240396</v>
      </c>
      <c r="E24" s="47">
        <v>2775847</v>
      </c>
      <c r="F24" s="73">
        <v>0.6136390346168357</v>
      </c>
      <c r="G24" s="74">
        <v>1072478.9266759604</v>
      </c>
    </row>
    <row r="25" spans="1:7" s="4" customFormat="1" ht="17.25" thickBot="1">
      <c r="A25" s="82" t="s">
        <v>79</v>
      </c>
      <c r="B25" s="83">
        <v>194864734.47530818</v>
      </c>
      <c r="C25" s="83">
        <v>398215.32</v>
      </c>
      <c r="D25" s="83">
        <v>194466519.1553082</v>
      </c>
      <c r="E25" s="83">
        <v>284480924</v>
      </c>
      <c r="F25" s="84">
        <v>0.6835836878655112</v>
      </c>
      <c r="G25" s="85">
        <v>90014404.84469181</v>
      </c>
    </row>
    <row r="28" ht="12.75" customHeight="1"/>
    <row r="32" s="4" customFormat="1" ht="16.5"/>
    <row r="37" s="4" customFormat="1" ht="16.5"/>
    <row r="41" s="4" customFormat="1" ht="16.5"/>
    <row r="49" s="4" customFormat="1" ht="16.5"/>
    <row r="51" s="4" customFormat="1" ht="16.5"/>
    <row r="84" s="86" customFormat="1" ht="16.5"/>
    <row r="85" s="86" customFormat="1" ht="16.5"/>
    <row r="86" s="86" customFormat="1" ht="16.5"/>
  </sheetData>
  <mergeCells count="1">
    <mergeCell ref="A2:A3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&amp;LPríloha 3b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M13"/>
  <sheetViews>
    <sheetView tabSelected="1" workbookViewId="0" topLeftCell="A1">
      <pane xSplit="1" topLeftCell="B1" activePane="topRight" state="frozen"/>
      <selection pane="topLeft" activeCell="A1" sqref="A1"/>
      <selection pane="topRight" activeCell="O4" sqref="O4"/>
    </sheetView>
  </sheetViews>
  <sheetFormatPr defaultColWidth="9.140625" defaultRowHeight="12.75"/>
  <cols>
    <col min="1" max="1" width="15.421875" style="61" customWidth="1"/>
    <col min="2" max="2" width="15.140625" style="61" hidden="1" customWidth="1"/>
    <col min="3" max="3" width="12.7109375" style="61" hidden="1" customWidth="1"/>
    <col min="4" max="4" width="14.421875" style="61" hidden="1" customWidth="1"/>
    <col min="5" max="5" width="0" style="61" hidden="1" customWidth="1"/>
    <col min="6" max="6" width="13.140625" style="61" hidden="1" customWidth="1"/>
    <col min="7" max="7" width="12.7109375" style="61" hidden="1" customWidth="1"/>
    <col min="8" max="8" width="17.57421875" style="61" customWidth="1"/>
    <col min="9" max="9" width="12.421875" style="61" hidden="1" customWidth="1"/>
    <col min="10" max="10" width="0" style="61" hidden="1" customWidth="1"/>
    <col min="11" max="11" width="16.57421875" style="61" customWidth="1"/>
    <col min="12" max="12" width="14.421875" style="61" customWidth="1"/>
    <col min="13" max="13" width="13.7109375" style="61" customWidth="1"/>
    <col min="14" max="16384" width="9.140625" style="61" customWidth="1"/>
  </cols>
  <sheetData>
    <row r="1" spans="1:7" ht="16.5">
      <c r="A1" s="4" t="s">
        <v>135</v>
      </c>
      <c r="B1" s="4"/>
      <c r="C1" s="4"/>
      <c r="D1" s="4"/>
      <c r="E1" s="4"/>
      <c r="F1" s="4"/>
      <c r="G1" s="4"/>
    </row>
    <row r="2" spans="1:13" ht="93.75" customHeight="1">
      <c r="A2" s="222" t="s">
        <v>89</v>
      </c>
      <c r="B2" s="29" t="s">
        <v>10</v>
      </c>
      <c r="C2" s="29" t="s">
        <v>3</v>
      </c>
      <c r="D2" s="29" t="s">
        <v>9</v>
      </c>
      <c r="E2" s="29" t="s">
        <v>8</v>
      </c>
      <c r="F2" s="29" t="s">
        <v>65</v>
      </c>
      <c r="G2" s="29" t="s">
        <v>45</v>
      </c>
      <c r="H2" s="29" t="s">
        <v>118</v>
      </c>
      <c r="I2" s="29" t="s">
        <v>12</v>
      </c>
      <c r="J2" s="29" t="s">
        <v>11</v>
      </c>
      <c r="K2" s="29" t="s">
        <v>7</v>
      </c>
      <c r="L2" s="29" t="s">
        <v>119</v>
      </c>
      <c r="M2" s="29" t="s">
        <v>136</v>
      </c>
    </row>
    <row r="3" spans="1:13" ht="16.5">
      <c r="A3" s="223"/>
      <c r="B3" s="41" t="s">
        <v>0</v>
      </c>
      <c r="C3" s="41" t="s">
        <v>0</v>
      </c>
      <c r="D3" s="41" t="s">
        <v>0</v>
      </c>
      <c r="E3" s="41" t="s">
        <v>0</v>
      </c>
      <c r="F3" s="41" t="s">
        <v>0</v>
      </c>
      <c r="G3" s="41" t="s">
        <v>0</v>
      </c>
      <c r="H3" s="41" t="s">
        <v>0</v>
      </c>
      <c r="I3" s="41" t="s">
        <v>2</v>
      </c>
      <c r="J3" s="41" t="s">
        <v>2</v>
      </c>
      <c r="K3" s="41" t="s">
        <v>0</v>
      </c>
      <c r="L3" s="41" t="s">
        <v>2</v>
      </c>
      <c r="M3" s="41" t="s">
        <v>0</v>
      </c>
    </row>
    <row r="4" spans="1:13" ht="16.5">
      <c r="A4" s="42" t="s">
        <v>48</v>
      </c>
      <c r="B4" s="43">
        <f>B5+B6</f>
        <v>29703272</v>
      </c>
      <c r="C4" s="43">
        <f aca="true" t="shared" si="0" ref="C4:M4">C5+C6</f>
        <v>20743603.84</v>
      </c>
      <c r="D4" s="43">
        <f t="shared" si="0"/>
        <v>42598315</v>
      </c>
      <c r="E4" s="43">
        <f t="shared" si="0"/>
        <v>57345937</v>
      </c>
      <c r="F4" s="43">
        <f>F5+F6</f>
        <v>117377140.66844095</v>
      </c>
      <c r="G4" s="43">
        <f t="shared" si="0"/>
        <v>15853.348440944406</v>
      </c>
      <c r="H4" s="43">
        <f>H5+H6</f>
        <v>117361287.32000001</v>
      </c>
      <c r="I4" s="44">
        <v>100</v>
      </c>
      <c r="J4" s="44">
        <f aca="true" t="shared" si="1" ref="J4:J10">100*(H4-B4+C4-D4)/(E4+C4)</f>
        <v>84.26647596100784</v>
      </c>
      <c r="K4" s="43">
        <f>K5+K6</f>
        <v>129647524</v>
      </c>
      <c r="L4" s="45">
        <f aca="true" t="shared" si="2" ref="L4:L13">100*(H4/K4)</f>
        <v>90.52335416756591</v>
      </c>
      <c r="M4" s="45">
        <f t="shared" si="0"/>
        <v>12286236.679999992</v>
      </c>
    </row>
    <row r="5" spans="1:13" ht="16.5">
      <c r="A5" s="46" t="s">
        <v>4</v>
      </c>
      <c r="B5" s="47">
        <v>19523447</v>
      </c>
      <c r="C5" s="47">
        <f>K5*0.16</f>
        <v>13775291.68</v>
      </c>
      <c r="D5" s="47">
        <v>28059034</v>
      </c>
      <c r="E5" s="47">
        <v>38513092</v>
      </c>
      <c r="F5" s="47">
        <f>G5+H5</f>
        <v>76727234.23</v>
      </c>
      <c r="G5" s="47">
        <v>11603.94</v>
      </c>
      <c r="H5" s="47">
        <f>73805530.38+395161.29+445367.67+1022919.78+207406.65+350789.47+488455.05</f>
        <v>76715630.29</v>
      </c>
      <c r="I5" s="48">
        <v>100</v>
      </c>
      <c r="J5" s="48">
        <f t="shared" si="1"/>
        <v>82.06113471128813</v>
      </c>
      <c r="K5" s="47">
        <f>B5+D5+E5</f>
        <v>86095573</v>
      </c>
      <c r="L5" s="49">
        <f t="shared" si="2"/>
        <v>89.10519741822266</v>
      </c>
      <c r="M5" s="49">
        <f>K5-H5</f>
        <v>9379942.709999993</v>
      </c>
    </row>
    <row r="6" spans="1:13" ht="16.5">
      <c r="A6" s="46" t="s">
        <v>5</v>
      </c>
      <c r="B6" s="47">
        <v>10179825</v>
      </c>
      <c r="C6" s="47">
        <f>K6*0.16</f>
        <v>6968312.16</v>
      </c>
      <c r="D6" s="47">
        <v>14539281</v>
      </c>
      <c r="E6" s="47">
        <v>18832845</v>
      </c>
      <c r="F6" s="47">
        <f>G6+H6</f>
        <v>40649906.43844095</v>
      </c>
      <c r="G6" s="47">
        <v>4249.408440944407</v>
      </c>
      <c r="H6" s="47">
        <f>37780674.44+1513195.05+1078433.99+145036.71+128316.84</f>
        <v>40645657.03</v>
      </c>
      <c r="I6" s="48">
        <v>100</v>
      </c>
      <c r="J6" s="48">
        <f t="shared" si="1"/>
        <v>88.73579990239476</v>
      </c>
      <c r="K6" s="47">
        <f>B6+D6+E6</f>
        <v>43551951</v>
      </c>
      <c r="L6" s="49">
        <f t="shared" si="2"/>
        <v>93.32683403781384</v>
      </c>
      <c r="M6" s="49">
        <f>K6-H6</f>
        <v>2906293.969999999</v>
      </c>
    </row>
    <row r="7" spans="1:13" ht="16.5">
      <c r="A7" s="42" t="s">
        <v>49</v>
      </c>
      <c r="B7" s="43">
        <f aca="true" t="shared" si="3" ref="B7:H7">B8+B9+B10+B11</f>
        <v>11573143</v>
      </c>
      <c r="C7" s="43">
        <f t="shared" si="3"/>
        <v>7841139.360000001</v>
      </c>
      <c r="D7" s="43">
        <f t="shared" si="3"/>
        <v>16348524</v>
      </c>
      <c r="E7" s="43">
        <f t="shared" si="3"/>
        <v>21085454</v>
      </c>
      <c r="F7" s="43">
        <f t="shared" si="3"/>
        <v>38313362.88</v>
      </c>
      <c r="G7" s="43">
        <f t="shared" si="3"/>
        <v>1806.53</v>
      </c>
      <c r="H7" s="43">
        <f t="shared" si="3"/>
        <v>38311556.35000001</v>
      </c>
      <c r="I7" s="44">
        <v>100</v>
      </c>
      <c r="J7" s="44">
        <f t="shared" si="1"/>
        <v>63.02514949862734</v>
      </c>
      <c r="K7" s="43">
        <f>K8+K9+K10+K11</f>
        <v>49007121</v>
      </c>
      <c r="L7" s="45">
        <f t="shared" si="2"/>
        <v>78.17548872132278</v>
      </c>
      <c r="M7" s="45">
        <f>M8+M9+M10+M11</f>
        <v>10695564.649999995</v>
      </c>
    </row>
    <row r="8" spans="1:13" ht="16.5">
      <c r="A8" s="46" t="s">
        <v>21</v>
      </c>
      <c r="B8" s="47">
        <f>742821+1591758</f>
        <v>2334579</v>
      </c>
      <c r="C8" s="47">
        <f>K8*0.16</f>
        <v>1482748.96</v>
      </c>
      <c r="D8" s="47">
        <f>1013897+2140449</f>
        <v>3154346</v>
      </c>
      <c r="E8" s="47">
        <f>1075595+2702661</f>
        <v>3778256</v>
      </c>
      <c r="F8" s="47">
        <f aca="true" t="shared" si="4" ref="F8:F13">G8+H8</f>
        <v>8359631.6099999985</v>
      </c>
      <c r="G8" s="47">
        <v>120.79</v>
      </c>
      <c r="H8" s="47">
        <f>7981962.14+108324.85+173172.89+27717.88+68333.06</f>
        <v>8359510.819999998</v>
      </c>
      <c r="I8" s="48">
        <v>100</v>
      </c>
      <c r="J8" s="48">
        <f t="shared" si="1"/>
        <v>82.7472091947999</v>
      </c>
      <c r="K8" s="47">
        <f>B8+D8+E8</f>
        <v>9267181</v>
      </c>
      <c r="L8" s="49">
        <f t="shared" si="2"/>
        <v>90.20554168522227</v>
      </c>
      <c r="M8" s="49">
        <f>K8-H8</f>
        <v>907670.1800000016</v>
      </c>
    </row>
    <row r="9" spans="1:13" ht="16.5">
      <c r="A9" s="46" t="s">
        <v>22</v>
      </c>
      <c r="B9" s="47">
        <v>427652</v>
      </c>
      <c r="C9" s="47">
        <f>K9*0.16</f>
        <v>292650.4</v>
      </c>
      <c r="D9" s="47">
        <v>610591</v>
      </c>
      <c r="E9" s="47">
        <f>790822</f>
        <v>790822</v>
      </c>
      <c r="F9" s="47">
        <f t="shared" si="4"/>
        <v>1609419.65</v>
      </c>
      <c r="G9" s="47">
        <v>401.66</v>
      </c>
      <c r="H9" s="47">
        <f>1272388.79+125538.15+92474.06+102449.37+15021.39+1146.23</f>
        <v>1609017.99</v>
      </c>
      <c r="I9" s="48">
        <v>100</v>
      </c>
      <c r="J9" s="48">
        <f t="shared" si="1"/>
        <v>79.69057541290394</v>
      </c>
      <c r="K9" s="47">
        <f>B9+D9+E9</f>
        <v>1829065</v>
      </c>
      <c r="L9" s="49">
        <f t="shared" si="2"/>
        <v>87.96942645559344</v>
      </c>
      <c r="M9" s="49">
        <f>K9-H9</f>
        <v>220047.01</v>
      </c>
    </row>
    <row r="10" spans="1:13" ht="16.5">
      <c r="A10" s="46" t="s">
        <v>38</v>
      </c>
      <c r="B10" s="47">
        <f>4962041+3421219</f>
        <v>8383260</v>
      </c>
      <c r="C10" s="47">
        <f>K10*0.16</f>
        <v>5773089.600000001</v>
      </c>
      <c r="D10" s="47">
        <f>7086013+4886983</f>
        <v>11972996</v>
      </c>
      <c r="E10" s="47">
        <f>9178471+6547083</f>
        <v>15725554</v>
      </c>
      <c r="F10" s="47">
        <f t="shared" si="4"/>
        <v>27819757.730000004</v>
      </c>
      <c r="G10" s="47">
        <v>1284.08</v>
      </c>
      <c r="H10" s="47">
        <f>24224596.53+18278.23+120339.62+422905.07+197574.3+525652.43+823176.21+329978.89+206460.66+217005.45+485069.71+247436.55</f>
        <v>27818473.650000006</v>
      </c>
      <c r="I10" s="48">
        <v>100</v>
      </c>
      <c r="J10" s="48">
        <f t="shared" si="1"/>
        <v>61.563452542652534</v>
      </c>
      <c r="K10" s="47">
        <f>B10+D10+E10</f>
        <v>36081810</v>
      </c>
      <c r="L10" s="49">
        <f t="shared" si="2"/>
        <v>77.09833195729374</v>
      </c>
      <c r="M10" s="49">
        <f>K10-H10</f>
        <v>8263336.349999994</v>
      </c>
    </row>
    <row r="11" spans="1:13" ht="16.5">
      <c r="A11" s="46" t="s">
        <v>50</v>
      </c>
      <c r="B11" s="47">
        <v>427652</v>
      </c>
      <c r="C11" s="47">
        <f>K11*0.16</f>
        <v>292650.4</v>
      </c>
      <c r="D11" s="47">
        <v>610591</v>
      </c>
      <c r="E11" s="47">
        <v>790822</v>
      </c>
      <c r="F11" s="47">
        <f t="shared" si="4"/>
        <v>524553.89</v>
      </c>
      <c r="G11" s="47">
        <v>0</v>
      </c>
      <c r="H11" s="47">
        <f>420543.13+36426+14491.74+26781.07+20762.59+5549.36</f>
        <v>524553.89</v>
      </c>
      <c r="I11" s="48">
        <f>100*(H11-B11+C11)/D11</f>
        <v>63.79921911721594</v>
      </c>
      <c r="J11" s="48">
        <v>0</v>
      </c>
      <c r="K11" s="47">
        <f>B11+D11+E11</f>
        <v>1829065</v>
      </c>
      <c r="L11" s="49">
        <f t="shared" si="2"/>
        <v>28.67879982395377</v>
      </c>
      <c r="M11" s="49">
        <f>K11-H11</f>
        <v>1304511.1099999999</v>
      </c>
    </row>
    <row r="12" spans="1:13" ht="16.5">
      <c r="A12" s="42" t="s">
        <v>42</v>
      </c>
      <c r="B12" s="43">
        <v>1496253</v>
      </c>
      <c r="C12" s="43">
        <f>K12*0.16</f>
        <v>693334.72</v>
      </c>
      <c r="D12" s="43">
        <v>2140449</v>
      </c>
      <c r="E12" s="43">
        <v>696640</v>
      </c>
      <c r="F12" s="43">
        <f t="shared" si="4"/>
        <v>2988702.9999999995</v>
      </c>
      <c r="G12" s="43">
        <v>17656.67</v>
      </c>
      <c r="H12" s="43">
        <f>2650088.32+59527.44+220480.11+381.66+530.43+28228.8+11809.57</f>
        <v>2971046.3299999996</v>
      </c>
      <c r="I12" s="44">
        <f>100*(H12-B12+C12)/D12</f>
        <v>101.29314223324171</v>
      </c>
      <c r="J12" s="44">
        <v>0</v>
      </c>
      <c r="K12" s="43">
        <f>B12+D12+E12</f>
        <v>4333342</v>
      </c>
      <c r="L12" s="45">
        <f t="shared" si="2"/>
        <v>68.56247049044363</v>
      </c>
      <c r="M12" s="45">
        <f>K12-H12</f>
        <v>1362295.6700000004</v>
      </c>
    </row>
    <row r="13" spans="1:13" ht="16.5">
      <c r="A13" s="50" t="s">
        <v>120</v>
      </c>
      <c r="B13" s="51">
        <f>B4+B7+B12</f>
        <v>42772668</v>
      </c>
      <c r="C13" s="51">
        <f>C4+C7+C12</f>
        <v>29278077.92</v>
      </c>
      <c r="D13" s="51">
        <f>D4+D7+D12</f>
        <v>61087288</v>
      </c>
      <c r="E13" s="51">
        <f>E4+E7+E12</f>
        <v>79128031</v>
      </c>
      <c r="F13" s="51">
        <f t="shared" si="4"/>
        <v>158679206.54844096</v>
      </c>
      <c r="G13" s="51">
        <f>G4+G7+G12</f>
        <v>35316.5484409444</v>
      </c>
      <c r="H13" s="51">
        <f>H4+H7+H12</f>
        <v>158643890.00000003</v>
      </c>
      <c r="I13" s="52">
        <v>100</v>
      </c>
      <c r="J13" s="52">
        <f>100*(H13-B13+C13-D13)/(E13+C13)</f>
        <v>77.54361147860672</v>
      </c>
      <c r="K13" s="51">
        <f>K4+K7+K12</f>
        <v>182987987</v>
      </c>
      <c r="L13" s="53">
        <f t="shared" si="2"/>
        <v>86.69634143797649</v>
      </c>
      <c r="M13" s="53">
        <f>M4+M7+M12</f>
        <v>24344096.99999999</v>
      </c>
    </row>
  </sheetData>
  <mergeCells count="1">
    <mergeCell ref="A2:A3"/>
  </mergeCells>
  <printOptions/>
  <pageMargins left="0.1968503937007874" right="0.1968503937007874" top="0.5905511811023623" bottom="0.984251968503937" header="0.5118110236220472" footer="0.5118110236220472"/>
  <pageSetup horizontalDpi="600" verticalDpi="600" orientation="landscape" paperSize="9" r:id="rId1"/>
  <headerFooter alignWithMargins="0">
    <oddHeader>&amp;LPríloha 3c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2:L50"/>
  <sheetViews>
    <sheetView workbookViewId="0" topLeftCell="A1">
      <selection activeCell="O4" sqref="O4"/>
    </sheetView>
  </sheetViews>
  <sheetFormatPr defaultColWidth="9.140625" defaultRowHeight="12.75"/>
  <cols>
    <col min="1" max="1" width="19.7109375" style="61" customWidth="1"/>
    <col min="2" max="2" width="15.140625" style="61" hidden="1" customWidth="1"/>
    <col min="3" max="3" width="15.00390625" style="61" hidden="1" customWidth="1"/>
    <col min="4" max="4" width="15.7109375" style="61" hidden="1" customWidth="1"/>
    <col min="5" max="5" width="15.140625" style="61" hidden="1" customWidth="1"/>
    <col min="6" max="6" width="16.8515625" style="61" customWidth="1"/>
    <col min="7" max="7" width="16.7109375" style="61" hidden="1" customWidth="1"/>
    <col min="8" max="8" width="14.421875" style="61" hidden="1" customWidth="1"/>
    <col min="9" max="9" width="17.421875" style="61" customWidth="1"/>
    <col min="10" max="10" width="15.7109375" style="61" hidden="1" customWidth="1"/>
    <col min="11" max="11" width="17.140625" style="61" customWidth="1"/>
    <col min="12" max="12" width="18.140625" style="61" customWidth="1"/>
    <col min="13" max="16384" width="9.140625" style="61" customWidth="1"/>
  </cols>
  <sheetData>
    <row r="2" spans="1:12" ht="19.5" customHeight="1">
      <c r="A2" s="4" t="s">
        <v>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7.25" thickBot="1"/>
    <row r="4" spans="1:12" ht="51.75" customHeight="1">
      <c r="A4" s="220" t="s">
        <v>1</v>
      </c>
      <c r="B4" s="62" t="s">
        <v>10</v>
      </c>
      <c r="C4" s="62" t="s">
        <v>3</v>
      </c>
      <c r="D4" s="62" t="s">
        <v>9</v>
      </c>
      <c r="E4" s="62" t="s">
        <v>8</v>
      </c>
      <c r="F4" s="62" t="s">
        <v>7</v>
      </c>
      <c r="G4" s="62" t="s">
        <v>44</v>
      </c>
      <c r="H4" s="62" t="s">
        <v>45</v>
      </c>
      <c r="I4" s="62" t="s">
        <v>16</v>
      </c>
      <c r="J4" s="62" t="s">
        <v>11</v>
      </c>
      <c r="K4" s="62" t="s">
        <v>46</v>
      </c>
      <c r="L4" s="63" t="s">
        <v>14</v>
      </c>
    </row>
    <row r="5" spans="1:12" ht="13.5" customHeight="1" thickBot="1">
      <c r="A5" s="221"/>
      <c r="B5" s="64" t="s">
        <v>0</v>
      </c>
      <c r="C5" s="64" t="s">
        <v>0</v>
      </c>
      <c r="D5" s="64" t="s">
        <v>0</v>
      </c>
      <c r="E5" s="64" t="s">
        <v>0</v>
      </c>
      <c r="F5" s="64" t="s">
        <v>0</v>
      </c>
      <c r="G5" s="64" t="s">
        <v>0</v>
      </c>
      <c r="H5" s="64" t="s">
        <v>0</v>
      </c>
      <c r="I5" s="64" t="s">
        <v>0</v>
      </c>
      <c r="J5" s="64" t="s">
        <v>2</v>
      </c>
      <c r="K5" s="64" t="s">
        <v>2</v>
      </c>
      <c r="L5" s="65" t="s">
        <v>0</v>
      </c>
    </row>
    <row r="6" spans="1:12" ht="13.5" customHeight="1" thickTop="1">
      <c r="A6" s="91" t="s">
        <v>47</v>
      </c>
      <c r="B6" s="92">
        <f>B7+B11+B16+B21</f>
        <v>98725671</v>
      </c>
      <c r="C6" s="92">
        <v>67578152.32</v>
      </c>
      <c r="D6" s="92">
        <f aca="true" t="shared" si="0" ref="D6:I6">D7+D11+D16+D21</f>
        <v>140998533</v>
      </c>
      <c r="E6" s="92">
        <f t="shared" si="0"/>
        <v>182639248</v>
      </c>
      <c r="F6" s="92">
        <f t="shared" si="0"/>
        <v>422363452</v>
      </c>
      <c r="G6" s="92">
        <f>G7+G11+G16+G21</f>
        <v>324550083.1609675</v>
      </c>
      <c r="H6" s="92">
        <f t="shared" si="0"/>
        <v>547138.42</v>
      </c>
      <c r="I6" s="92">
        <f t="shared" si="0"/>
        <v>324002944.7409675</v>
      </c>
      <c r="J6" s="93">
        <f>100*(I6-B6+C6-D6)/(E6+C6)</f>
        <v>60.689981139105264</v>
      </c>
      <c r="K6" s="93">
        <f>100*(I6/F6)</f>
        <v>76.71188006602605</v>
      </c>
      <c r="L6" s="94">
        <f>F6-I6</f>
        <v>98360507.25903249</v>
      </c>
    </row>
    <row r="7" spans="1:12" ht="13.5" customHeight="1">
      <c r="A7" s="75" t="s">
        <v>48</v>
      </c>
      <c r="B7" s="47">
        <f>B8+B9+B10</f>
        <v>48202818</v>
      </c>
      <c r="C7" s="47">
        <f aca="true" t="shared" si="1" ref="C7:I7">C8+C9+C10</f>
        <v>33310639.199999996</v>
      </c>
      <c r="D7" s="47">
        <f t="shared" si="1"/>
        <v>68842547</v>
      </c>
      <c r="E7" s="47">
        <f t="shared" si="1"/>
        <v>91146130</v>
      </c>
      <c r="F7" s="47">
        <f>F8+F9+F10</f>
        <v>208191495</v>
      </c>
      <c r="G7" s="47">
        <f t="shared" si="1"/>
        <v>148440556.31</v>
      </c>
      <c r="H7" s="47">
        <f t="shared" si="1"/>
        <v>0</v>
      </c>
      <c r="I7" s="47">
        <f t="shared" si="1"/>
        <v>148440556.31</v>
      </c>
      <c r="J7" s="48">
        <f>100*(I7-B7+C7-D7)/(E7+C7)</f>
        <v>51.99060760288481</v>
      </c>
      <c r="K7" s="48">
        <f aca="true" t="shared" si="2" ref="K7:K21">100*(I7/F7)</f>
        <v>71.300009786663</v>
      </c>
      <c r="L7" s="74">
        <f aca="true" t="shared" si="3" ref="L7:L21">F7-I7</f>
        <v>59750938.69</v>
      </c>
    </row>
    <row r="8" spans="1:12" ht="13.5" customHeight="1">
      <c r="A8" s="72" t="s">
        <v>4</v>
      </c>
      <c r="B8" s="47">
        <v>15704363</v>
      </c>
      <c r="C8" s="47">
        <v>10749704.799999999</v>
      </c>
      <c r="D8" s="47">
        <v>22428737</v>
      </c>
      <c r="E8" s="47">
        <v>29052555</v>
      </c>
      <c r="F8" s="47">
        <f>B8+D8+E8</f>
        <v>67185655</v>
      </c>
      <c r="G8" s="47">
        <v>61537197.220000006</v>
      </c>
      <c r="H8" s="47">
        <v>0</v>
      </c>
      <c r="I8" s="47">
        <f>G8-H8</f>
        <v>61537197.220000006</v>
      </c>
      <c r="J8" s="48">
        <f aca="true" t="shared" si="4" ref="J8:J21">100*(I8-B8+C8-D8)/(E8+C8)</f>
        <v>85.80870079140584</v>
      </c>
      <c r="K8" s="48">
        <f t="shared" si="2"/>
        <v>91.59276220496773</v>
      </c>
      <c r="L8" s="74">
        <f t="shared" si="3"/>
        <v>5648457.779999994</v>
      </c>
    </row>
    <row r="9" spans="1:12" ht="13.5" customHeight="1">
      <c r="A9" s="72" t="s">
        <v>5</v>
      </c>
      <c r="B9" s="47">
        <v>31963367</v>
      </c>
      <c r="C9" s="47">
        <v>21879064.479999997</v>
      </c>
      <c r="D9" s="47">
        <v>45649606</v>
      </c>
      <c r="E9" s="47">
        <v>59131180</v>
      </c>
      <c r="F9" s="47">
        <f>B9+D9+E9</f>
        <v>136744153</v>
      </c>
      <c r="G9" s="47">
        <v>85023254.49</v>
      </c>
      <c r="H9" s="47">
        <v>0</v>
      </c>
      <c r="I9" s="47">
        <f>G9-H9</f>
        <v>85023254.49</v>
      </c>
      <c r="J9" s="48">
        <f t="shared" si="4"/>
        <v>36.15511366248379</v>
      </c>
      <c r="K9" s="48">
        <f t="shared" si="2"/>
        <v>62.17688480618253</v>
      </c>
      <c r="L9" s="74">
        <f t="shared" si="3"/>
        <v>51720898.510000005</v>
      </c>
    </row>
    <row r="10" spans="1:12" ht="13.5" customHeight="1">
      <c r="A10" s="72" t="s">
        <v>6</v>
      </c>
      <c r="B10" s="47">
        <v>535088</v>
      </c>
      <c r="C10" s="47">
        <v>681869.92</v>
      </c>
      <c r="D10" s="47">
        <v>764204</v>
      </c>
      <c r="E10" s="47">
        <v>2962395</v>
      </c>
      <c r="F10" s="47">
        <f>B10+D10+E10</f>
        <v>4261687</v>
      </c>
      <c r="G10" s="47">
        <v>1880104.6</v>
      </c>
      <c r="H10" s="47">
        <v>0</v>
      </c>
      <c r="I10" s="47">
        <f>G10-H10</f>
        <v>1880104.6</v>
      </c>
      <c r="J10" s="48">
        <f t="shared" si="4"/>
        <v>34.64848323924815</v>
      </c>
      <c r="K10" s="48">
        <f t="shared" si="2"/>
        <v>44.11644027353488</v>
      </c>
      <c r="L10" s="74">
        <f t="shared" si="3"/>
        <v>2381582.4</v>
      </c>
    </row>
    <row r="11" spans="1:12" ht="13.5" customHeight="1">
      <c r="A11" s="75" t="s">
        <v>49</v>
      </c>
      <c r="B11" s="47">
        <f>B12+B13+B14+B15</f>
        <v>22531819</v>
      </c>
      <c r="C11" s="47">
        <f aca="true" t="shared" si="5" ref="C11:I11">C12+C13+C14+C15</f>
        <v>15591549.12</v>
      </c>
      <c r="D11" s="47">
        <f t="shared" si="5"/>
        <v>32179607</v>
      </c>
      <c r="E11" s="47">
        <f>E12+E13+E14+E15</f>
        <v>42735756</v>
      </c>
      <c r="F11" s="47">
        <f>F12+F13+F14+F15</f>
        <v>97447182</v>
      </c>
      <c r="G11" s="47">
        <f t="shared" si="5"/>
        <v>84767300.53</v>
      </c>
      <c r="H11" s="47">
        <f>H12+H13+H14+H15</f>
        <v>342884.45</v>
      </c>
      <c r="I11" s="47">
        <f t="shared" si="5"/>
        <v>84424416.08000001</v>
      </c>
      <c r="J11" s="48">
        <f t="shared" si="4"/>
        <v>77.67295112776509</v>
      </c>
      <c r="K11" s="48">
        <f t="shared" si="2"/>
        <v>86.63607745989003</v>
      </c>
      <c r="L11" s="74">
        <f t="shared" si="3"/>
        <v>13022765.919999987</v>
      </c>
    </row>
    <row r="12" spans="1:12" ht="13.5" customHeight="1">
      <c r="A12" s="72" t="s">
        <v>21</v>
      </c>
      <c r="B12" s="47">
        <v>10757246</v>
      </c>
      <c r="C12" s="47">
        <v>7363381.599999999</v>
      </c>
      <c r="D12" s="47">
        <v>15363338</v>
      </c>
      <c r="E12" s="47">
        <v>19900551</v>
      </c>
      <c r="F12" s="47">
        <f>B12+D12+E12</f>
        <v>46021135</v>
      </c>
      <c r="G12" s="47">
        <v>38756737.800000004</v>
      </c>
      <c r="H12" s="47">
        <v>244627.53</v>
      </c>
      <c r="I12" s="47">
        <f>G12-H12</f>
        <v>38512110.27</v>
      </c>
      <c r="J12" s="48">
        <f t="shared" si="4"/>
        <v>72.45802782684405</v>
      </c>
      <c r="K12" s="48">
        <f t="shared" si="2"/>
        <v>83.68352990424943</v>
      </c>
      <c r="L12" s="74">
        <f t="shared" si="3"/>
        <v>7509024.729999997</v>
      </c>
    </row>
    <row r="13" spans="1:12" ht="13.5" customHeight="1">
      <c r="A13" s="72" t="s">
        <v>22</v>
      </c>
      <c r="B13" s="47">
        <v>5337665</v>
      </c>
      <c r="C13" s="47">
        <v>3653655.2</v>
      </c>
      <c r="D13" s="47">
        <v>7623174</v>
      </c>
      <c r="E13" s="47">
        <v>9874506</v>
      </c>
      <c r="F13" s="47">
        <f>B13+D13+E13</f>
        <v>22835345</v>
      </c>
      <c r="G13" s="47">
        <v>21305019.500000004</v>
      </c>
      <c r="H13" s="47">
        <v>60714.68</v>
      </c>
      <c r="I13" s="47">
        <f>G13-H13</f>
        <v>21244304.820000004</v>
      </c>
      <c r="J13" s="48">
        <f t="shared" si="4"/>
        <v>88.239050699662</v>
      </c>
      <c r="K13" s="48">
        <f t="shared" si="2"/>
        <v>93.0325546647095</v>
      </c>
      <c r="L13" s="74">
        <f t="shared" si="3"/>
        <v>1591040.179999996</v>
      </c>
    </row>
    <row r="14" spans="1:12" ht="13.5" customHeight="1">
      <c r="A14" s="72" t="s">
        <v>38</v>
      </c>
      <c r="B14" s="47">
        <v>5099849</v>
      </c>
      <c r="C14" s="47">
        <v>3659289.76</v>
      </c>
      <c r="D14" s="47">
        <v>7283528</v>
      </c>
      <c r="E14" s="47">
        <v>10487184</v>
      </c>
      <c r="F14" s="47">
        <f>B14+D14+E14</f>
        <v>22870561</v>
      </c>
      <c r="G14" s="47">
        <v>20224860.88</v>
      </c>
      <c r="H14" s="47">
        <v>2101.07</v>
      </c>
      <c r="I14" s="47">
        <f>G14-H14</f>
        <v>20222759.81</v>
      </c>
      <c r="J14" s="48">
        <f t="shared" si="4"/>
        <v>81.28295973313989</v>
      </c>
      <c r="K14" s="48">
        <f t="shared" si="2"/>
        <v>88.42266619520176</v>
      </c>
      <c r="L14" s="74">
        <f t="shared" si="3"/>
        <v>2647801.1900000013</v>
      </c>
    </row>
    <row r="15" spans="1:12" ht="13.5" customHeight="1">
      <c r="A15" s="72" t="s">
        <v>50</v>
      </c>
      <c r="B15" s="47">
        <v>1337059</v>
      </c>
      <c r="C15" s="47">
        <v>915222.56</v>
      </c>
      <c r="D15" s="47">
        <v>1909567</v>
      </c>
      <c r="E15" s="47">
        <v>2473515</v>
      </c>
      <c r="F15" s="47">
        <f>B15+D15+E15</f>
        <v>5720141</v>
      </c>
      <c r="G15" s="47">
        <v>4480682.35</v>
      </c>
      <c r="H15" s="47">
        <v>35441.17</v>
      </c>
      <c r="I15" s="47">
        <f>G15-H15</f>
        <v>4445241.18</v>
      </c>
      <c r="J15" s="48">
        <f t="shared" si="4"/>
        <v>62.37832533717954</v>
      </c>
      <c r="K15" s="48">
        <f t="shared" si="2"/>
        <v>77.7120910131411</v>
      </c>
      <c r="L15" s="74">
        <f t="shared" si="3"/>
        <v>1274899.8200000003</v>
      </c>
    </row>
    <row r="16" spans="1:12" ht="13.5" customHeight="1">
      <c r="A16" s="75" t="s">
        <v>51</v>
      </c>
      <c r="B16" s="47">
        <f>B17+B18+B19+B20</f>
        <v>22243267</v>
      </c>
      <c r="C16" s="47">
        <f aca="true" t="shared" si="6" ref="C16:I16">C17+C18+C19+C20</f>
        <v>15225613.44</v>
      </c>
      <c r="D16" s="47">
        <f t="shared" si="6"/>
        <v>31767504</v>
      </c>
      <c r="E16" s="47">
        <f t="shared" si="6"/>
        <v>41149313</v>
      </c>
      <c r="F16" s="47">
        <f>F17+F18+F19+F20</f>
        <v>95160084</v>
      </c>
      <c r="G16" s="47">
        <f t="shared" si="6"/>
        <v>73457406.66</v>
      </c>
      <c r="H16" s="47">
        <f t="shared" si="6"/>
        <v>203796.87</v>
      </c>
      <c r="I16" s="47">
        <f t="shared" si="6"/>
        <v>73253609.79</v>
      </c>
      <c r="J16" s="48">
        <f t="shared" si="4"/>
        <v>61.14145845792789</v>
      </c>
      <c r="K16" s="48">
        <f t="shared" si="2"/>
        <v>76.97934544698384</v>
      </c>
      <c r="L16" s="74">
        <f t="shared" si="3"/>
        <v>21906474.209999993</v>
      </c>
    </row>
    <row r="17" spans="1:12" ht="13.5" customHeight="1">
      <c r="A17" s="72" t="s">
        <v>23</v>
      </c>
      <c r="B17" s="47">
        <v>12805376</v>
      </c>
      <c r="C17" s="47">
        <v>8765335.84</v>
      </c>
      <c r="D17" s="47">
        <v>18288448</v>
      </c>
      <c r="E17" s="47">
        <v>23689525</v>
      </c>
      <c r="F17" s="47">
        <f>B17+D17+E17</f>
        <v>54783349</v>
      </c>
      <c r="G17" s="47">
        <v>40817316.800000004</v>
      </c>
      <c r="H17" s="47">
        <v>191823.65</v>
      </c>
      <c r="I17" s="47">
        <f>G17-H17</f>
        <v>40625493.150000006</v>
      </c>
      <c r="J17" s="48">
        <f t="shared" si="4"/>
        <v>56.37677844376796</v>
      </c>
      <c r="K17" s="48">
        <f t="shared" si="2"/>
        <v>74.15664411096884</v>
      </c>
      <c r="L17" s="74">
        <f t="shared" si="3"/>
        <v>14157855.849999994</v>
      </c>
    </row>
    <row r="18" spans="1:12" ht="13.5" customHeight="1">
      <c r="A18" s="72" t="s">
        <v>24</v>
      </c>
      <c r="B18" s="47">
        <v>2402214</v>
      </c>
      <c r="C18" s="47">
        <v>1644325.76</v>
      </c>
      <c r="D18" s="47">
        <v>3430806</v>
      </c>
      <c r="E18" s="47">
        <v>4444016</v>
      </c>
      <c r="F18" s="47">
        <f>B18+D18+E18</f>
        <v>10277036</v>
      </c>
      <c r="G18" s="47">
        <v>7476542.380000001</v>
      </c>
      <c r="H18" s="47">
        <v>0</v>
      </c>
      <c r="I18" s="47">
        <f>G18-H18</f>
        <v>7476542.380000001</v>
      </c>
      <c r="J18" s="48">
        <f t="shared" si="4"/>
        <v>54.00235843527944</v>
      </c>
      <c r="K18" s="48">
        <f t="shared" si="2"/>
        <v>72.74998725313408</v>
      </c>
      <c r="L18" s="74">
        <f t="shared" si="3"/>
        <v>2800493.619999999</v>
      </c>
    </row>
    <row r="19" spans="1:12" ht="13.5" customHeight="1">
      <c r="A19" s="72" t="s">
        <v>52</v>
      </c>
      <c r="B19" s="47">
        <v>800650</v>
      </c>
      <c r="C19" s="47">
        <v>548048.32</v>
      </c>
      <c r="D19" s="47">
        <v>1143476</v>
      </c>
      <c r="E19" s="47">
        <v>1481176</v>
      </c>
      <c r="F19" s="47">
        <f>B19+D19+E19</f>
        <v>3425302</v>
      </c>
      <c r="G19" s="47">
        <v>1799111.48</v>
      </c>
      <c r="H19" s="47">
        <v>0</v>
      </c>
      <c r="I19" s="47">
        <f>G19-H19</f>
        <v>1799111.48</v>
      </c>
      <c r="J19" s="48">
        <f t="shared" si="4"/>
        <v>19.861471007798677</v>
      </c>
      <c r="K19" s="48">
        <f t="shared" si="2"/>
        <v>52.52417100740314</v>
      </c>
      <c r="L19" s="74">
        <f t="shared" si="3"/>
        <v>1626190.52</v>
      </c>
    </row>
    <row r="20" spans="1:12" ht="13.5" customHeight="1" thickBot="1">
      <c r="A20" s="95" t="s">
        <v>53</v>
      </c>
      <c r="B20" s="96">
        <v>6235027</v>
      </c>
      <c r="C20" s="96">
        <v>4267903.52</v>
      </c>
      <c r="D20" s="96">
        <v>8904774</v>
      </c>
      <c r="E20" s="96">
        <v>11534596</v>
      </c>
      <c r="F20" s="96">
        <f>B20+D20+E20</f>
        <v>26674397</v>
      </c>
      <c r="G20" s="96">
        <v>23364436</v>
      </c>
      <c r="H20" s="96">
        <v>11973.22</v>
      </c>
      <c r="I20" s="96">
        <f>G20-H20</f>
        <v>23352462.78</v>
      </c>
      <c r="J20" s="97">
        <f t="shared" si="4"/>
        <v>78.978425433295</v>
      </c>
      <c r="K20" s="97">
        <f t="shared" si="2"/>
        <v>87.54635683048431</v>
      </c>
      <c r="L20" s="98">
        <f t="shared" si="3"/>
        <v>3321934.219999999</v>
      </c>
    </row>
    <row r="21" spans="1:12" ht="13.5" customHeight="1" thickBot="1">
      <c r="A21" s="99" t="s">
        <v>42</v>
      </c>
      <c r="B21" s="100">
        <v>5747767</v>
      </c>
      <c r="C21" s="100">
        <v>3450350.56</v>
      </c>
      <c r="D21" s="100">
        <v>8208875</v>
      </c>
      <c r="E21" s="100">
        <v>7608049</v>
      </c>
      <c r="F21" s="101">
        <f>B21+D21+E21</f>
        <v>21564691</v>
      </c>
      <c r="G21" s="101">
        <v>17884819.660967536</v>
      </c>
      <c r="H21" s="101">
        <v>457.1</v>
      </c>
      <c r="I21" s="101">
        <f>G21-H21</f>
        <v>17884362.560967535</v>
      </c>
      <c r="J21" s="102">
        <f t="shared" si="4"/>
        <v>66.719158418323</v>
      </c>
      <c r="K21" s="102">
        <f t="shared" si="2"/>
        <v>82.93354428759278</v>
      </c>
      <c r="L21" s="103">
        <f t="shared" si="3"/>
        <v>3680328.439032465</v>
      </c>
    </row>
    <row r="23" ht="16.5" hidden="1"/>
    <row r="24" spans="2:5" ht="16.5" hidden="1">
      <c r="B24" s="88"/>
      <c r="C24" s="88"/>
      <c r="D24" s="88"/>
      <c r="E24" s="88"/>
    </row>
    <row r="25" spans="1:12" ht="21" customHeight="1" hidden="1">
      <c r="A25" s="4" t="s">
        <v>54</v>
      </c>
      <c r="B25" s="4"/>
      <c r="C25" s="4"/>
      <c r="D25" s="4"/>
      <c r="E25" s="4"/>
      <c r="F25" s="4"/>
      <c r="H25" s="4"/>
      <c r="I25" s="4"/>
      <c r="J25" s="4"/>
      <c r="K25" s="4"/>
      <c r="L25" s="4"/>
    </row>
    <row r="26" spans="4:5" ht="17.25" hidden="1" thickBot="1">
      <c r="D26" s="88"/>
      <c r="E26" s="88"/>
    </row>
    <row r="27" spans="1:12" ht="54" customHeight="1" hidden="1" thickTop="1">
      <c r="A27" s="224" t="s">
        <v>1</v>
      </c>
      <c r="B27" s="104" t="s">
        <v>10</v>
      </c>
      <c r="C27" s="104" t="s">
        <v>3</v>
      </c>
      <c r="D27" s="104" t="s">
        <v>9</v>
      </c>
      <c r="E27" s="104" t="s">
        <v>8</v>
      </c>
      <c r="F27" s="104" t="s">
        <v>7</v>
      </c>
      <c r="G27" s="104" t="s">
        <v>44</v>
      </c>
      <c r="H27" s="104" t="s">
        <v>45</v>
      </c>
      <c r="I27" s="104" t="s">
        <v>16</v>
      </c>
      <c r="J27" s="104" t="s">
        <v>11</v>
      </c>
      <c r="K27" s="104" t="s">
        <v>46</v>
      </c>
      <c r="L27" s="105" t="s">
        <v>14</v>
      </c>
    </row>
    <row r="28" spans="1:12" ht="17.25" hidden="1" thickBot="1">
      <c r="A28" s="225"/>
      <c r="B28" s="106" t="s">
        <v>55</v>
      </c>
      <c r="C28" s="106" t="s">
        <v>55</v>
      </c>
      <c r="D28" s="106" t="s">
        <v>55</v>
      </c>
      <c r="E28" s="106" t="s">
        <v>55</v>
      </c>
      <c r="F28" s="106" t="s">
        <v>55</v>
      </c>
      <c r="G28" s="106" t="s">
        <v>55</v>
      </c>
      <c r="H28" s="106" t="s">
        <v>55</v>
      </c>
      <c r="I28" s="106" t="s">
        <v>55</v>
      </c>
      <c r="J28" s="106" t="s">
        <v>2</v>
      </c>
      <c r="K28" s="106" t="s">
        <v>2</v>
      </c>
      <c r="L28" s="107" t="s">
        <v>55</v>
      </c>
    </row>
    <row r="29" spans="1:12" ht="16.5" hidden="1">
      <c r="A29" s="108" t="s">
        <v>47</v>
      </c>
      <c r="B29" s="109">
        <f aca="true" t="shared" si="7" ref="B29:I29">B30+B34+B39+B44</f>
        <v>3751575498</v>
      </c>
      <c r="C29" s="109">
        <f t="shared" si="7"/>
        <v>2567969788.1600003</v>
      </c>
      <c r="D29" s="109">
        <f t="shared" si="7"/>
        <v>5357944254</v>
      </c>
      <c r="E29" s="109">
        <f t="shared" si="7"/>
        <v>6940291424</v>
      </c>
      <c r="F29" s="109">
        <f t="shared" si="7"/>
        <v>16049811176</v>
      </c>
      <c r="G29" s="109">
        <f t="shared" si="7"/>
        <v>11395371774.23</v>
      </c>
      <c r="H29" s="109">
        <f t="shared" si="7"/>
        <v>19538044.69</v>
      </c>
      <c r="I29" s="109">
        <f t="shared" si="7"/>
        <v>11375833729.54</v>
      </c>
      <c r="J29" s="110">
        <f>100*(I29-B29+C29-D29)/(E29+C29)</f>
        <v>50.84298440936281</v>
      </c>
      <c r="K29" s="110">
        <f>100*(I29/F29)</f>
        <v>70.87830258433691</v>
      </c>
      <c r="L29" s="111">
        <f>F29-I29</f>
        <v>4673977446.459999</v>
      </c>
    </row>
    <row r="30" spans="1:12" ht="16.5" hidden="1">
      <c r="A30" s="112" t="s">
        <v>48</v>
      </c>
      <c r="B30" s="113">
        <f aca="true" t="shared" si="8" ref="B30:I30">B31+B32+B33</f>
        <v>1831707084</v>
      </c>
      <c r="C30" s="113">
        <f t="shared" si="8"/>
        <v>1265804289.6</v>
      </c>
      <c r="D30" s="113">
        <f t="shared" si="8"/>
        <v>2616016786</v>
      </c>
      <c r="E30" s="113">
        <f t="shared" si="8"/>
        <v>3463552940</v>
      </c>
      <c r="F30" s="113">
        <f t="shared" si="8"/>
        <v>7911276810</v>
      </c>
      <c r="G30" s="113">
        <f t="shared" si="8"/>
        <v>5251571529.150001</v>
      </c>
      <c r="H30" s="113">
        <f t="shared" si="8"/>
        <v>0</v>
      </c>
      <c r="I30" s="113">
        <f t="shared" si="8"/>
        <v>5251571529.150001</v>
      </c>
      <c r="J30" s="114">
        <f>100*(I30-B30+C30-D30)/(E30+C30)</f>
        <v>43.76180204355269</v>
      </c>
      <c r="K30" s="114">
        <f aca="true" t="shared" si="9" ref="K30:K44">100*(I30/F30)</f>
        <v>66.38083403316033</v>
      </c>
      <c r="L30" s="115">
        <f aca="true" t="shared" si="10" ref="L30:L44">F30-I30</f>
        <v>2659705280.8499994</v>
      </c>
    </row>
    <row r="31" spans="1:12" ht="16.5" hidden="1">
      <c r="A31" s="116" t="s">
        <v>4</v>
      </c>
      <c r="B31" s="47">
        <f aca="true" t="shared" si="11" ref="B31:E33">B8*38</f>
        <v>596765794</v>
      </c>
      <c r="C31" s="47">
        <f t="shared" si="11"/>
        <v>408488782.4</v>
      </c>
      <c r="D31" s="47">
        <f t="shared" si="11"/>
        <v>852292006</v>
      </c>
      <c r="E31" s="47">
        <f t="shared" si="11"/>
        <v>1103997090</v>
      </c>
      <c r="F31" s="47">
        <f>B31+D31+E31</f>
        <v>2553054890</v>
      </c>
      <c r="G31" s="47">
        <v>2145925733.65</v>
      </c>
      <c r="H31" s="47">
        <v>0</v>
      </c>
      <c r="I31" s="47">
        <f>G31-H31</f>
        <v>2145925733.65</v>
      </c>
      <c r="J31" s="48">
        <f aca="true" t="shared" si="12" ref="J31:J44">100*(I31-B31+C31-D31)/(E31+C31)</f>
        <v>73.08211839995764</v>
      </c>
      <c r="K31" s="48">
        <f t="shared" si="9"/>
        <v>84.05325486950264</v>
      </c>
      <c r="L31" s="117">
        <f t="shared" si="10"/>
        <v>407129156.3499999</v>
      </c>
    </row>
    <row r="32" spans="1:12" ht="16.5" hidden="1">
      <c r="A32" s="116" t="s">
        <v>5</v>
      </c>
      <c r="B32" s="47">
        <f t="shared" si="11"/>
        <v>1214607946</v>
      </c>
      <c r="C32" s="47">
        <f t="shared" si="11"/>
        <v>831404450.2399999</v>
      </c>
      <c r="D32" s="47">
        <f t="shared" si="11"/>
        <v>1734685028</v>
      </c>
      <c r="E32" s="47">
        <f t="shared" si="11"/>
        <v>2246984840</v>
      </c>
      <c r="F32" s="47">
        <f>B32+D32+E32</f>
        <v>5196277814</v>
      </c>
      <c r="G32" s="47">
        <v>3039853718.95</v>
      </c>
      <c r="H32" s="47">
        <v>0</v>
      </c>
      <c r="I32" s="47">
        <f>G32-H32</f>
        <v>3039853718.95</v>
      </c>
      <c r="J32" s="48">
        <f t="shared" si="12"/>
        <v>29.94959728170444</v>
      </c>
      <c r="K32" s="48">
        <f t="shared" si="9"/>
        <v>58.50060038668287</v>
      </c>
      <c r="L32" s="117">
        <f t="shared" si="10"/>
        <v>2156424095.05</v>
      </c>
    </row>
    <row r="33" spans="1:12" ht="16.5" hidden="1">
      <c r="A33" s="116" t="s">
        <v>6</v>
      </c>
      <c r="B33" s="47">
        <f t="shared" si="11"/>
        <v>20333344</v>
      </c>
      <c r="C33" s="47">
        <f t="shared" si="11"/>
        <v>25911056.96</v>
      </c>
      <c r="D33" s="47">
        <f t="shared" si="11"/>
        <v>29039752</v>
      </c>
      <c r="E33" s="47">
        <f t="shared" si="11"/>
        <v>112571010</v>
      </c>
      <c r="F33" s="47">
        <f>B33+D33+E33</f>
        <v>161944106</v>
      </c>
      <c r="G33" s="47">
        <v>65792076.55</v>
      </c>
      <c r="H33" s="47">
        <v>0</v>
      </c>
      <c r="I33" s="47">
        <f>G33-H33</f>
        <v>65792076.55</v>
      </c>
      <c r="J33" s="48">
        <f t="shared" si="12"/>
        <v>30.567161827694882</v>
      </c>
      <c r="K33" s="48">
        <f t="shared" si="9"/>
        <v>40.626410046686104</v>
      </c>
      <c r="L33" s="117">
        <f t="shared" si="10"/>
        <v>96152029.45</v>
      </c>
    </row>
    <row r="34" spans="1:12" ht="16.5" hidden="1">
      <c r="A34" s="112" t="s">
        <v>49</v>
      </c>
      <c r="B34" s="113">
        <f aca="true" t="shared" si="13" ref="B34:I34">B35+B36+B37+B38</f>
        <v>856209122</v>
      </c>
      <c r="C34" s="113">
        <f t="shared" si="13"/>
        <v>592478866.56</v>
      </c>
      <c r="D34" s="113">
        <f t="shared" si="13"/>
        <v>1222825066</v>
      </c>
      <c r="E34" s="113">
        <f t="shared" si="13"/>
        <v>1623958728</v>
      </c>
      <c r="F34" s="113">
        <f t="shared" si="13"/>
        <v>3702992916</v>
      </c>
      <c r="G34" s="113">
        <f t="shared" si="13"/>
        <v>2942950034.27</v>
      </c>
      <c r="H34" s="113">
        <f t="shared" si="13"/>
        <v>12624913.7</v>
      </c>
      <c r="I34" s="113">
        <f t="shared" si="13"/>
        <v>2930325120.57</v>
      </c>
      <c r="J34" s="114">
        <f t="shared" si="12"/>
        <v>65.13920367862252</v>
      </c>
      <c r="K34" s="114">
        <f t="shared" si="9"/>
        <v>79.13396506670497</v>
      </c>
      <c r="L34" s="115">
        <f t="shared" si="10"/>
        <v>772667795.4299998</v>
      </c>
    </row>
    <row r="35" spans="1:12" ht="16.5" hidden="1">
      <c r="A35" s="116" t="s">
        <v>21</v>
      </c>
      <c r="B35" s="47">
        <f aca="true" t="shared" si="14" ref="B35:E38">B12*38</f>
        <v>408775348</v>
      </c>
      <c r="C35" s="47">
        <f t="shared" si="14"/>
        <v>279808500.79999995</v>
      </c>
      <c r="D35" s="47">
        <f t="shared" si="14"/>
        <v>583806844</v>
      </c>
      <c r="E35" s="47">
        <f t="shared" si="14"/>
        <v>756220938</v>
      </c>
      <c r="F35" s="47">
        <f>B35+D35+E35</f>
        <v>1748803130</v>
      </c>
      <c r="G35" s="47">
        <v>1331264465.1200001</v>
      </c>
      <c r="H35" s="47">
        <v>9268340.1</v>
      </c>
      <c r="I35" s="47">
        <f>G35-H35</f>
        <v>1321996125.0200002</v>
      </c>
      <c r="J35" s="48">
        <f t="shared" si="12"/>
        <v>58.80358327709714</v>
      </c>
      <c r="K35" s="48">
        <f t="shared" si="9"/>
        <v>75.59433662610154</v>
      </c>
      <c r="L35" s="117">
        <f t="shared" si="10"/>
        <v>426807004.9799998</v>
      </c>
    </row>
    <row r="36" spans="1:12" ht="16.5" hidden="1">
      <c r="A36" s="116" t="s">
        <v>22</v>
      </c>
      <c r="B36" s="47">
        <f t="shared" si="14"/>
        <v>202831270</v>
      </c>
      <c r="C36" s="47">
        <f t="shared" si="14"/>
        <v>138838897.6</v>
      </c>
      <c r="D36" s="47">
        <f t="shared" si="14"/>
        <v>289680612</v>
      </c>
      <c r="E36" s="47">
        <f t="shared" si="14"/>
        <v>375231228</v>
      </c>
      <c r="F36" s="47">
        <f>B36+D36+E36</f>
        <v>867743110</v>
      </c>
      <c r="G36" s="47">
        <v>737541205.3</v>
      </c>
      <c r="H36" s="47">
        <v>2026716.7</v>
      </c>
      <c r="I36" s="47">
        <f>G36-H36</f>
        <v>735514488.5999999</v>
      </c>
      <c r="J36" s="48">
        <f t="shared" si="12"/>
        <v>74.2780965445777</v>
      </c>
      <c r="K36" s="48">
        <f t="shared" si="9"/>
        <v>84.76177801054506</v>
      </c>
      <c r="L36" s="117">
        <f t="shared" si="10"/>
        <v>132228621.4000001</v>
      </c>
    </row>
    <row r="37" spans="1:12" ht="16.5" hidden="1">
      <c r="A37" s="116" t="s">
        <v>38</v>
      </c>
      <c r="B37" s="47">
        <f t="shared" si="14"/>
        <v>193794262</v>
      </c>
      <c r="C37" s="47">
        <f t="shared" si="14"/>
        <v>139053010.88</v>
      </c>
      <c r="D37" s="47">
        <f t="shared" si="14"/>
        <v>276774064</v>
      </c>
      <c r="E37" s="47">
        <f t="shared" si="14"/>
        <v>398512992</v>
      </c>
      <c r="F37" s="47">
        <f>B37+D37+E37</f>
        <v>869081318</v>
      </c>
      <c r="G37" s="47">
        <v>715860214.27</v>
      </c>
      <c r="H37" s="47">
        <v>79563.4</v>
      </c>
      <c r="I37" s="47">
        <f>G37-H37</f>
        <v>715780650.87</v>
      </c>
      <c r="J37" s="48">
        <f t="shared" si="12"/>
        <v>71.48244749320186</v>
      </c>
      <c r="K37" s="48">
        <f t="shared" si="9"/>
        <v>82.3606072349147</v>
      </c>
      <c r="L37" s="117">
        <f t="shared" si="10"/>
        <v>153300667.13</v>
      </c>
    </row>
    <row r="38" spans="1:12" ht="16.5" hidden="1">
      <c r="A38" s="116" t="s">
        <v>50</v>
      </c>
      <c r="B38" s="47">
        <f t="shared" si="14"/>
        <v>50808242</v>
      </c>
      <c r="C38" s="47">
        <f t="shared" si="14"/>
        <v>34778457.28</v>
      </c>
      <c r="D38" s="47">
        <f t="shared" si="14"/>
        <v>72563546</v>
      </c>
      <c r="E38" s="47">
        <f t="shared" si="14"/>
        <v>93993570</v>
      </c>
      <c r="F38" s="47">
        <f>B38+D38+E38</f>
        <v>217365358</v>
      </c>
      <c r="G38" s="47">
        <v>158284149.57999998</v>
      </c>
      <c r="H38" s="47">
        <v>1250293.5</v>
      </c>
      <c r="I38" s="47">
        <f>G38-H38</f>
        <v>157033856.07999998</v>
      </c>
      <c r="J38" s="48">
        <f t="shared" si="12"/>
        <v>53.14859663673999</v>
      </c>
      <c r="K38" s="48">
        <f t="shared" si="9"/>
        <v>72.24419637281852</v>
      </c>
      <c r="L38" s="117">
        <f t="shared" si="10"/>
        <v>60331501.92000002</v>
      </c>
    </row>
    <row r="39" spans="1:12" ht="16.5" hidden="1">
      <c r="A39" s="112" t="s">
        <v>51</v>
      </c>
      <c r="B39" s="113">
        <f aca="true" t="shared" si="15" ref="B39:I39">B40+B41+B42+B43</f>
        <v>845244146</v>
      </c>
      <c r="C39" s="113">
        <f t="shared" si="15"/>
        <v>578573310.72</v>
      </c>
      <c r="D39" s="113">
        <f t="shared" si="15"/>
        <v>1207165152</v>
      </c>
      <c r="E39" s="113">
        <f t="shared" si="15"/>
        <v>1563673894</v>
      </c>
      <c r="F39" s="113">
        <f t="shared" si="15"/>
        <v>3616083192</v>
      </c>
      <c r="G39" s="113">
        <f t="shared" si="15"/>
        <v>2569586398.7699995</v>
      </c>
      <c r="H39" s="113">
        <f t="shared" si="15"/>
        <v>6895497.44</v>
      </c>
      <c r="I39" s="113">
        <f t="shared" si="15"/>
        <v>2562690901.33</v>
      </c>
      <c r="J39" s="114">
        <f t="shared" si="12"/>
        <v>50.82769680599573</v>
      </c>
      <c r="K39" s="114">
        <f t="shared" si="9"/>
        <v>70.86924623303854</v>
      </c>
      <c r="L39" s="115">
        <f t="shared" si="10"/>
        <v>1053392290.6700001</v>
      </c>
    </row>
    <row r="40" spans="1:12" ht="16.5" hidden="1">
      <c r="A40" s="116" t="s">
        <v>23</v>
      </c>
      <c r="B40" s="47">
        <f aca="true" t="shared" si="16" ref="B40:E44">B17*38</f>
        <v>486604288</v>
      </c>
      <c r="C40" s="47">
        <f t="shared" si="16"/>
        <v>333082761.92</v>
      </c>
      <c r="D40" s="47">
        <f t="shared" si="16"/>
        <v>694961024</v>
      </c>
      <c r="E40" s="47">
        <f t="shared" si="16"/>
        <v>900201950</v>
      </c>
      <c r="F40" s="47">
        <f>B40+D40+E40</f>
        <v>2081767262</v>
      </c>
      <c r="G40" s="47">
        <v>1458257643.0399997</v>
      </c>
      <c r="H40" s="47">
        <v>6480063.45</v>
      </c>
      <c r="I40" s="47">
        <f>G40-H40</f>
        <v>1451777579.5899997</v>
      </c>
      <c r="J40" s="48">
        <f t="shared" si="12"/>
        <v>48.91774167627353</v>
      </c>
      <c r="K40" s="48">
        <f t="shared" si="9"/>
        <v>69.73774667756302</v>
      </c>
      <c r="L40" s="117">
        <f t="shared" si="10"/>
        <v>629989682.4100003</v>
      </c>
    </row>
    <row r="41" spans="1:12" ht="16.5" hidden="1">
      <c r="A41" s="116" t="s">
        <v>24</v>
      </c>
      <c r="B41" s="47">
        <f t="shared" si="16"/>
        <v>91284132</v>
      </c>
      <c r="C41" s="47">
        <f t="shared" si="16"/>
        <v>62484378.88</v>
      </c>
      <c r="D41" s="47">
        <f t="shared" si="16"/>
        <v>130370628</v>
      </c>
      <c r="E41" s="47">
        <f t="shared" si="16"/>
        <v>168872608</v>
      </c>
      <c r="F41" s="47">
        <f>B41+D41+E41</f>
        <v>390527368</v>
      </c>
      <c r="G41" s="47">
        <v>250674944.27999997</v>
      </c>
      <c r="H41" s="47">
        <v>0</v>
      </c>
      <c r="I41" s="47">
        <f>G41-H41</f>
        <v>250674944.27999997</v>
      </c>
      <c r="J41" s="48">
        <f t="shared" si="12"/>
        <v>39.55124260304335</v>
      </c>
      <c r="K41" s="48">
        <f t="shared" si="9"/>
        <v>64.18882895807701</v>
      </c>
      <c r="L41" s="117">
        <f t="shared" si="10"/>
        <v>139852423.72000003</v>
      </c>
    </row>
    <row r="42" spans="1:12" ht="16.5" hidden="1">
      <c r="A42" s="116" t="s">
        <v>52</v>
      </c>
      <c r="B42" s="47">
        <f t="shared" si="16"/>
        <v>30424700</v>
      </c>
      <c r="C42" s="47">
        <f t="shared" si="16"/>
        <v>20825836.159999996</v>
      </c>
      <c r="D42" s="47">
        <f t="shared" si="16"/>
        <v>43452088</v>
      </c>
      <c r="E42" s="47">
        <f t="shared" si="16"/>
        <v>56284688</v>
      </c>
      <c r="F42" s="47">
        <f>B42+D42+E42</f>
        <v>130161476</v>
      </c>
      <c r="G42" s="47">
        <v>60453961.57000001</v>
      </c>
      <c r="H42" s="47">
        <v>0</v>
      </c>
      <c r="I42" s="47">
        <f>G42-H42</f>
        <v>60453961.57000001</v>
      </c>
      <c r="J42" s="48">
        <f t="shared" si="12"/>
        <v>9.600517971631442</v>
      </c>
      <c r="K42" s="48">
        <f t="shared" si="9"/>
        <v>46.4453565123985</v>
      </c>
      <c r="L42" s="117">
        <f t="shared" si="10"/>
        <v>69707514.42999999</v>
      </c>
    </row>
    <row r="43" spans="1:12" ht="16.5" hidden="1">
      <c r="A43" s="116" t="s">
        <v>53</v>
      </c>
      <c r="B43" s="47">
        <f t="shared" si="16"/>
        <v>236931026</v>
      </c>
      <c r="C43" s="47">
        <f t="shared" si="16"/>
        <v>162180333.76</v>
      </c>
      <c r="D43" s="47">
        <f t="shared" si="16"/>
        <v>338381412</v>
      </c>
      <c r="E43" s="47">
        <f t="shared" si="16"/>
        <v>438314648</v>
      </c>
      <c r="F43" s="47">
        <f>B43+D43+E43</f>
        <v>1013627086</v>
      </c>
      <c r="G43" s="47">
        <v>800199849.8800001</v>
      </c>
      <c r="H43" s="47">
        <v>415433.99</v>
      </c>
      <c r="I43" s="47">
        <f>G43-H43</f>
        <v>799784415.8900001</v>
      </c>
      <c r="J43" s="48">
        <f t="shared" si="12"/>
        <v>64.38893302934103</v>
      </c>
      <c r="K43" s="48">
        <f t="shared" si="9"/>
        <v>78.90322061598896</v>
      </c>
      <c r="L43" s="117">
        <f t="shared" si="10"/>
        <v>213842670.1099999</v>
      </c>
    </row>
    <row r="44" spans="1:12" ht="17.25" hidden="1" thickBot="1">
      <c r="A44" s="118" t="s">
        <v>42</v>
      </c>
      <c r="B44" s="119">
        <f t="shared" si="16"/>
        <v>218415146</v>
      </c>
      <c r="C44" s="119">
        <f t="shared" si="16"/>
        <v>131113321.28</v>
      </c>
      <c r="D44" s="119">
        <f t="shared" si="16"/>
        <v>311937250</v>
      </c>
      <c r="E44" s="119">
        <f t="shared" si="16"/>
        <v>289105862</v>
      </c>
      <c r="F44" s="119">
        <f>B44+D44+E44</f>
        <v>819458258</v>
      </c>
      <c r="G44" s="119">
        <v>631263812.04</v>
      </c>
      <c r="H44" s="119">
        <v>17633.55</v>
      </c>
      <c r="I44" s="119">
        <f>G44-H44</f>
        <v>631246178.49</v>
      </c>
      <c r="J44" s="120">
        <f t="shared" si="12"/>
        <v>55.21097393961886</v>
      </c>
      <c r="K44" s="120">
        <f t="shared" si="9"/>
        <v>77.03213340367606</v>
      </c>
      <c r="L44" s="121">
        <f t="shared" si="10"/>
        <v>188212079.51</v>
      </c>
    </row>
    <row r="45" ht="17.25" hidden="1" thickTop="1"/>
    <row r="46" ht="16.5" hidden="1"/>
    <row r="47" ht="16.5">
      <c r="H47" s="88"/>
    </row>
    <row r="48" spans="2:8" ht="16.5">
      <c r="B48" s="88"/>
      <c r="C48" s="88"/>
      <c r="D48" s="88"/>
      <c r="E48" s="88"/>
      <c r="F48" s="88"/>
      <c r="G48" s="88"/>
      <c r="H48" s="88"/>
    </row>
    <row r="49" ht="16.5">
      <c r="H49" s="88"/>
    </row>
    <row r="50" ht="16.5">
      <c r="G50" s="88"/>
    </row>
  </sheetData>
  <mergeCells count="2">
    <mergeCell ref="A4:A5"/>
    <mergeCell ref="A27:A28"/>
  </mergeCells>
  <printOptions/>
  <pageMargins left="0.1968503937007874" right="0.1968503937007874" top="0.5905511811023623" bottom="0.984251968503937" header="0.5118110236220472" footer="0.5118110236220472"/>
  <pageSetup horizontalDpi="600" verticalDpi="600" orientation="landscape" paperSize="9" scale="95" r:id="rId1"/>
  <headerFooter alignWithMargins="0">
    <oddHeader>&amp;LPríloha 3d</oddHeader>
  </headerFooter>
  <ignoredErrors>
    <ignoredError sqref="F16 F11 I11:I16 B34:B39 C34:E34 C39:E39 F34:F39 I34:I3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L26"/>
  <sheetViews>
    <sheetView workbookViewId="0" topLeftCell="A1">
      <selection activeCell="O5" sqref="O5"/>
    </sheetView>
  </sheetViews>
  <sheetFormatPr defaultColWidth="9.140625" defaultRowHeight="12.75"/>
  <cols>
    <col min="1" max="1" width="19.7109375" style="61" customWidth="1"/>
    <col min="2" max="2" width="13.8515625" style="61" hidden="1" customWidth="1"/>
    <col min="3" max="3" width="13.7109375" style="61" hidden="1" customWidth="1"/>
    <col min="4" max="4" width="15.8515625" style="61" hidden="1" customWidth="1"/>
    <col min="5" max="5" width="14.7109375" style="61" hidden="1" customWidth="1"/>
    <col min="6" max="6" width="15.28125" style="61" customWidth="1"/>
    <col min="7" max="7" width="15.00390625" style="61" hidden="1" customWidth="1"/>
    <col min="8" max="8" width="21.421875" style="61" customWidth="1"/>
    <col min="9" max="9" width="15.7109375" style="61" hidden="1" customWidth="1"/>
    <col min="10" max="10" width="20.28125" style="61" hidden="1" customWidth="1"/>
    <col min="11" max="11" width="18.140625" style="61" customWidth="1"/>
    <col min="12" max="12" width="12.8515625" style="61" customWidth="1"/>
    <col min="13" max="16384" width="9.140625" style="61" customWidth="1"/>
  </cols>
  <sheetData>
    <row r="1" ht="16.5">
      <c r="A1" s="4"/>
    </row>
    <row r="2" spans="1:12" ht="19.5" customHeight="1">
      <c r="A2" s="4" t="s">
        <v>123</v>
      </c>
      <c r="B2" s="122"/>
      <c r="C2" s="4"/>
      <c r="D2" s="123"/>
      <c r="E2" s="4"/>
      <c r="F2" s="123"/>
      <c r="G2" s="123"/>
      <c r="H2" s="123"/>
      <c r="I2" s="4"/>
      <c r="J2" s="4"/>
      <c r="K2" s="4"/>
      <c r="L2" s="4"/>
    </row>
    <row r="3" spans="1:2" ht="16.5">
      <c r="A3" s="88"/>
      <c r="B3" s="88"/>
    </row>
    <row r="4" spans="1:2" ht="8.25" customHeight="1" thickBot="1">
      <c r="A4" s="88"/>
      <c r="B4" s="88"/>
    </row>
    <row r="5" spans="1:12" ht="41.25" customHeight="1">
      <c r="A5" s="218" t="s">
        <v>1</v>
      </c>
      <c r="B5" s="5" t="s">
        <v>10</v>
      </c>
      <c r="C5" s="5" t="s">
        <v>3</v>
      </c>
      <c r="D5" s="5" t="s">
        <v>9</v>
      </c>
      <c r="E5" s="5" t="s">
        <v>8</v>
      </c>
      <c r="F5" s="5" t="s">
        <v>7</v>
      </c>
      <c r="G5" s="5" t="s">
        <v>15</v>
      </c>
      <c r="H5" s="5" t="s">
        <v>127</v>
      </c>
      <c r="I5" s="5" t="s">
        <v>12</v>
      </c>
      <c r="J5" s="5" t="s">
        <v>11</v>
      </c>
      <c r="K5" s="5" t="s">
        <v>13</v>
      </c>
      <c r="L5" s="6" t="s">
        <v>34</v>
      </c>
    </row>
    <row r="6" spans="1:12" ht="13.5" customHeight="1" thickBot="1">
      <c r="A6" s="219"/>
      <c r="B6" s="7" t="s">
        <v>0</v>
      </c>
      <c r="C6" s="7" t="s">
        <v>0</v>
      </c>
      <c r="D6" s="7" t="s">
        <v>0</v>
      </c>
      <c r="E6" s="7" t="s">
        <v>0</v>
      </c>
      <c r="F6" s="7" t="s">
        <v>0</v>
      </c>
      <c r="G6" s="7" t="s">
        <v>0</v>
      </c>
      <c r="H6" s="7" t="s">
        <v>0</v>
      </c>
      <c r="I6" s="7" t="s">
        <v>2</v>
      </c>
      <c r="J6" s="7" t="s">
        <v>2</v>
      </c>
      <c r="K6" s="7" t="s">
        <v>2</v>
      </c>
      <c r="L6" s="8" t="s">
        <v>0</v>
      </c>
    </row>
    <row r="7" spans="1:12" ht="13.5" customHeight="1" thickTop="1">
      <c r="A7" s="9" t="s">
        <v>4</v>
      </c>
      <c r="B7" s="10">
        <v>2186080</v>
      </c>
      <c r="C7" s="10">
        <v>1070444.67</v>
      </c>
      <c r="D7" s="10">
        <v>2229802</v>
      </c>
      <c r="E7" s="10">
        <f>0</f>
        <v>0</v>
      </c>
      <c r="F7" s="10">
        <f>B7+D7+E7</f>
        <v>4415882</v>
      </c>
      <c r="G7" s="10">
        <v>0</v>
      </c>
      <c r="H7" s="10">
        <f>1582711.92802655+118.155</f>
        <v>1582830.08302655</v>
      </c>
      <c r="I7" s="11">
        <f>100*(H7-B7+C7)/D7</f>
        <v>20.952297693990317</v>
      </c>
      <c r="J7" s="11">
        <v>0</v>
      </c>
      <c r="K7" s="11">
        <f aca="true" t="shared" si="0" ref="K7:K14">100*(H7/F7)</f>
        <v>35.84403032115781</v>
      </c>
      <c r="L7" s="124">
        <f aca="true" t="shared" si="1" ref="L7:L14">F7-H7</f>
        <v>2833051.91697345</v>
      </c>
    </row>
    <row r="8" spans="1:12" ht="13.5" customHeight="1">
      <c r="A8" s="13" t="s">
        <v>5</v>
      </c>
      <c r="B8" s="14">
        <v>876381.55</v>
      </c>
      <c r="C8" s="14">
        <v>495484.63</v>
      </c>
      <c r="D8" s="14">
        <v>1084756</v>
      </c>
      <c r="E8" s="14">
        <v>1159083</v>
      </c>
      <c r="F8" s="14">
        <f>B8+D8+E8</f>
        <v>3120220.55</v>
      </c>
      <c r="G8" s="14">
        <v>0</v>
      </c>
      <c r="H8" s="14">
        <v>3033939.1875494756</v>
      </c>
      <c r="I8" s="15">
        <v>100</v>
      </c>
      <c r="J8" s="15">
        <f>100*(H8-B8+C8-D8)/(E8+C8)</f>
        <v>94.7852622711757</v>
      </c>
      <c r="K8" s="15">
        <f t="shared" si="0"/>
        <v>97.2347671881552</v>
      </c>
      <c r="L8" s="125">
        <f t="shared" si="1"/>
        <v>86281.36245052423</v>
      </c>
    </row>
    <row r="9" spans="1:12" ht="13.5" customHeight="1">
      <c r="A9" s="13" t="s">
        <v>6</v>
      </c>
      <c r="B9" s="14">
        <v>1578835</v>
      </c>
      <c r="C9" s="14">
        <v>773098.66</v>
      </c>
      <c r="D9" s="14">
        <v>1610412</v>
      </c>
      <c r="E9" s="14">
        <v>0</v>
      </c>
      <c r="F9" s="14">
        <f>B9+D9+E9</f>
        <v>3189247</v>
      </c>
      <c r="G9" s="14">
        <v>36724.12</v>
      </c>
      <c r="H9" s="14">
        <f>1489357.94600037+7291.67</f>
        <v>1496649.61600037</v>
      </c>
      <c r="I9" s="15">
        <f>100*(H9-B9+C9)/D9</f>
        <v>42.90288919856347</v>
      </c>
      <c r="J9" s="15">
        <v>0</v>
      </c>
      <c r="K9" s="15">
        <f t="shared" si="0"/>
        <v>46.927993222236154</v>
      </c>
      <c r="L9" s="125">
        <f t="shared" si="1"/>
        <v>1692597.38399963</v>
      </c>
    </row>
    <row r="10" spans="1:12" ht="13.5" customHeight="1">
      <c r="A10" s="13" t="s">
        <v>40</v>
      </c>
      <c r="B10" s="14">
        <v>1821733</v>
      </c>
      <c r="C10" s="14">
        <v>892037.06</v>
      </c>
      <c r="D10" s="14">
        <v>1858168</v>
      </c>
      <c r="E10" s="14">
        <v>3537951</v>
      </c>
      <c r="F10" s="14">
        <f>B10+D10+E10</f>
        <v>7217852</v>
      </c>
      <c r="G10" s="14">
        <v>18703.89</v>
      </c>
      <c r="H10" s="14">
        <f>3840598.62635709+34595.317-20490.39</f>
        <v>3854703.55335709</v>
      </c>
      <c r="I10" s="15">
        <v>100</v>
      </c>
      <c r="J10" s="15">
        <f>100*(H10-B10+C10-D10)/(E10+C10)</f>
        <v>24.08222322290164</v>
      </c>
      <c r="K10" s="15">
        <f t="shared" si="0"/>
        <v>53.40513428866497</v>
      </c>
      <c r="L10" s="125">
        <f t="shared" si="1"/>
        <v>3363148.44664291</v>
      </c>
    </row>
    <row r="11" spans="1:12" ht="13.5" customHeight="1">
      <c r="A11" s="13" t="s">
        <v>41</v>
      </c>
      <c r="B11" s="14">
        <v>5060558</v>
      </c>
      <c r="C11" s="14">
        <v>2477973.05</v>
      </c>
      <c r="D11" s="14">
        <v>5109138</v>
      </c>
      <c r="E11" s="14">
        <v>7433086</v>
      </c>
      <c r="F11" s="14">
        <f>B11+D11+E11</f>
        <v>17602782</v>
      </c>
      <c r="G11" s="14">
        <f>4560.66+911.55+21660.36</f>
        <v>27132.57</v>
      </c>
      <c r="H11" s="14">
        <f>14816993.296398+135738.15</f>
        <v>14952731.446398001</v>
      </c>
      <c r="I11" s="15">
        <v>100</v>
      </c>
      <c r="J11" s="15">
        <f>100*(H11-B11+C11-D11)/(E11+C11)</f>
        <v>73.26168131747738</v>
      </c>
      <c r="K11" s="15">
        <f t="shared" si="0"/>
        <v>84.94527425493312</v>
      </c>
      <c r="L11" s="125">
        <f t="shared" si="1"/>
        <v>2650050.553601999</v>
      </c>
    </row>
    <row r="12" spans="1:12" ht="15.75" customHeight="1">
      <c r="A12" s="67" t="s">
        <v>19</v>
      </c>
      <c r="B12" s="69">
        <f aca="true" t="shared" si="2" ref="B12:H12">B7+B8+B9+B10+B11</f>
        <v>11523587.55</v>
      </c>
      <c r="C12" s="69">
        <f t="shared" si="2"/>
        <v>5709038.07</v>
      </c>
      <c r="D12" s="69">
        <f t="shared" si="2"/>
        <v>11892276</v>
      </c>
      <c r="E12" s="69">
        <f t="shared" si="2"/>
        <v>12130120</v>
      </c>
      <c r="F12" s="69">
        <f t="shared" si="2"/>
        <v>35545983.55</v>
      </c>
      <c r="G12" s="69">
        <f t="shared" si="2"/>
        <v>82560.58</v>
      </c>
      <c r="H12" s="69">
        <f t="shared" si="2"/>
        <v>24920853.886331487</v>
      </c>
      <c r="I12" s="126">
        <v>100</v>
      </c>
      <c r="J12" s="126">
        <f>100*(H12-B12+C12-D12)/(E12+C12)</f>
        <v>40.43928742614413</v>
      </c>
      <c r="K12" s="126">
        <f t="shared" si="0"/>
        <v>70.10877572504668</v>
      </c>
      <c r="L12" s="127">
        <f t="shared" si="1"/>
        <v>10625129.66366851</v>
      </c>
    </row>
    <row r="13" spans="1:12" ht="15.75" customHeight="1" thickBot="1">
      <c r="A13" s="21" t="s">
        <v>42</v>
      </c>
      <c r="B13" s="22">
        <v>485796</v>
      </c>
      <c r="C13" s="22">
        <v>237876.81</v>
      </c>
      <c r="D13" s="22">
        <v>495511</v>
      </c>
      <c r="E13" s="22">
        <v>505422</v>
      </c>
      <c r="F13" s="22">
        <f>B13+D13+E13</f>
        <v>1486729</v>
      </c>
      <c r="G13" s="22">
        <v>12325.47</v>
      </c>
      <c r="H13" s="22">
        <v>1009706.514223587</v>
      </c>
      <c r="I13" s="23">
        <v>100</v>
      </c>
      <c r="J13" s="23">
        <f>100*(H13-B13+C13-D13)/(E13+C13)</f>
        <v>35.82359081451873</v>
      </c>
      <c r="K13" s="23">
        <f t="shared" si="0"/>
        <v>67.91463099351577</v>
      </c>
      <c r="L13" s="24">
        <f t="shared" si="1"/>
        <v>477022.485776413</v>
      </c>
    </row>
    <row r="14" spans="1:12" ht="15.75" customHeight="1" thickBot="1">
      <c r="A14" s="25" t="s">
        <v>18</v>
      </c>
      <c r="B14" s="26">
        <f aca="true" t="shared" si="3" ref="B14:G14">B12+B13</f>
        <v>12009383.55</v>
      </c>
      <c r="C14" s="26">
        <f t="shared" si="3"/>
        <v>5946914.88</v>
      </c>
      <c r="D14" s="26">
        <f t="shared" si="3"/>
        <v>12387787</v>
      </c>
      <c r="E14" s="26">
        <f t="shared" si="3"/>
        <v>12635542</v>
      </c>
      <c r="F14" s="26">
        <f t="shared" si="3"/>
        <v>37032712.55</v>
      </c>
      <c r="G14" s="26">
        <f t="shared" si="3"/>
        <v>94886.05</v>
      </c>
      <c r="H14" s="26">
        <f>H7+H8+H9+H10+H11+H13</f>
        <v>25930560.400555074</v>
      </c>
      <c r="I14" s="27">
        <v>100</v>
      </c>
      <c r="J14" s="27">
        <f>100*(H14-B14+C14-D14)/(E14+C14)</f>
        <v>40.254659428840135</v>
      </c>
      <c r="K14" s="27">
        <f t="shared" si="0"/>
        <v>70.02068877764418</v>
      </c>
      <c r="L14" s="128">
        <f t="shared" si="1"/>
        <v>11102152.149444923</v>
      </c>
    </row>
    <row r="15" ht="20.25" customHeight="1"/>
    <row r="16" ht="9.75" customHeight="1"/>
    <row r="17" ht="13.5" customHeight="1" hidden="1" thickBot="1">
      <c r="A17" s="88"/>
    </row>
    <row r="18" spans="1:10" ht="13.5" customHeight="1">
      <c r="A18" s="88"/>
      <c r="J18" s="88"/>
    </row>
    <row r="19" spans="1:10" ht="15" customHeight="1">
      <c r="A19" s="88"/>
      <c r="J19" s="88"/>
    </row>
    <row r="20" spans="1:10" ht="16.5" customHeight="1">
      <c r="A20" s="88"/>
      <c r="J20" s="88"/>
    </row>
    <row r="21" spans="1:10" ht="13.5" customHeight="1">
      <c r="A21" s="88"/>
      <c r="J21" s="88"/>
    </row>
    <row r="22" spans="1:11" ht="16.5">
      <c r="A22" s="88"/>
      <c r="H22" s="86"/>
      <c r="I22" s="86"/>
      <c r="J22" s="88"/>
      <c r="K22" s="88"/>
    </row>
    <row r="23" spans="1:10" ht="16.5">
      <c r="A23" s="88"/>
      <c r="H23" s="86"/>
      <c r="I23" s="86"/>
      <c r="J23" s="88"/>
    </row>
    <row r="24" spans="1:10" ht="16.5">
      <c r="A24" s="88"/>
      <c r="J24" s="88"/>
    </row>
    <row r="25" ht="16.5">
      <c r="A25" s="88"/>
    </row>
    <row r="26" ht="16.5">
      <c r="A26" s="88"/>
    </row>
    <row r="35" ht="48" customHeight="1"/>
  </sheetData>
  <mergeCells count="1">
    <mergeCell ref="A5:A6"/>
  </mergeCells>
  <printOptions/>
  <pageMargins left="0.1968503937007874" right="0.1968503937007874" top="0.5905511811023623" bottom="0.984251968503937" header="0.5118110236220472" footer="0.5118110236220472"/>
  <pageSetup horizontalDpi="600" verticalDpi="600" orientation="landscape" paperSize="9" r:id="rId1"/>
  <headerFooter alignWithMargins="0">
    <oddHeader>&amp;LPríloha 3e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G32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C2" sqref="AC2"/>
    </sheetView>
  </sheetViews>
  <sheetFormatPr defaultColWidth="9.140625" defaultRowHeight="12.75"/>
  <cols>
    <col min="1" max="1" width="29.57421875" style="136" customWidth="1"/>
    <col min="2" max="3" width="18.7109375" style="136" hidden="1" customWidth="1"/>
    <col min="4" max="6" width="18.7109375" style="61" customWidth="1"/>
    <col min="7" max="7" width="17.7109375" style="61" hidden="1" customWidth="1"/>
    <col min="8" max="8" width="19.7109375" style="61" hidden="1" customWidth="1"/>
    <col min="9" max="10" width="17.7109375" style="136" hidden="1" customWidth="1"/>
    <col min="11" max="11" width="17.57421875" style="61" hidden="1" customWidth="1"/>
    <col min="12" max="12" width="17.7109375" style="61" hidden="1" customWidth="1"/>
    <col min="13" max="18" width="26.28125" style="61" hidden="1" customWidth="1"/>
    <col min="19" max="21" width="17.7109375" style="61" hidden="1" customWidth="1"/>
    <col min="22" max="22" width="18.7109375" style="61" customWidth="1"/>
    <col min="23" max="23" width="17.7109375" style="86" hidden="1" customWidth="1"/>
    <col min="24" max="25" width="17.8515625" style="86" hidden="1" customWidth="1"/>
    <col min="26" max="16384" width="9.140625" style="61" customWidth="1"/>
  </cols>
  <sheetData>
    <row r="1" spans="1:25" s="132" customFormat="1" ht="17.25" thickBot="1">
      <c r="A1" s="60" t="s">
        <v>88</v>
      </c>
      <c r="B1" s="60"/>
      <c r="C1" s="60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30"/>
      <c r="W1" s="131"/>
      <c r="X1" s="131"/>
      <c r="Y1" s="131"/>
    </row>
    <row r="2" spans="1:26" ht="115.5">
      <c r="A2" s="222" t="s">
        <v>89</v>
      </c>
      <c r="B2" s="29" t="s">
        <v>65</v>
      </c>
      <c r="C2" s="29" t="s">
        <v>90</v>
      </c>
      <c r="D2" s="29" t="s">
        <v>91</v>
      </c>
      <c r="E2" s="29" t="s">
        <v>92</v>
      </c>
      <c r="F2" s="29" t="s">
        <v>93</v>
      </c>
      <c r="G2" s="29" t="s">
        <v>94</v>
      </c>
      <c r="H2" s="29" t="s">
        <v>95</v>
      </c>
      <c r="I2" s="29" t="s">
        <v>96</v>
      </c>
      <c r="J2" s="29" t="s">
        <v>97</v>
      </c>
      <c r="K2" s="29" t="s">
        <v>98</v>
      </c>
      <c r="L2" s="29" t="s">
        <v>99</v>
      </c>
      <c r="M2" s="29"/>
      <c r="N2" s="29"/>
      <c r="O2" s="29"/>
      <c r="P2" s="29"/>
      <c r="Q2" s="29"/>
      <c r="R2" s="29"/>
      <c r="S2" s="29" t="s">
        <v>100</v>
      </c>
      <c r="T2" s="29" t="s">
        <v>101</v>
      </c>
      <c r="U2" s="29" t="s">
        <v>102</v>
      </c>
      <c r="V2" s="29" t="s">
        <v>103</v>
      </c>
      <c r="W2" s="133" t="s">
        <v>104</v>
      </c>
      <c r="X2" s="226" t="s">
        <v>105</v>
      </c>
      <c r="Y2" s="227"/>
      <c r="Z2" s="87"/>
    </row>
    <row r="3" spans="1:33" ht="16.5">
      <c r="A3" s="223"/>
      <c r="B3" s="29" t="s">
        <v>0</v>
      </c>
      <c r="C3" s="29" t="s">
        <v>0</v>
      </c>
      <c r="D3" s="29" t="s">
        <v>0</v>
      </c>
      <c r="E3" s="29" t="s">
        <v>0</v>
      </c>
      <c r="F3" s="29" t="s">
        <v>2</v>
      </c>
      <c r="G3" s="29" t="s">
        <v>106</v>
      </c>
      <c r="H3" s="29" t="s">
        <v>106</v>
      </c>
      <c r="I3" s="29" t="s">
        <v>106</v>
      </c>
      <c r="J3" s="29" t="s">
        <v>106</v>
      </c>
      <c r="K3" s="29" t="s">
        <v>106</v>
      </c>
      <c r="L3" s="29" t="s">
        <v>106</v>
      </c>
      <c r="M3" s="29"/>
      <c r="N3" s="29"/>
      <c r="O3" s="29"/>
      <c r="P3" s="29"/>
      <c r="Q3" s="29"/>
      <c r="R3" s="29"/>
      <c r="S3" s="29" t="s">
        <v>106</v>
      </c>
      <c r="T3" s="29" t="s">
        <v>106</v>
      </c>
      <c r="U3" s="29" t="s">
        <v>106</v>
      </c>
      <c r="V3" s="29" t="s">
        <v>0</v>
      </c>
      <c r="W3" s="134" t="s">
        <v>106</v>
      </c>
      <c r="X3" s="135" t="s">
        <v>106</v>
      </c>
      <c r="Y3" s="135" t="s">
        <v>107</v>
      </c>
      <c r="Z3" s="136"/>
      <c r="AA3" s="136"/>
      <c r="AB3" s="136"/>
      <c r="AC3" s="136"/>
      <c r="AD3" s="136"/>
      <c r="AE3" s="136"/>
      <c r="AF3" s="136"/>
      <c r="AG3" s="136"/>
    </row>
    <row r="4" spans="1:25" ht="17.25" hidden="1" thickBot="1">
      <c r="A4" s="30"/>
      <c r="B4" s="31" t="s">
        <v>108</v>
      </c>
      <c r="C4" s="31" t="s">
        <v>109</v>
      </c>
      <c r="D4" s="31">
        <v>1</v>
      </c>
      <c r="E4" s="31">
        <v>2</v>
      </c>
      <c r="F4" s="31" t="s">
        <v>110</v>
      </c>
      <c r="G4" s="31">
        <v>4</v>
      </c>
      <c r="H4" s="31">
        <v>5</v>
      </c>
      <c r="I4" s="31" t="s">
        <v>111</v>
      </c>
      <c r="J4" s="31">
        <v>7</v>
      </c>
      <c r="K4" s="31">
        <v>9</v>
      </c>
      <c r="L4" s="31" t="s">
        <v>112</v>
      </c>
      <c r="M4" s="31"/>
      <c r="N4" s="31"/>
      <c r="O4" s="31"/>
      <c r="P4" s="31"/>
      <c r="Q4" s="31"/>
      <c r="R4" s="31"/>
      <c r="S4" s="31" t="s">
        <v>113</v>
      </c>
      <c r="T4" s="31">
        <v>12</v>
      </c>
      <c r="U4" s="31" t="s">
        <v>114</v>
      </c>
      <c r="V4" s="31"/>
      <c r="W4" s="31" t="s">
        <v>115</v>
      </c>
      <c r="X4" s="137"/>
      <c r="Y4" s="138"/>
    </row>
    <row r="5" spans="1:25" s="86" customFormat="1" ht="16.5">
      <c r="A5" s="32" t="s">
        <v>48</v>
      </c>
      <c r="B5" s="33">
        <f>B6+B7</f>
        <v>4798526.9210593095</v>
      </c>
      <c r="C5" s="33">
        <f>C6+C7</f>
        <v>2792.25</v>
      </c>
      <c r="D5" s="33">
        <f>D6+D7</f>
        <v>4795734.6710593095</v>
      </c>
      <c r="E5" s="33">
        <f>E6+E7</f>
        <v>9817831</v>
      </c>
      <c r="F5" s="33">
        <f aca="true" t="shared" si="0" ref="F5:F12">100*D5/E5</f>
        <v>48.84719110625666</v>
      </c>
      <c r="G5" s="34">
        <f>G6+G7</f>
        <v>7085255</v>
      </c>
      <c r="H5" s="33">
        <f>H6+H7</f>
        <v>1685744.6315789474</v>
      </c>
      <c r="I5" s="34">
        <f>G5-H5</f>
        <v>5399510.368421053</v>
      </c>
      <c r="J5" s="34">
        <v>0</v>
      </c>
      <c r="K5" s="34">
        <f>K6+K7</f>
        <v>2258382</v>
      </c>
      <c r="L5" s="34">
        <f aca="true" t="shared" si="1" ref="L5:L10">K5-D5-H5+G5</f>
        <v>2862157.697361743</v>
      </c>
      <c r="M5" s="34"/>
      <c r="N5" s="34"/>
      <c r="O5" s="34"/>
      <c r="P5" s="34"/>
      <c r="Q5" s="34"/>
      <c r="R5" s="34"/>
      <c r="S5" s="33">
        <v>0</v>
      </c>
      <c r="T5" s="34">
        <f>T6+T7</f>
        <v>1192267</v>
      </c>
      <c r="U5" s="34">
        <f aca="true" t="shared" si="2" ref="U5:U11">T5+H5</f>
        <v>2878011.6315789474</v>
      </c>
      <c r="V5" s="33">
        <f aca="true" t="shared" si="3" ref="V5:V11">E5-D5</f>
        <v>5022096.3289406905</v>
      </c>
      <c r="W5" s="39">
        <v>0</v>
      </c>
      <c r="X5" s="139" t="e">
        <v>#REF!</v>
      </c>
      <c r="Y5" s="140" t="e">
        <v>#REF!</v>
      </c>
    </row>
    <row r="6" spans="1:25" s="86" customFormat="1" ht="16.5">
      <c r="A6" s="35" t="s">
        <v>4</v>
      </c>
      <c r="B6" s="36">
        <v>4280027.637970408</v>
      </c>
      <c r="C6" s="36">
        <v>2792.25</v>
      </c>
      <c r="D6" s="36">
        <f>B6-C6</f>
        <v>4277235.387970408</v>
      </c>
      <c r="E6" s="36">
        <v>8907751</v>
      </c>
      <c r="F6" s="36">
        <f t="shared" si="0"/>
        <v>48.01700662681757</v>
      </c>
      <c r="G6" s="37">
        <v>6479168</v>
      </c>
      <c r="H6" s="36">
        <v>1013776.4736842106</v>
      </c>
      <c r="I6" s="37">
        <f aca="true" t="shared" si="4" ref="I6:I11">G6-H6</f>
        <v>5465391.52631579</v>
      </c>
      <c r="J6" s="37">
        <v>0</v>
      </c>
      <c r="K6" s="37">
        <v>1953291</v>
      </c>
      <c r="L6" s="37">
        <f t="shared" si="1"/>
        <v>3141447.1383453812</v>
      </c>
      <c r="M6" s="37"/>
      <c r="N6" s="37"/>
      <c r="O6" s="37"/>
      <c r="P6" s="37"/>
      <c r="Q6" s="37"/>
      <c r="R6" s="37"/>
      <c r="S6" s="36">
        <v>0</v>
      </c>
      <c r="T6" s="37">
        <v>1100681</v>
      </c>
      <c r="U6" s="37">
        <f t="shared" si="2"/>
        <v>2114457.4736842103</v>
      </c>
      <c r="V6" s="36">
        <f t="shared" si="3"/>
        <v>4630515.612029592</v>
      </c>
      <c r="W6" s="36">
        <v>0</v>
      </c>
      <c r="X6" s="141" t="e">
        <v>#REF!</v>
      </c>
      <c r="Y6" s="142" t="e">
        <v>#REF!</v>
      </c>
    </row>
    <row r="7" spans="1:25" s="86" customFormat="1" ht="16.5">
      <c r="A7" s="35" t="s">
        <v>5</v>
      </c>
      <c r="B7" s="36">
        <v>518499.2830889013</v>
      </c>
      <c r="C7" s="36">
        <v>0</v>
      </c>
      <c r="D7" s="36">
        <f>B7-C7</f>
        <v>518499.2830889013</v>
      </c>
      <c r="E7" s="36">
        <v>910080</v>
      </c>
      <c r="F7" s="36">
        <f t="shared" si="0"/>
        <v>56.97293458694855</v>
      </c>
      <c r="G7" s="37">
        <v>606087</v>
      </c>
      <c r="H7" s="36">
        <v>671968.1578947369</v>
      </c>
      <c r="I7" s="37">
        <f t="shared" si="4"/>
        <v>-65881.15789473685</v>
      </c>
      <c r="J7" s="37">
        <v>0</v>
      </c>
      <c r="K7" s="37">
        <v>305091</v>
      </c>
      <c r="L7" s="37">
        <v>0</v>
      </c>
      <c r="M7" s="37"/>
      <c r="N7" s="37"/>
      <c r="O7" s="37"/>
      <c r="P7" s="37"/>
      <c r="Q7" s="37"/>
      <c r="R7" s="37"/>
      <c r="S7" s="36">
        <v>100</v>
      </c>
      <c r="T7" s="37">
        <v>91586</v>
      </c>
      <c r="U7" s="37">
        <f>T7+H7</f>
        <v>763554.1578947369</v>
      </c>
      <c r="V7" s="36">
        <f t="shared" si="3"/>
        <v>391580.7169110987</v>
      </c>
      <c r="W7" s="36">
        <f>100*(D7-G7+H7-K7)/U7</f>
        <v>36.57755485919846</v>
      </c>
      <c r="X7" s="141" t="e">
        <v>#REF!</v>
      </c>
      <c r="Y7" s="142" t="e">
        <v>#REF!</v>
      </c>
    </row>
    <row r="8" spans="1:25" s="86" customFormat="1" ht="16.5">
      <c r="A8" s="32" t="s">
        <v>49</v>
      </c>
      <c r="B8" s="33">
        <f>B9+B10</f>
        <v>10932088.313873347</v>
      </c>
      <c r="C8" s="33">
        <f>C9+C10</f>
        <v>2479.31</v>
      </c>
      <c r="D8" s="33">
        <f>D9+D10</f>
        <v>10929609.003873348</v>
      </c>
      <c r="E8" s="33">
        <f>E9+E10</f>
        <v>25727976</v>
      </c>
      <c r="F8" s="33">
        <f t="shared" si="0"/>
        <v>42.48141790816871</v>
      </c>
      <c r="G8" s="34">
        <f>G9+G10</f>
        <v>5830655</v>
      </c>
      <c r="H8" s="33">
        <f>H9+H10</f>
        <v>5253043.842105263</v>
      </c>
      <c r="I8" s="34">
        <f t="shared" si="4"/>
        <v>577611.1578947371</v>
      </c>
      <c r="J8" s="34">
        <v>0</v>
      </c>
      <c r="K8" s="34">
        <f>K9+K10</f>
        <v>12195538</v>
      </c>
      <c r="L8" s="34">
        <f t="shared" si="1"/>
        <v>1843540.1540213889</v>
      </c>
      <c r="M8" s="34"/>
      <c r="N8" s="34"/>
      <c r="O8" s="34"/>
      <c r="P8" s="34"/>
      <c r="Q8" s="34"/>
      <c r="R8" s="34"/>
      <c r="S8" s="33">
        <f>100*(D8-G8+H8)/K8</f>
        <v>84.88348645200081</v>
      </c>
      <c r="T8" s="34">
        <f>T9+T10</f>
        <v>13550731</v>
      </c>
      <c r="U8" s="34">
        <f t="shared" si="2"/>
        <v>18803774.842105262</v>
      </c>
      <c r="V8" s="33">
        <f t="shared" si="3"/>
        <v>14798366.996126652</v>
      </c>
      <c r="W8" s="39">
        <v>0</v>
      </c>
      <c r="X8" s="141" t="e">
        <v>#REF!</v>
      </c>
      <c r="Y8" s="142" t="e">
        <v>#REF!</v>
      </c>
    </row>
    <row r="9" spans="1:25" s="86" customFormat="1" ht="16.5">
      <c r="A9" s="35" t="s">
        <v>21</v>
      </c>
      <c r="B9" s="36">
        <v>8952664.242297618</v>
      </c>
      <c r="C9" s="36">
        <v>1962.2</v>
      </c>
      <c r="D9" s="36">
        <f>B9-C9</f>
        <v>8950702.042297618</v>
      </c>
      <c r="E9" s="36">
        <v>21429176</v>
      </c>
      <c r="F9" s="36">
        <f t="shared" si="0"/>
        <v>41.76876442798182</v>
      </c>
      <c r="G9" s="37">
        <v>4820818</v>
      </c>
      <c r="H9" s="36">
        <v>4385695.2105263155</v>
      </c>
      <c r="I9" s="37">
        <f t="shared" si="4"/>
        <v>435122.7894736845</v>
      </c>
      <c r="J9" s="37">
        <v>0</v>
      </c>
      <c r="K9" s="37">
        <v>10388798</v>
      </c>
      <c r="L9" s="37">
        <f t="shared" si="1"/>
        <v>1873218.747176066</v>
      </c>
      <c r="M9" s="37"/>
      <c r="N9" s="37"/>
      <c r="O9" s="37"/>
      <c r="P9" s="37"/>
      <c r="Q9" s="37"/>
      <c r="R9" s="37"/>
      <c r="S9" s="36">
        <f>100*(D9-G9+H9)/K9</f>
        <v>81.96885965848922</v>
      </c>
      <c r="T9" s="37">
        <v>11707856</v>
      </c>
      <c r="U9" s="37">
        <f t="shared" si="2"/>
        <v>16093551.210526315</v>
      </c>
      <c r="V9" s="36">
        <f t="shared" si="3"/>
        <v>12478473.957702382</v>
      </c>
      <c r="W9" s="36">
        <v>0</v>
      </c>
      <c r="X9" s="141" t="e">
        <v>#REF!</v>
      </c>
      <c r="Y9" s="142" t="e">
        <v>#REF!</v>
      </c>
    </row>
    <row r="10" spans="1:25" s="86" customFormat="1" ht="16.5">
      <c r="A10" s="35" t="s">
        <v>22</v>
      </c>
      <c r="B10" s="36">
        <v>1979424.0715757294</v>
      </c>
      <c r="C10" s="36">
        <v>517.11</v>
      </c>
      <c r="D10" s="36">
        <f>B10-C10</f>
        <v>1978906.9615757293</v>
      </c>
      <c r="E10" s="36">
        <v>4298800</v>
      </c>
      <c r="F10" s="36">
        <f t="shared" si="0"/>
        <v>46.033938810266335</v>
      </c>
      <c r="G10" s="37">
        <v>1009837</v>
      </c>
      <c r="H10" s="36">
        <v>867348.6315789474</v>
      </c>
      <c r="I10" s="37">
        <f t="shared" si="4"/>
        <v>142488.36842105258</v>
      </c>
      <c r="J10" s="37">
        <v>0</v>
      </c>
      <c r="K10" s="37">
        <v>1806740</v>
      </c>
      <c r="L10" s="37">
        <f t="shared" si="1"/>
        <v>-29678.593154676724</v>
      </c>
      <c r="M10" s="37"/>
      <c r="N10" s="37"/>
      <c r="O10" s="37"/>
      <c r="P10" s="37"/>
      <c r="Q10" s="37"/>
      <c r="R10" s="37"/>
      <c r="S10" s="36">
        <f>100*(D10-G10+H10)/K10</f>
        <v>101.64265988214557</v>
      </c>
      <c r="T10" s="37">
        <v>1842875</v>
      </c>
      <c r="U10" s="37">
        <f t="shared" si="2"/>
        <v>2710223.6315789474</v>
      </c>
      <c r="V10" s="36">
        <f t="shared" si="3"/>
        <v>2319893.0384242707</v>
      </c>
      <c r="W10" s="36">
        <v>0</v>
      </c>
      <c r="X10" s="141" t="e">
        <v>#REF!</v>
      </c>
      <c r="Y10" s="142" t="e">
        <v>#REF!</v>
      </c>
    </row>
    <row r="11" spans="1:25" s="86" customFormat="1" ht="17.25" thickBot="1">
      <c r="A11" s="32" t="s">
        <v>78</v>
      </c>
      <c r="B11" s="33">
        <v>1059492.7290916657</v>
      </c>
      <c r="C11" s="33">
        <v>0</v>
      </c>
      <c r="D11" s="33">
        <f>B11-C11</f>
        <v>1059492.7290916657</v>
      </c>
      <c r="E11" s="33">
        <v>1572326</v>
      </c>
      <c r="F11" s="33">
        <f t="shared" si="0"/>
        <v>67.3837823130614</v>
      </c>
      <c r="G11" s="34">
        <v>513765</v>
      </c>
      <c r="H11" s="33">
        <v>251572.15789473685</v>
      </c>
      <c r="I11" s="34">
        <f t="shared" si="4"/>
        <v>262192.84210526315</v>
      </c>
      <c r="J11" s="34">
        <v>0</v>
      </c>
      <c r="K11" s="34">
        <v>524040</v>
      </c>
      <c r="L11" s="34">
        <v>0</v>
      </c>
      <c r="M11" s="34"/>
      <c r="N11" s="34"/>
      <c r="O11" s="34"/>
      <c r="P11" s="34"/>
      <c r="Q11" s="34"/>
      <c r="R11" s="34"/>
      <c r="S11" s="33">
        <v>100</v>
      </c>
      <c r="T11" s="34">
        <v>534521</v>
      </c>
      <c r="U11" s="34">
        <f t="shared" si="2"/>
        <v>786093.1578947369</v>
      </c>
      <c r="V11" s="33">
        <f t="shared" si="3"/>
        <v>512833.2709083343</v>
      </c>
      <c r="W11" s="39">
        <f>100*(D11-G11+H11-K11)/U11</f>
        <v>34.76176891276211</v>
      </c>
      <c r="X11" s="143"/>
      <c r="Y11" s="144"/>
    </row>
    <row r="12" spans="1:25" s="148" customFormat="1" ht="17.25" thickBot="1">
      <c r="A12" s="38" t="s">
        <v>116</v>
      </c>
      <c r="B12" s="39">
        <f>B5+B8+B11</f>
        <v>16790107.964024324</v>
      </c>
      <c r="C12" s="39">
        <f>C5+C8+C11</f>
        <v>5271.5599999999995</v>
      </c>
      <c r="D12" s="39">
        <f>D5+D8+D11</f>
        <v>16784836.404024325</v>
      </c>
      <c r="E12" s="39">
        <f>E5+E8+E11</f>
        <v>37118133</v>
      </c>
      <c r="F12" s="39">
        <f t="shared" si="0"/>
        <v>45.22004488756028</v>
      </c>
      <c r="G12" s="40">
        <f>G5+G8+G11</f>
        <v>13429675</v>
      </c>
      <c r="H12" s="39">
        <f>H5+H8+H11</f>
        <v>7190360.631578947</v>
      </c>
      <c r="I12" s="40">
        <f>I5+I8+I11</f>
        <v>6239314.368421053</v>
      </c>
      <c r="J12" s="40">
        <f>J5+J8+J11</f>
        <v>0</v>
      </c>
      <c r="K12" s="40">
        <f>K5+K8+K11</f>
        <v>14977960</v>
      </c>
      <c r="L12" s="40">
        <f>K12-D12-H12+G12</f>
        <v>4432437.964396726</v>
      </c>
      <c r="M12" s="40" t="e">
        <f>M11+#REF!+#REF!+M9+M5</f>
        <v>#REF!</v>
      </c>
      <c r="N12" s="40" t="e">
        <f>N11+#REF!+#REF!+N9+N5</f>
        <v>#REF!</v>
      </c>
      <c r="O12" s="40" t="e">
        <f>O11+#REF!+#REF!+O9+O5</f>
        <v>#REF!</v>
      </c>
      <c r="P12" s="40" t="e">
        <f>P11+#REF!+#REF!+P9+P5</f>
        <v>#REF!</v>
      </c>
      <c r="Q12" s="40" t="e">
        <f>Q11+#REF!+#REF!+Q9+Q5</f>
        <v>#REF!</v>
      </c>
      <c r="R12" s="40" t="e">
        <f>R11+#REF!+#REF!+R9+R5</f>
        <v>#REF!</v>
      </c>
      <c r="S12" s="39">
        <f>100*(D12-G12+H12)/K12</f>
        <v>70.40693148868921</v>
      </c>
      <c r="T12" s="40">
        <f>T5+T8+T11</f>
        <v>15277519</v>
      </c>
      <c r="U12" s="40">
        <f>U5+U8+U11</f>
        <v>22467879.63157895</v>
      </c>
      <c r="V12" s="39">
        <f>V5+V8+V11</f>
        <v>20333296.595975675</v>
      </c>
      <c r="W12" s="145">
        <v>0</v>
      </c>
      <c r="X12" s="146" t="e">
        <v>#REF!</v>
      </c>
      <c r="Y12" s="147" t="e">
        <v>#REF!</v>
      </c>
    </row>
    <row r="13" spans="1:21" ht="15.75" customHeight="1">
      <c r="A13" s="149"/>
      <c r="B13" s="149" t="s">
        <v>117</v>
      </c>
      <c r="C13" s="150"/>
      <c r="H13" s="90" t="s">
        <v>117</v>
      </c>
      <c r="U13" s="89"/>
    </row>
    <row r="14" spans="2:12" ht="15.75" customHeight="1">
      <c r="B14" s="136" t="s">
        <v>117</v>
      </c>
      <c r="E14" s="89" t="s">
        <v>117</v>
      </c>
      <c r="L14" s="89" t="s">
        <v>117</v>
      </c>
    </row>
    <row r="15" spans="1:25" ht="32.25" customHeight="1">
      <c r="A15" s="151"/>
      <c r="B15" s="152"/>
      <c r="C15" s="152"/>
      <c r="D15" s="152"/>
      <c r="E15" s="152"/>
      <c r="F15" s="153" t="s">
        <v>117</v>
      </c>
      <c r="G15" s="152"/>
      <c r="H15" s="152"/>
      <c r="I15" s="152"/>
      <c r="J15" s="152"/>
      <c r="K15" s="152"/>
      <c r="L15" s="89"/>
      <c r="M15" s="152"/>
      <c r="N15" s="152"/>
      <c r="O15" s="152"/>
      <c r="P15" s="152"/>
      <c r="Q15" s="152"/>
      <c r="R15" s="152"/>
      <c r="S15" s="154"/>
      <c r="T15" s="152"/>
      <c r="U15" s="152"/>
      <c r="V15" s="152"/>
      <c r="W15" s="154"/>
      <c r="X15" s="141" t="e">
        <v>#REF!</v>
      </c>
      <c r="Y15" s="142" t="e">
        <v>#REF!</v>
      </c>
    </row>
    <row r="16" spans="1:25" ht="32.25" customHeight="1">
      <c r="A16" s="151"/>
      <c r="B16" s="152"/>
      <c r="C16" s="152"/>
      <c r="D16" s="152"/>
      <c r="E16" s="152"/>
      <c r="F16" s="154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4"/>
      <c r="T16" s="152"/>
      <c r="U16" s="152"/>
      <c r="V16" s="152"/>
      <c r="W16" s="154"/>
      <c r="X16" s="141" t="e">
        <v>#REF!</v>
      </c>
      <c r="Y16" s="142" t="e">
        <v>#REF!</v>
      </c>
    </row>
    <row r="17" spans="1:25" ht="32.25" customHeight="1">
      <c r="A17" s="151"/>
      <c r="B17" s="152"/>
      <c r="C17" s="152"/>
      <c r="D17" s="152"/>
      <c r="E17" s="152"/>
      <c r="F17" s="154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4"/>
      <c r="T17" s="152"/>
      <c r="U17" s="152"/>
      <c r="V17" s="152"/>
      <c r="W17" s="154"/>
      <c r="X17" s="141" t="e">
        <v>#REF!</v>
      </c>
      <c r="Y17" s="142" t="e">
        <v>#REF!</v>
      </c>
    </row>
    <row r="18" spans="1:25" ht="32.25" customHeight="1">
      <c r="A18" s="151"/>
      <c r="B18" s="152"/>
      <c r="C18" s="152"/>
      <c r="D18" s="152"/>
      <c r="E18" s="152"/>
      <c r="F18" s="154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4"/>
      <c r="T18" s="152"/>
      <c r="U18" s="152"/>
      <c r="V18" s="152"/>
      <c r="W18" s="154"/>
      <c r="X18" s="141" t="e">
        <v>#REF!</v>
      </c>
      <c r="Y18" s="142" t="e">
        <v>#REF!</v>
      </c>
    </row>
    <row r="19" spans="1:23" ht="15.75" customHeight="1">
      <c r="A19" s="151"/>
      <c r="D19" s="155"/>
      <c r="E19" s="155"/>
      <c r="F19" s="155"/>
      <c r="G19" s="155"/>
      <c r="H19" s="155"/>
      <c r="I19" s="155"/>
      <c r="J19" s="155"/>
      <c r="K19" s="155"/>
      <c r="L19" s="152"/>
      <c r="M19" s="152"/>
      <c r="N19" s="152"/>
      <c r="O19" s="152"/>
      <c r="P19" s="152"/>
      <c r="Q19" s="152"/>
      <c r="R19" s="152"/>
      <c r="S19" s="154"/>
      <c r="T19" s="136"/>
      <c r="U19" s="136"/>
      <c r="V19" s="136"/>
      <c r="W19" s="156"/>
    </row>
    <row r="20" spans="4:23" ht="15.75" customHeight="1">
      <c r="D20" s="136"/>
      <c r="E20" s="136"/>
      <c r="F20" s="136"/>
      <c r="G20" s="136"/>
      <c r="H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56"/>
    </row>
    <row r="21" spans="4:23" ht="15.75" customHeight="1">
      <c r="D21" s="136"/>
      <c r="E21" s="136"/>
      <c r="F21" s="136"/>
      <c r="G21" s="136"/>
      <c r="H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56"/>
    </row>
    <row r="22" spans="7:8" ht="15.75" customHeight="1">
      <c r="G22" s="136"/>
      <c r="H22" s="136"/>
    </row>
    <row r="23" spans="7:8" ht="15.75" customHeight="1">
      <c r="G23" s="136"/>
      <c r="H23" s="136"/>
    </row>
    <row r="24" spans="7:8" ht="15.75" customHeight="1">
      <c r="G24" s="136"/>
      <c r="H24" s="136"/>
    </row>
    <row r="25" ht="15.75" customHeight="1"/>
    <row r="32" spans="19:20" ht="16.5">
      <c r="S32" s="89"/>
      <c r="T32" s="89"/>
    </row>
  </sheetData>
  <mergeCells count="2">
    <mergeCell ref="X2:Y2"/>
    <mergeCell ref="A2:A3"/>
  </mergeCells>
  <printOptions/>
  <pageMargins left="0.26" right="0.21" top="1" bottom="1" header="0.4921259845" footer="0.4921259845"/>
  <pageSetup fitToHeight="1" fitToWidth="1" horizontalDpi="600" verticalDpi="600" orientation="landscape" paperSize="9" r:id="rId1"/>
  <headerFooter alignWithMargins="0">
    <oddHeader>&amp;LPríloha 3f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2:K26"/>
  <sheetViews>
    <sheetView workbookViewId="0" topLeftCell="A1">
      <selection activeCell="E8" sqref="E8"/>
    </sheetView>
  </sheetViews>
  <sheetFormatPr defaultColWidth="9.140625" defaultRowHeight="12.75"/>
  <cols>
    <col min="1" max="1" width="22.28125" style="61" customWidth="1"/>
    <col min="2" max="2" width="15.421875" style="61" customWidth="1"/>
    <col min="3" max="3" width="20.7109375" style="61" customWidth="1"/>
    <col min="4" max="4" width="18.140625" style="61" customWidth="1"/>
    <col min="5" max="5" width="13.28125" style="61" customWidth="1"/>
    <col min="6" max="7" width="10.140625" style="61" bestFit="1" customWidth="1"/>
    <col min="8" max="8" width="13.00390625" style="61" customWidth="1"/>
    <col min="9" max="9" width="9.140625" style="61" customWidth="1"/>
    <col min="10" max="10" width="11.8515625" style="61" customWidth="1"/>
    <col min="11" max="16384" width="9.140625" style="61" customWidth="1"/>
  </cols>
  <sheetData>
    <row r="2" spans="1:5" ht="19.5" customHeight="1">
      <c r="A2" s="4" t="s">
        <v>35</v>
      </c>
      <c r="B2" s="4"/>
      <c r="C2" s="4"/>
      <c r="D2" s="4"/>
      <c r="E2" s="4"/>
    </row>
    <row r="3" ht="12.75" customHeight="1" thickBot="1"/>
    <row r="4" spans="1:5" ht="45.75" customHeight="1">
      <c r="A4" s="220" t="s">
        <v>1</v>
      </c>
      <c r="B4" s="62" t="s">
        <v>7</v>
      </c>
      <c r="C4" s="62" t="s">
        <v>36</v>
      </c>
      <c r="D4" s="62" t="s">
        <v>13</v>
      </c>
      <c r="E4" s="63" t="s">
        <v>34</v>
      </c>
    </row>
    <row r="5" spans="1:11" ht="13.5" customHeight="1" thickBot="1">
      <c r="A5" s="221"/>
      <c r="B5" s="64" t="s">
        <v>0</v>
      </c>
      <c r="C5" s="64" t="s">
        <v>0</v>
      </c>
      <c r="D5" s="64" t="s">
        <v>2</v>
      </c>
      <c r="E5" s="65" t="s">
        <v>0</v>
      </c>
      <c r="F5" s="88"/>
      <c r="G5" s="88"/>
      <c r="H5" s="88"/>
      <c r="I5" s="88"/>
      <c r="J5" s="88"/>
      <c r="K5" s="88"/>
    </row>
    <row r="6" spans="1:11" ht="13.5" customHeight="1" thickTop="1">
      <c r="A6" s="157" t="s">
        <v>4</v>
      </c>
      <c r="B6" s="158">
        <v>722380.4728998373</v>
      </c>
      <c r="C6" s="158">
        <f>154274.82+36054.7</f>
        <v>190329.52000000002</v>
      </c>
      <c r="D6" s="159">
        <f aca="true" t="shared" si="0" ref="D6:D22">100*(C6/B6)</f>
        <v>26.347544976674698</v>
      </c>
      <c r="E6" s="160">
        <f aca="true" t="shared" si="1" ref="E6:E22">B6-C6</f>
        <v>532050.9528998373</v>
      </c>
      <c r="F6" s="88"/>
      <c r="G6" s="88"/>
      <c r="H6" s="88"/>
      <c r="I6" s="88"/>
      <c r="J6" s="88"/>
      <c r="K6" s="88"/>
    </row>
    <row r="7" spans="1:11" ht="13.5" customHeight="1">
      <c r="A7" s="72" t="s">
        <v>5</v>
      </c>
      <c r="B7" s="47">
        <v>589850.5721117557</v>
      </c>
      <c r="C7" s="47">
        <f>218714.08+22762.99</f>
        <v>241477.06999999998</v>
      </c>
      <c r="D7" s="48">
        <f t="shared" si="0"/>
        <v>40.93868539204344</v>
      </c>
      <c r="E7" s="74">
        <f t="shared" si="1"/>
        <v>348373.5021117558</v>
      </c>
      <c r="F7" s="88"/>
      <c r="G7" s="88"/>
      <c r="H7" s="88"/>
      <c r="I7" s="88"/>
      <c r="J7" s="88"/>
      <c r="K7" s="88"/>
    </row>
    <row r="8" spans="1:11" ht="13.5" customHeight="1">
      <c r="A8" s="72" t="s">
        <v>6</v>
      </c>
      <c r="B8" s="47">
        <v>722163.5772505556</v>
      </c>
      <c r="C8" s="47">
        <f>897758.54+147534.52</f>
        <v>1045293.06</v>
      </c>
      <c r="D8" s="48">
        <f t="shared" si="0"/>
        <v>144.74463860108722</v>
      </c>
      <c r="E8" s="74">
        <f t="shared" si="1"/>
        <v>-323129.48274944443</v>
      </c>
      <c r="F8" s="88"/>
      <c r="G8" s="88"/>
      <c r="H8" s="88"/>
      <c r="I8" s="88"/>
      <c r="J8" s="88"/>
      <c r="K8" s="88"/>
    </row>
    <row r="9" spans="1:11" ht="13.5" customHeight="1">
      <c r="A9" s="76" t="s">
        <v>19</v>
      </c>
      <c r="B9" s="68">
        <f>B6+B7+B8</f>
        <v>2034394.6222621487</v>
      </c>
      <c r="C9" s="68">
        <f>C6+C7+C8</f>
        <v>1477099.65</v>
      </c>
      <c r="D9" s="161">
        <f t="shared" si="0"/>
        <v>72.60634853416671</v>
      </c>
      <c r="E9" s="78">
        <f t="shared" si="1"/>
        <v>557294.9722621487</v>
      </c>
      <c r="F9" s="88"/>
      <c r="G9" s="88"/>
      <c r="H9" s="88"/>
      <c r="I9" s="88"/>
      <c r="J9" s="88"/>
      <c r="K9" s="88"/>
    </row>
    <row r="10" spans="1:11" ht="13.5" customHeight="1">
      <c r="A10" s="72" t="s">
        <v>21</v>
      </c>
      <c r="B10" s="47">
        <v>559715.3950155001</v>
      </c>
      <c r="C10" s="47">
        <f>145601.85+18762.77</f>
        <v>164364.62</v>
      </c>
      <c r="D10" s="48">
        <f t="shared" si="0"/>
        <v>29.36574935471415</v>
      </c>
      <c r="E10" s="74">
        <f t="shared" si="1"/>
        <v>395350.77501550014</v>
      </c>
      <c r="F10" s="88"/>
      <c r="G10" s="88"/>
      <c r="H10" s="88"/>
      <c r="I10" s="88"/>
      <c r="J10" s="88"/>
      <c r="K10" s="88"/>
    </row>
    <row r="11" spans="1:11" ht="13.5" customHeight="1">
      <c r="A11" s="72" t="s">
        <v>22</v>
      </c>
      <c r="B11" s="47">
        <v>903731.8720071606</v>
      </c>
      <c r="C11" s="47">
        <f>561255.12+516301.4</f>
        <v>1077556.52</v>
      </c>
      <c r="D11" s="48">
        <f t="shared" si="0"/>
        <v>119.23409513120085</v>
      </c>
      <c r="E11" s="74">
        <f t="shared" si="1"/>
        <v>-173824.64799283945</v>
      </c>
      <c r="F11" s="88"/>
      <c r="G11" s="88"/>
      <c r="H11" s="88"/>
      <c r="I11" s="88"/>
      <c r="J11" s="88"/>
      <c r="K11" s="88"/>
    </row>
    <row r="12" spans="1:11" ht="13.5" customHeight="1">
      <c r="A12" s="76" t="s">
        <v>20</v>
      </c>
      <c r="B12" s="68">
        <f>B10+B11</f>
        <v>1463447.2670226607</v>
      </c>
      <c r="C12" s="68">
        <f>C10+C11</f>
        <v>1241921.1400000001</v>
      </c>
      <c r="D12" s="161">
        <f t="shared" si="0"/>
        <v>84.86271886835056</v>
      </c>
      <c r="E12" s="78">
        <f t="shared" si="1"/>
        <v>221526.12702266057</v>
      </c>
      <c r="F12" s="88"/>
      <c r="G12" s="88"/>
      <c r="H12" s="88"/>
      <c r="I12" s="88"/>
      <c r="J12" s="88"/>
      <c r="K12" s="88"/>
    </row>
    <row r="13" spans="1:11" ht="13.5" customHeight="1">
      <c r="A13" s="72" t="s">
        <v>23</v>
      </c>
      <c r="B13" s="47">
        <v>520722.69427686685</v>
      </c>
      <c r="C13" s="47">
        <f>160408.93+10808.78</f>
        <v>171217.71</v>
      </c>
      <c r="D13" s="48">
        <f t="shared" si="0"/>
        <v>32.88078508615259</v>
      </c>
      <c r="E13" s="74">
        <f t="shared" si="1"/>
        <v>349504.9842768669</v>
      </c>
      <c r="F13" s="88"/>
      <c r="G13" s="88"/>
      <c r="H13" s="88"/>
      <c r="I13" s="88"/>
      <c r="J13" s="88"/>
      <c r="K13" s="88"/>
    </row>
    <row r="14" spans="1:11" ht="13.5" customHeight="1">
      <c r="A14" s="72" t="s">
        <v>24</v>
      </c>
      <c r="B14" s="47">
        <v>789565.8028582644</v>
      </c>
      <c r="C14" s="47">
        <f>470400.51+131478.22</f>
        <v>601878.73</v>
      </c>
      <c r="D14" s="48">
        <f t="shared" si="0"/>
        <v>76.22907778188612</v>
      </c>
      <c r="E14" s="74">
        <f t="shared" si="1"/>
        <v>187687.07285826444</v>
      </c>
      <c r="F14" s="88"/>
      <c r="G14" s="88"/>
      <c r="H14" s="88"/>
      <c r="I14" s="88"/>
      <c r="J14" s="88"/>
      <c r="K14" s="88"/>
    </row>
    <row r="15" spans="1:11" ht="13.5" customHeight="1">
      <c r="A15" s="76" t="s">
        <v>25</v>
      </c>
      <c r="B15" s="68">
        <f>B13+B14</f>
        <v>1310288.4971351312</v>
      </c>
      <c r="C15" s="68">
        <f>C13+C14</f>
        <v>773096.44</v>
      </c>
      <c r="D15" s="161">
        <f t="shared" si="0"/>
        <v>59.002001596620126</v>
      </c>
      <c r="E15" s="78">
        <f t="shared" si="1"/>
        <v>537192.0571351312</v>
      </c>
      <c r="F15" s="88"/>
      <c r="G15" s="88"/>
      <c r="H15" s="88"/>
      <c r="I15" s="88"/>
      <c r="J15" s="88"/>
      <c r="K15" s="88"/>
    </row>
    <row r="16" spans="1:11" ht="13.5" customHeight="1">
      <c r="A16" s="72" t="s">
        <v>26</v>
      </c>
      <c r="B16" s="47">
        <v>272070.85830952413</v>
      </c>
      <c r="C16" s="47">
        <f>7982.59+54893.07</f>
        <v>62875.66</v>
      </c>
      <c r="D16" s="48">
        <f t="shared" si="0"/>
        <v>23.11003111125885</v>
      </c>
      <c r="E16" s="74">
        <f t="shared" si="1"/>
        <v>209195.19830952413</v>
      </c>
      <c r="F16" s="88"/>
      <c r="G16" s="88"/>
      <c r="H16" s="88"/>
      <c r="I16" s="88"/>
      <c r="J16" s="88"/>
      <c r="K16" s="88"/>
    </row>
    <row r="17" spans="1:11" ht="13.5" customHeight="1">
      <c r="A17" s="72" t="s">
        <v>27</v>
      </c>
      <c r="B17" s="47">
        <v>767563.2613133659</v>
      </c>
      <c r="C17" s="47">
        <f>404055.91+98606.27</f>
        <v>502662.18</v>
      </c>
      <c r="D17" s="48">
        <f t="shared" si="0"/>
        <v>65.48804578529493</v>
      </c>
      <c r="E17" s="74">
        <f t="shared" si="1"/>
        <v>264901.0813133659</v>
      </c>
      <c r="F17" s="88"/>
      <c r="G17" s="88"/>
      <c r="H17" s="88"/>
      <c r="I17" s="88"/>
      <c r="J17" s="88"/>
      <c r="K17" s="88"/>
    </row>
    <row r="18" spans="1:11" ht="13.5" customHeight="1">
      <c r="A18" s="76" t="s">
        <v>28</v>
      </c>
      <c r="B18" s="68">
        <f>B16+B17</f>
        <v>1039634.11962289</v>
      </c>
      <c r="C18" s="68">
        <f>C16+C17</f>
        <v>565537.84</v>
      </c>
      <c r="D18" s="161">
        <f t="shared" si="0"/>
        <v>54.39777603731777</v>
      </c>
      <c r="E18" s="78">
        <f t="shared" si="1"/>
        <v>474096.27962289006</v>
      </c>
      <c r="F18" s="88"/>
      <c r="G18" s="88"/>
      <c r="H18" s="88"/>
      <c r="I18" s="88"/>
      <c r="J18" s="88"/>
      <c r="K18" s="88"/>
    </row>
    <row r="19" spans="1:11" ht="13.5" customHeight="1">
      <c r="A19" s="72" t="s">
        <v>29</v>
      </c>
      <c r="B19" s="47">
        <v>723936.7943131045</v>
      </c>
      <c r="C19" s="47">
        <f>574772.56+147492.61</f>
        <v>722265.17</v>
      </c>
      <c r="D19" s="48">
        <f t="shared" si="0"/>
        <v>99.7690925055563</v>
      </c>
      <c r="E19" s="74">
        <f t="shared" si="1"/>
        <v>1671.624313104432</v>
      </c>
      <c r="F19" s="88"/>
      <c r="G19" s="88"/>
      <c r="H19" s="88"/>
      <c r="I19" s="88"/>
      <c r="J19" s="88"/>
      <c r="K19" s="88"/>
    </row>
    <row r="20" spans="1:11" ht="13.5" customHeight="1">
      <c r="A20" s="72" t="s">
        <v>30</v>
      </c>
      <c r="B20" s="47">
        <v>513039.07077139127</v>
      </c>
      <c r="C20" s="47">
        <f>341848.68+22021.8</f>
        <v>363870.48</v>
      </c>
      <c r="D20" s="48">
        <f t="shared" si="0"/>
        <v>70.92451642189637</v>
      </c>
      <c r="E20" s="74">
        <f t="shared" si="1"/>
        <v>149168.5907713913</v>
      </c>
      <c r="F20" s="88"/>
      <c r="G20" s="88"/>
      <c r="H20" s="88"/>
      <c r="I20" s="88"/>
      <c r="J20" s="88"/>
      <c r="K20" s="88"/>
    </row>
    <row r="21" spans="1:11" ht="13.5" customHeight="1">
      <c r="A21" s="72" t="s">
        <v>31</v>
      </c>
      <c r="B21" s="47">
        <v>449963.34258882835</v>
      </c>
      <c r="C21" s="47">
        <f>88642.76+58789.07</f>
        <v>147431.83</v>
      </c>
      <c r="D21" s="48">
        <f t="shared" si="0"/>
        <v>32.765297980000476</v>
      </c>
      <c r="E21" s="74">
        <f t="shared" si="1"/>
        <v>302531.51258882834</v>
      </c>
      <c r="F21" s="88"/>
      <c r="G21" s="88"/>
      <c r="H21" s="88"/>
      <c r="I21" s="88"/>
      <c r="J21" s="88"/>
      <c r="K21" s="88"/>
    </row>
    <row r="22" spans="1:11" ht="16.5">
      <c r="A22" s="76" t="s">
        <v>32</v>
      </c>
      <c r="B22" s="68">
        <f>B21+B20+B19</f>
        <v>1686939.2076733243</v>
      </c>
      <c r="C22" s="68">
        <f>C19+C20+C21</f>
        <v>1233567.48</v>
      </c>
      <c r="D22" s="161">
        <f t="shared" si="0"/>
        <v>73.12459597766848</v>
      </c>
      <c r="E22" s="78">
        <f t="shared" si="1"/>
        <v>453371.7276733243</v>
      </c>
      <c r="F22" s="88"/>
      <c r="G22" s="88"/>
      <c r="H22" s="88"/>
      <c r="I22" s="88"/>
      <c r="J22" s="88"/>
      <c r="K22" s="88"/>
    </row>
    <row r="23" spans="1:11" ht="17.25" thickBot="1">
      <c r="A23" s="162" t="s">
        <v>33</v>
      </c>
      <c r="B23" s="96">
        <v>517224.77628384554</v>
      </c>
      <c r="C23" s="96">
        <f>282997.08+64014.87</f>
        <v>347011.95</v>
      </c>
      <c r="D23" s="97">
        <v>52.05</v>
      </c>
      <c r="E23" s="98">
        <v>260707.92</v>
      </c>
      <c r="F23" s="88"/>
      <c r="G23" s="88"/>
      <c r="H23" s="88"/>
      <c r="I23" s="88"/>
      <c r="J23" s="88"/>
      <c r="K23" s="88"/>
    </row>
    <row r="24" spans="1:11" ht="17.25" thickBot="1">
      <c r="A24" s="163" t="s">
        <v>18</v>
      </c>
      <c r="B24" s="164">
        <f>B9+B12+B15+B18+B22+B23</f>
        <v>8051928.49</v>
      </c>
      <c r="C24" s="164">
        <f>C9+C12+C15+C18+C22+C23</f>
        <v>5638234.5</v>
      </c>
      <c r="D24" s="165">
        <f>100*(C24/B24)</f>
        <v>70.02340503895856</v>
      </c>
      <c r="E24" s="166">
        <f>B24-C24</f>
        <v>2413693.99</v>
      </c>
      <c r="F24" s="88"/>
      <c r="G24" s="88"/>
      <c r="H24" s="88"/>
      <c r="I24" s="88"/>
      <c r="J24" s="88"/>
      <c r="K24" s="88"/>
    </row>
    <row r="25" spans="2:10" ht="16.5">
      <c r="B25" s="88"/>
      <c r="J25" s="88"/>
    </row>
    <row r="26" spans="6:10" ht="16.5">
      <c r="F26" s="88"/>
      <c r="G26" s="88"/>
      <c r="J26" s="88"/>
    </row>
  </sheetData>
  <mergeCells count="1">
    <mergeCell ref="A4:A5"/>
  </mergeCells>
  <printOptions/>
  <pageMargins left="0.1968503937007874" right="0.1968503937007874" top="0.5905511811023623" bottom="0.984251968503937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2:L37"/>
  <sheetViews>
    <sheetView workbookViewId="0" topLeftCell="A1">
      <selection activeCell="O4" sqref="O4"/>
    </sheetView>
  </sheetViews>
  <sheetFormatPr defaultColWidth="9.140625" defaultRowHeight="12.75"/>
  <cols>
    <col min="1" max="1" width="23.7109375" style="61" customWidth="1"/>
    <col min="2" max="5" width="13.7109375" style="61" hidden="1" customWidth="1"/>
    <col min="6" max="6" width="15.421875" style="61" customWidth="1"/>
    <col min="7" max="7" width="16.7109375" style="61" hidden="1" customWidth="1"/>
    <col min="8" max="8" width="14.421875" style="61" hidden="1" customWidth="1"/>
    <col min="9" max="9" width="18.57421875" style="61" customWidth="1"/>
    <col min="10" max="10" width="15.7109375" style="61" hidden="1" customWidth="1"/>
    <col min="11" max="11" width="17.140625" style="61" customWidth="1"/>
    <col min="12" max="12" width="18.140625" style="61" customWidth="1"/>
    <col min="13" max="16384" width="9.140625" style="61" customWidth="1"/>
  </cols>
  <sheetData>
    <row r="2" spans="1:8" ht="19.5" customHeight="1">
      <c r="A2" s="4" t="s">
        <v>56</v>
      </c>
      <c r="B2" s="4"/>
      <c r="C2" s="4"/>
      <c r="D2" s="4"/>
      <c r="E2" s="4"/>
      <c r="F2" s="4"/>
      <c r="G2" s="4"/>
      <c r="H2" s="4"/>
    </row>
    <row r="3" ht="12" customHeight="1" thickBot="1"/>
    <row r="4" spans="1:12" ht="58.5" customHeight="1">
      <c r="A4" s="220" t="s">
        <v>1</v>
      </c>
      <c r="B4" s="62" t="s">
        <v>10</v>
      </c>
      <c r="C4" s="62" t="s">
        <v>17</v>
      </c>
      <c r="D4" s="62" t="s">
        <v>9</v>
      </c>
      <c r="E4" s="62" t="s">
        <v>8</v>
      </c>
      <c r="F4" s="62" t="s">
        <v>7</v>
      </c>
      <c r="G4" s="62" t="s">
        <v>44</v>
      </c>
      <c r="H4" s="62" t="s">
        <v>45</v>
      </c>
      <c r="I4" s="62" t="s">
        <v>57</v>
      </c>
      <c r="J4" s="62" t="s">
        <v>11</v>
      </c>
      <c r="K4" s="62" t="s">
        <v>46</v>
      </c>
      <c r="L4" s="63" t="s">
        <v>14</v>
      </c>
    </row>
    <row r="5" spans="1:12" ht="18.75" customHeight="1" thickBot="1">
      <c r="A5" s="221"/>
      <c r="B5" s="64" t="s">
        <v>0</v>
      </c>
      <c r="C5" s="64" t="s">
        <v>0</v>
      </c>
      <c r="D5" s="64" t="s">
        <v>0</v>
      </c>
      <c r="E5" s="64" t="s">
        <v>0</v>
      </c>
      <c r="F5" s="64" t="s">
        <v>0</v>
      </c>
      <c r="G5" s="64" t="s">
        <v>0</v>
      </c>
      <c r="H5" s="64" t="s">
        <v>0</v>
      </c>
      <c r="I5" s="64" t="s">
        <v>0</v>
      </c>
      <c r="J5" s="64" t="s">
        <v>2</v>
      </c>
      <c r="K5" s="64" t="s">
        <v>2</v>
      </c>
      <c r="L5" s="65" t="s">
        <v>0</v>
      </c>
    </row>
    <row r="6" spans="1:12" ht="17.25" customHeight="1" thickBot="1" thickTop="1">
      <c r="A6" s="163" t="s">
        <v>58</v>
      </c>
      <c r="B6" s="164">
        <f>B7+B10+B14</f>
        <v>2834752.4145</v>
      </c>
      <c r="C6" s="164">
        <v>1440123.77</v>
      </c>
      <c r="D6" s="164">
        <f aca="true" t="shared" si="0" ref="D6:I6">D7+D10+D14</f>
        <v>3048957.3885</v>
      </c>
      <c r="E6" s="164">
        <f t="shared" si="0"/>
        <v>3616290.197</v>
      </c>
      <c r="F6" s="164">
        <f t="shared" si="0"/>
        <v>9500000</v>
      </c>
      <c r="G6" s="164">
        <f t="shared" si="0"/>
        <v>8162286.78</v>
      </c>
      <c r="H6" s="164">
        <f>H7+H10+H14</f>
        <v>4189.62</v>
      </c>
      <c r="I6" s="164">
        <f t="shared" si="0"/>
        <v>8158097.16</v>
      </c>
      <c r="J6" s="165">
        <f>100*(I6-B6+C6-D6)/(E6+C6)</f>
        <v>73.46137304505234</v>
      </c>
      <c r="K6" s="165">
        <f>100*(I6/F6)</f>
        <v>85.87470694736842</v>
      </c>
      <c r="L6" s="166">
        <f>F6-I6</f>
        <v>1341902.8399999999</v>
      </c>
    </row>
    <row r="7" spans="1:12" ht="13.5" customHeight="1">
      <c r="A7" s="167" t="s">
        <v>48</v>
      </c>
      <c r="B7" s="158">
        <f>B8+B9</f>
        <v>1560995.92</v>
      </c>
      <c r="C7" s="168">
        <f aca="true" t="shared" si="1" ref="C7:H7">C8+C9</f>
        <v>792068.0734999999</v>
      </c>
      <c r="D7" s="158">
        <f t="shared" si="1"/>
        <v>1686684.3399999999</v>
      </c>
      <c r="E7" s="158">
        <f t="shared" si="1"/>
        <v>1977319.74</v>
      </c>
      <c r="F7" s="158">
        <f>F8+F9</f>
        <v>5225000</v>
      </c>
      <c r="G7" s="158">
        <f t="shared" si="1"/>
        <v>5169638.67</v>
      </c>
      <c r="H7" s="158">
        <f t="shared" si="1"/>
        <v>2886.26</v>
      </c>
      <c r="I7" s="158">
        <f>I8+I9</f>
        <v>5166752.41</v>
      </c>
      <c r="J7" s="159">
        <f>100*(I7-B7+C7-D7)/(E7+C7)</f>
        <v>97.8967340826713</v>
      </c>
      <c r="K7" s="159">
        <f aca="true" t="shared" si="2" ref="K7:K16">100*(I7/F7)</f>
        <v>98.88521358851675</v>
      </c>
      <c r="L7" s="160">
        <f aca="true" t="shared" si="3" ref="L7:L16">F7-I7</f>
        <v>58247.58999999985</v>
      </c>
    </row>
    <row r="8" spans="1:12" ht="13.5" customHeight="1">
      <c r="A8" s="72" t="s">
        <v>4</v>
      </c>
      <c r="B8" s="47">
        <v>851452.32</v>
      </c>
      <c r="C8" s="47">
        <v>432037.131</v>
      </c>
      <c r="D8" s="47">
        <v>920009.64</v>
      </c>
      <c r="E8" s="47">
        <v>1078538.04</v>
      </c>
      <c r="F8" s="47">
        <f>B8+D8+E8</f>
        <v>2850000</v>
      </c>
      <c r="G8" s="47">
        <v>3026054.41</v>
      </c>
      <c r="H8" s="47">
        <v>2886.26</v>
      </c>
      <c r="I8" s="47">
        <f>G8-H8</f>
        <v>3023168.1500000004</v>
      </c>
      <c r="J8" s="48">
        <f aca="true" t="shared" si="4" ref="J8:J16">100*(I8-B8+C8-D8)/(E8+C8)</f>
        <v>111.46372278086388</v>
      </c>
      <c r="K8" s="48">
        <f t="shared" si="2"/>
        <v>106.07607543859649</v>
      </c>
      <c r="L8" s="74">
        <f t="shared" si="3"/>
        <v>-173168.15000000037</v>
      </c>
    </row>
    <row r="9" spans="1:12" ht="13.5" customHeight="1">
      <c r="A9" s="72" t="s">
        <v>5</v>
      </c>
      <c r="B9" s="47">
        <v>709543.6</v>
      </c>
      <c r="C9" s="47">
        <v>360030.9425</v>
      </c>
      <c r="D9" s="47">
        <v>766674.7</v>
      </c>
      <c r="E9" s="47">
        <v>898781.7</v>
      </c>
      <c r="F9" s="47">
        <f>B9+D9+E9</f>
        <v>2375000</v>
      </c>
      <c r="G9" s="47">
        <v>2143584.26</v>
      </c>
      <c r="H9" s="47">
        <v>0</v>
      </c>
      <c r="I9" s="47">
        <f>G9-H9</f>
        <v>2143584.26</v>
      </c>
      <c r="J9" s="48">
        <f t="shared" si="4"/>
        <v>81.6163476448402</v>
      </c>
      <c r="K9" s="48">
        <f t="shared" si="2"/>
        <v>90.25617936842104</v>
      </c>
      <c r="L9" s="74">
        <f t="shared" si="3"/>
        <v>231415.74000000022</v>
      </c>
    </row>
    <row r="10" spans="1:12" ht="13.5" customHeight="1">
      <c r="A10" s="75" t="s">
        <v>49</v>
      </c>
      <c r="B10" s="47">
        <f>B11+B12+B13</f>
        <v>1075084.353</v>
      </c>
      <c r="C10" s="169">
        <f aca="true" t="shared" si="5" ref="C10:I10">C11+C12+C13</f>
        <v>547247.0326</v>
      </c>
      <c r="D10" s="47">
        <f t="shared" si="5"/>
        <v>1147604.199</v>
      </c>
      <c r="E10" s="47">
        <f t="shared" si="5"/>
        <v>1387311.448</v>
      </c>
      <c r="F10" s="47">
        <f t="shared" si="5"/>
        <v>3610000</v>
      </c>
      <c r="G10" s="47">
        <f t="shared" si="5"/>
        <v>2734322.1900000004</v>
      </c>
      <c r="H10" s="47">
        <f t="shared" si="5"/>
        <v>1303.36</v>
      </c>
      <c r="I10" s="47">
        <f t="shared" si="5"/>
        <v>2733018.83</v>
      </c>
      <c r="J10" s="48">
        <f t="shared" si="4"/>
        <v>54.667631979364856</v>
      </c>
      <c r="K10" s="48">
        <f t="shared" si="2"/>
        <v>75.70689279778394</v>
      </c>
      <c r="L10" s="74">
        <f t="shared" si="3"/>
        <v>876981.1699999999</v>
      </c>
    </row>
    <row r="11" spans="1:12" ht="13.5" customHeight="1">
      <c r="A11" s="72" t="s">
        <v>21</v>
      </c>
      <c r="B11" s="47">
        <v>396083.709</v>
      </c>
      <c r="C11" s="47">
        <v>201617.32780000003</v>
      </c>
      <c r="D11" s="47">
        <v>422801.547</v>
      </c>
      <c r="E11" s="47">
        <v>511114.744</v>
      </c>
      <c r="F11" s="47">
        <f>B11+D11+E11</f>
        <v>1330000</v>
      </c>
      <c r="G11" s="47">
        <v>1029149.14</v>
      </c>
      <c r="H11" s="47">
        <v>0</v>
      </c>
      <c r="I11" s="47">
        <f>G11-H11</f>
        <v>1029149.14</v>
      </c>
      <c r="J11" s="48">
        <f t="shared" si="4"/>
        <v>57.78906662075651</v>
      </c>
      <c r="K11" s="48">
        <f t="shared" si="2"/>
        <v>77.37963458646617</v>
      </c>
      <c r="L11" s="74">
        <f t="shared" si="3"/>
        <v>300850.86</v>
      </c>
    </row>
    <row r="12" spans="1:12" ht="13.5" customHeight="1">
      <c r="A12" s="72" t="s">
        <v>22</v>
      </c>
      <c r="B12" s="47">
        <v>396083.709</v>
      </c>
      <c r="C12" s="47">
        <v>201617.32780000003</v>
      </c>
      <c r="D12" s="47">
        <v>422801.547</v>
      </c>
      <c r="E12" s="47">
        <v>511114.744</v>
      </c>
      <c r="F12" s="47">
        <f>B12+D12+E12</f>
        <v>1330000</v>
      </c>
      <c r="G12" s="47">
        <v>1118091.31</v>
      </c>
      <c r="H12" s="47">
        <v>1303.36</v>
      </c>
      <c r="I12" s="47">
        <f>G12-H12</f>
        <v>1116787.95</v>
      </c>
      <c r="J12" s="48">
        <f t="shared" si="4"/>
        <v>70.08524543289676</v>
      </c>
      <c r="K12" s="48">
        <f t="shared" si="2"/>
        <v>83.96901879699247</v>
      </c>
      <c r="L12" s="74">
        <f t="shared" si="3"/>
        <v>213212.05000000005</v>
      </c>
    </row>
    <row r="13" spans="1:12" ht="13.5" customHeight="1">
      <c r="A13" s="72" t="s">
        <v>38</v>
      </c>
      <c r="B13" s="47">
        <v>282916.935</v>
      </c>
      <c r="C13" s="47">
        <v>144012.377</v>
      </c>
      <c r="D13" s="47">
        <v>302001.105</v>
      </c>
      <c r="E13" s="47">
        <v>365081.96</v>
      </c>
      <c r="F13" s="47">
        <f>B13+D13+E13</f>
        <v>950000</v>
      </c>
      <c r="G13" s="47">
        <v>587081.74</v>
      </c>
      <c r="H13" s="47">
        <v>0</v>
      </c>
      <c r="I13" s="47">
        <f>G13-H13</f>
        <v>587081.74</v>
      </c>
      <c r="J13" s="48">
        <f t="shared" si="4"/>
        <v>28.712964646471807</v>
      </c>
      <c r="K13" s="48">
        <f t="shared" si="2"/>
        <v>61.798077894736835</v>
      </c>
      <c r="L13" s="74">
        <f t="shared" si="3"/>
        <v>362918.26</v>
      </c>
    </row>
    <row r="14" spans="1:12" ht="13.5" customHeight="1">
      <c r="A14" s="75" t="s">
        <v>51</v>
      </c>
      <c r="B14" s="47">
        <f>B15+B16</f>
        <v>198672.14149999997</v>
      </c>
      <c r="C14" s="169">
        <f aca="true" t="shared" si="6" ref="C14:I14">C15+C16</f>
        <v>100808.66389999999</v>
      </c>
      <c r="D14" s="47">
        <f t="shared" si="6"/>
        <v>214668.84949999998</v>
      </c>
      <c r="E14" s="47">
        <f t="shared" si="6"/>
        <v>251659.00900000002</v>
      </c>
      <c r="F14" s="47">
        <f t="shared" si="6"/>
        <v>665000</v>
      </c>
      <c r="G14" s="47">
        <f t="shared" si="6"/>
        <v>258325.92</v>
      </c>
      <c r="H14" s="47">
        <f t="shared" si="6"/>
        <v>0</v>
      </c>
      <c r="I14" s="47">
        <f t="shared" si="6"/>
        <v>258325.92</v>
      </c>
      <c r="J14" s="48">
        <f t="shared" si="4"/>
        <v>-15.379114530988227</v>
      </c>
      <c r="K14" s="48">
        <f t="shared" si="2"/>
        <v>38.846003007518796</v>
      </c>
      <c r="L14" s="74">
        <f t="shared" si="3"/>
        <v>406674.07999999996</v>
      </c>
    </row>
    <row r="15" spans="1:12" ht="13.5" customHeight="1">
      <c r="A15" s="72" t="s">
        <v>23</v>
      </c>
      <c r="B15" s="47">
        <v>141908.6725</v>
      </c>
      <c r="C15" s="47">
        <v>72006.18849999999</v>
      </c>
      <c r="D15" s="47">
        <v>153334.8925</v>
      </c>
      <c r="E15" s="47">
        <v>179756.435</v>
      </c>
      <c r="F15" s="47">
        <f>B15+D15+E15</f>
        <v>474999.99999999994</v>
      </c>
      <c r="G15" s="47">
        <v>223716.07</v>
      </c>
      <c r="H15" s="47">
        <v>0</v>
      </c>
      <c r="I15" s="47">
        <f>G15-H15</f>
        <v>223716.07</v>
      </c>
      <c r="J15" s="48">
        <f t="shared" si="4"/>
        <v>0.19013684134095588</v>
      </c>
      <c r="K15" s="48">
        <f t="shared" si="2"/>
        <v>47.09812000000001</v>
      </c>
      <c r="L15" s="74">
        <f t="shared" si="3"/>
        <v>251283.92999999993</v>
      </c>
    </row>
    <row r="16" spans="1:12" ht="13.5" customHeight="1" thickBot="1">
      <c r="A16" s="95" t="s">
        <v>24</v>
      </c>
      <c r="B16" s="96">
        <v>56763.469</v>
      </c>
      <c r="C16" s="96">
        <v>28802.4754</v>
      </c>
      <c r="D16" s="96">
        <v>61333.957</v>
      </c>
      <c r="E16" s="96">
        <v>71902.57400000001</v>
      </c>
      <c r="F16" s="96">
        <f>B16+D16+E16</f>
        <v>190000</v>
      </c>
      <c r="G16" s="96">
        <v>34609.85</v>
      </c>
      <c r="H16" s="96">
        <v>0</v>
      </c>
      <c r="I16" s="96">
        <f>G16-H16</f>
        <v>34609.85</v>
      </c>
      <c r="J16" s="97">
        <f t="shared" si="4"/>
        <v>-54.30224296181121</v>
      </c>
      <c r="K16" s="97">
        <f t="shared" si="2"/>
        <v>18.21571052631579</v>
      </c>
      <c r="L16" s="98">
        <f t="shared" si="3"/>
        <v>155390.15</v>
      </c>
    </row>
    <row r="19" ht="16.5" hidden="1"/>
    <row r="20" spans="1:7" ht="16.5" customHeight="1" hidden="1">
      <c r="A20" s="4" t="s">
        <v>59</v>
      </c>
      <c r="B20" s="4"/>
      <c r="C20" s="4"/>
      <c r="D20" s="4"/>
      <c r="E20" s="4"/>
      <c r="F20" s="4"/>
      <c r="G20" s="4"/>
    </row>
    <row r="21" spans="2:5" ht="17.25" hidden="1" thickBot="1">
      <c r="B21" s="88"/>
      <c r="C21" s="88"/>
      <c r="D21" s="88"/>
      <c r="E21" s="88"/>
    </row>
    <row r="22" spans="1:12" ht="66.75" hidden="1" thickTop="1">
      <c r="A22" s="224" t="s">
        <v>1</v>
      </c>
      <c r="B22" s="104" t="s">
        <v>10</v>
      </c>
      <c r="C22" s="104" t="s">
        <v>17</v>
      </c>
      <c r="D22" s="104" t="s">
        <v>9</v>
      </c>
      <c r="E22" s="104" t="s">
        <v>8</v>
      </c>
      <c r="F22" s="104" t="s">
        <v>7</v>
      </c>
      <c r="G22" s="104" t="s">
        <v>44</v>
      </c>
      <c r="H22" s="104" t="s">
        <v>45</v>
      </c>
      <c r="I22" s="104" t="s">
        <v>57</v>
      </c>
      <c r="J22" s="104" t="s">
        <v>11</v>
      </c>
      <c r="K22" s="104" t="s">
        <v>46</v>
      </c>
      <c r="L22" s="105" t="s">
        <v>14</v>
      </c>
    </row>
    <row r="23" spans="1:12" ht="17.25" hidden="1" thickBot="1">
      <c r="A23" s="225"/>
      <c r="B23" s="106" t="s">
        <v>55</v>
      </c>
      <c r="C23" s="106" t="s">
        <v>55</v>
      </c>
      <c r="D23" s="106" t="s">
        <v>55</v>
      </c>
      <c r="E23" s="106" t="s">
        <v>55</v>
      </c>
      <c r="F23" s="106" t="s">
        <v>55</v>
      </c>
      <c r="G23" s="106" t="s">
        <v>55</v>
      </c>
      <c r="H23" s="106" t="s">
        <v>55</v>
      </c>
      <c r="I23" s="106" t="s">
        <v>55</v>
      </c>
      <c r="J23" s="106" t="s">
        <v>2</v>
      </c>
      <c r="K23" s="106" t="s">
        <v>2</v>
      </c>
      <c r="L23" s="107" t="s">
        <v>55</v>
      </c>
    </row>
    <row r="24" spans="1:12" ht="16.5" hidden="1">
      <c r="A24" s="170" t="s">
        <v>58</v>
      </c>
      <c r="B24" s="171">
        <f>B25+B28+B32</f>
        <v>107720591.75099999</v>
      </c>
      <c r="C24" s="171">
        <f>C25+C28+C32</f>
        <v>54724703.260000005</v>
      </c>
      <c r="D24" s="171">
        <f aca="true" t="shared" si="7" ref="D24:I24">D25+D28+D32</f>
        <v>115860380.763</v>
      </c>
      <c r="E24" s="171">
        <f t="shared" si="7"/>
        <v>137419027.486</v>
      </c>
      <c r="F24" s="171">
        <f t="shared" si="7"/>
        <v>361000000</v>
      </c>
      <c r="G24" s="171">
        <f t="shared" si="7"/>
        <v>275995806.11</v>
      </c>
      <c r="H24" s="171">
        <f t="shared" si="7"/>
        <v>144107.47999999998</v>
      </c>
      <c r="I24" s="171">
        <f t="shared" si="7"/>
        <v>275851698.63</v>
      </c>
      <c r="J24" s="172">
        <f>100*(I24-B24+C24-D24)/(E24+C24)</f>
        <v>55.68510039884682</v>
      </c>
      <c r="K24" s="172">
        <f>100*(I24/F24)</f>
        <v>76.4132129168975</v>
      </c>
      <c r="L24" s="173">
        <f>F24-I24</f>
        <v>85148301.37</v>
      </c>
    </row>
    <row r="25" spans="1:12" ht="16.5" hidden="1">
      <c r="A25" s="174" t="s">
        <v>48</v>
      </c>
      <c r="B25" s="175">
        <f aca="true" t="shared" si="8" ref="B25:I25">B26+B27</f>
        <v>59317844.95999999</v>
      </c>
      <c r="C25" s="176">
        <f t="shared" si="8"/>
        <v>30098586.792999998</v>
      </c>
      <c r="D25" s="175">
        <f t="shared" si="8"/>
        <v>64094004.92</v>
      </c>
      <c r="E25" s="175">
        <f t="shared" si="8"/>
        <v>75138150.12</v>
      </c>
      <c r="F25" s="175">
        <f t="shared" si="8"/>
        <v>198550000</v>
      </c>
      <c r="G25" s="175">
        <f t="shared" si="8"/>
        <v>175738738.31</v>
      </c>
      <c r="H25" s="175">
        <f t="shared" si="8"/>
        <v>95132.04</v>
      </c>
      <c r="I25" s="175">
        <f t="shared" si="8"/>
        <v>175643606.26999998</v>
      </c>
      <c r="J25" s="177">
        <f>100*(I25-B25+C25-D25)/(E25+C25)</f>
        <v>78.23346257026488</v>
      </c>
      <c r="K25" s="177">
        <f aca="true" t="shared" si="9" ref="K25:K34">100*(I25/F25)</f>
        <v>88.46316105263156</v>
      </c>
      <c r="L25" s="178">
        <f aca="true" t="shared" si="10" ref="L25:L34">F25-I25</f>
        <v>22906393.73000002</v>
      </c>
    </row>
    <row r="26" spans="1:12" ht="16.5" hidden="1">
      <c r="A26" s="116" t="s">
        <v>4</v>
      </c>
      <c r="B26" s="47">
        <f aca="true" t="shared" si="11" ref="B26:E27">B8*38</f>
        <v>32355188.159999996</v>
      </c>
      <c r="C26" s="47">
        <f t="shared" si="11"/>
        <v>16417410.978</v>
      </c>
      <c r="D26" s="47">
        <f t="shared" si="11"/>
        <v>34960366.32</v>
      </c>
      <c r="E26" s="47">
        <f t="shared" si="11"/>
        <v>40984445.52</v>
      </c>
      <c r="F26" s="47">
        <f>B26+D26+E26</f>
        <v>108300000</v>
      </c>
      <c r="G26" s="47">
        <v>104283158.14999999</v>
      </c>
      <c r="H26" s="47">
        <v>95132.04</v>
      </c>
      <c r="I26" s="47">
        <f>G26-H26</f>
        <v>104188026.10999998</v>
      </c>
      <c r="J26" s="48">
        <f aca="true" t="shared" si="12" ref="J26:J34">100*(I26-B26+C26-D26)/(E26+C26)</f>
        <v>92.8365141114499</v>
      </c>
      <c r="K26" s="179">
        <f t="shared" si="9"/>
        <v>96.20316353647274</v>
      </c>
      <c r="L26" s="117">
        <f t="shared" si="10"/>
        <v>4111973.8900000155</v>
      </c>
    </row>
    <row r="27" spans="1:12" ht="16.5" hidden="1">
      <c r="A27" s="116" t="s">
        <v>5</v>
      </c>
      <c r="B27" s="47">
        <f t="shared" si="11"/>
        <v>26962656.8</v>
      </c>
      <c r="C27" s="47">
        <f t="shared" si="11"/>
        <v>13681175.815</v>
      </c>
      <c r="D27" s="47">
        <f t="shared" si="11"/>
        <v>29133638.599999998</v>
      </c>
      <c r="E27" s="47">
        <f t="shared" si="11"/>
        <v>34153704.6</v>
      </c>
      <c r="F27" s="47">
        <f>B27+D27+E27</f>
        <v>90250000</v>
      </c>
      <c r="G27" s="47">
        <v>71455580.16</v>
      </c>
      <c r="H27" s="47">
        <v>0</v>
      </c>
      <c r="I27" s="47">
        <f>G27-H27</f>
        <v>71455580.16</v>
      </c>
      <c r="J27" s="48">
        <f t="shared" si="12"/>
        <v>60.709800720842885</v>
      </c>
      <c r="K27" s="48">
        <f t="shared" si="9"/>
        <v>79.17515807202216</v>
      </c>
      <c r="L27" s="117">
        <f t="shared" si="10"/>
        <v>18794419.840000004</v>
      </c>
    </row>
    <row r="28" spans="1:12" ht="16.5" hidden="1">
      <c r="A28" s="174" t="s">
        <v>49</v>
      </c>
      <c r="B28" s="175">
        <f>B29+B30+B31</f>
        <v>40853205.414</v>
      </c>
      <c r="C28" s="176">
        <f aca="true" t="shared" si="13" ref="C28:I28">C29+C30+C31</f>
        <v>20795387.238800004</v>
      </c>
      <c r="D28" s="175">
        <f t="shared" si="13"/>
        <v>43608959.562</v>
      </c>
      <c r="E28" s="175">
        <f t="shared" si="13"/>
        <v>52717835.024000004</v>
      </c>
      <c r="F28" s="175">
        <f t="shared" si="13"/>
        <v>137180000</v>
      </c>
      <c r="G28" s="175">
        <f t="shared" si="13"/>
        <v>91586275.55000001</v>
      </c>
      <c r="H28" s="175">
        <f t="shared" si="13"/>
        <v>48975.44</v>
      </c>
      <c r="I28" s="175">
        <f t="shared" si="13"/>
        <v>91537300.11000001</v>
      </c>
      <c r="J28" s="177">
        <f t="shared" si="12"/>
        <v>37.91225784276822</v>
      </c>
      <c r="K28" s="177">
        <f t="shared" si="9"/>
        <v>66.72787586382856</v>
      </c>
      <c r="L28" s="178">
        <f t="shared" si="10"/>
        <v>45642699.889999986</v>
      </c>
    </row>
    <row r="29" spans="1:12" ht="16.5" hidden="1">
      <c r="A29" s="116" t="s">
        <v>21</v>
      </c>
      <c r="B29" s="47">
        <f aca="true" t="shared" si="14" ref="B29:E31">B11*38</f>
        <v>15051180.942</v>
      </c>
      <c r="C29" s="47">
        <f t="shared" si="14"/>
        <v>7661458.456400001</v>
      </c>
      <c r="D29" s="47">
        <f t="shared" si="14"/>
        <v>16066458.786</v>
      </c>
      <c r="E29" s="47">
        <f t="shared" si="14"/>
        <v>19422360.272</v>
      </c>
      <c r="F29" s="47">
        <f>B29+D29+E29</f>
        <v>50540000</v>
      </c>
      <c r="G29" s="47">
        <v>34097443.34</v>
      </c>
      <c r="H29" s="47">
        <v>0</v>
      </c>
      <c r="I29" s="47">
        <f>G29-H29</f>
        <v>34097443.34</v>
      </c>
      <c r="J29" s="48">
        <f t="shared" si="12"/>
        <v>39.290109622693684</v>
      </c>
      <c r="K29" s="48">
        <f t="shared" si="9"/>
        <v>67.46625116739217</v>
      </c>
      <c r="L29" s="117">
        <f t="shared" si="10"/>
        <v>16442556.659999996</v>
      </c>
    </row>
    <row r="30" spans="1:12" ht="16.5" hidden="1">
      <c r="A30" s="116" t="s">
        <v>22</v>
      </c>
      <c r="B30" s="47">
        <f t="shared" si="14"/>
        <v>15051180.942</v>
      </c>
      <c r="C30" s="47">
        <f t="shared" si="14"/>
        <v>7661458.456400001</v>
      </c>
      <c r="D30" s="47">
        <f t="shared" si="14"/>
        <v>16066458.786</v>
      </c>
      <c r="E30" s="47">
        <f t="shared" si="14"/>
        <v>19422360.272</v>
      </c>
      <c r="F30" s="47">
        <f>B30+D30+E30</f>
        <v>50540000</v>
      </c>
      <c r="G30" s="47">
        <v>38097411.84</v>
      </c>
      <c r="H30" s="47">
        <v>48975.44</v>
      </c>
      <c r="I30" s="47">
        <f>G30-H30</f>
        <v>38048436.400000006</v>
      </c>
      <c r="J30" s="48">
        <f t="shared" si="12"/>
        <v>53.87813023980483</v>
      </c>
      <c r="K30" s="48">
        <f t="shared" si="9"/>
        <v>75.28380767708747</v>
      </c>
      <c r="L30" s="117">
        <f t="shared" si="10"/>
        <v>12491563.599999994</v>
      </c>
    </row>
    <row r="31" spans="1:12" ht="16.5" hidden="1">
      <c r="A31" s="116" t="s">
        <v>38</v>
      </c>
      <c r="B31" s="47">
        <f t="shared" si="14"/>
        <v>10750843.53</v>
      </c>
      <c r="C31" s="47">
        <f t="shared" si="14"/>
        <v>5472470.326</v>
      </c>
      <c r="D31" s="47">
        <f t="shared" si="14"/>
        <v>11476041.989999998</v>
      </c>
      <c r="E31" s="47">
        <f t="shared" si="14"/>
        <v>13873114.48</v>
      </c>
      <c r="F31" s="47">
        <f>B31+D31+E31</f>
        <v>36100000</v>
      </c>
      <c r="G31" s="47">
        <v>19391420.369999997</v>
      </c>
      <c r="H31" s="47">
        <v>0</v>
      </c>
      <c r="I31" s="47">
        <f>G31-H31</f>
        <v>19391420.369999997</v>
      </c>
      <c r="J31" s="48">
        <f t="shared" si="12"/>
        <v>13.63104399502121</v>
      </c>
      <c r="K31" s="48">
        <f t="shared" si="9"/>
        <v>53.715845900277</v>
      </c>
      <c r="L31" s="117">
        <f t="shared" si="10"/>
        <v>16708579.630000003</v>
      </c>
    </row>
    <row r="32" spans="1:12" ht="16.5" hidden="1">
      <c r="A32" s="174" t="s">
        <v>51</v>
      </c>
      <c r="B32" s="175">
        <f>B33+B34</f>
        <v>7549541.376999999</v>
      </c>
      <c r="C32" s="176">
        <f aca="true" t="shared" si="15" ref="C32:I32">C33+C34</f>
        <v>3830729.2282</v>
      </c>
      <c r="D32" s="175">
        <f t="shared" si="15"/>
        <v>8157416.2809999995</v>
      </c>
      <c r="E32" s="175">
        <f t="shared" si="15"/>
        <v>9563042.342</v>
      </c>
      <c r="F32" s="175">
        <f t="shared" si="15"/>
        <v>25270000</v>
      </c>
      <c r="G32" s="175">
        <f t="shared" si="15"/>
        <v>8670792.25</v>
      </c>
      <c r="H32" s="175">
        <f t="shared" si="15"/>
        <v>0</v>
      </c>
      <c r="I32" s="175">
        <f t="shared" si="15"/>
        <v>8670792.25</v>
      </c>
      <c r="J32" s="177">
        <f t="shared" si="12"/>
        <v>-23.932289445131506</v>
      </c>
      <c r="K32" s="177">
        <f t="shared" si="9"/>
        <v>34.31259299564701</v>
      </c>
      <c r="L32" s="178">
        <f t="shared" si="10"/>
        <v>16599207.75</v>
      </c>
    </row>
    <row r="33" spans="1:12" ht="16.5" hidden="1">
      <c r="A33" s="116" t="s">
        <v>23</v>
      </c>
      <c r="B33" s="47">
        <f aca="true" t="shared" si="16" ref="B33:E34">B15*38</f>
        <v>5392529.555</v>
      </c>
      <c r="C33" s="47">
        <f t="shared" si="16"/>
        <v>2736235.1629999997</v>
      </c>
      <c r="D33" s="47">
        <f t="shared" si="16"/>
        <v>5826725.914999999</v>
      </c>
      <c r="E33" s="47">
        <f t="shared" si="16"/>
        <v>6830744.53</v>
      </c>
      <c r="F33" s="47">
        <f>B33+D33+E33</f>
        <v>18050000</v>
      </c>
      <c r="G33" s="47">
        <v>7506197.13</v>
      </c>
      <c r="H33" s="47">
        <v>0</v>
      </c>
      <c r="I33" s="47">
        <f>G33-H33</f>
        <v>7506197.13</v>
      </c>
      <c r="J33" s="48">
        <f t="shared" si="12"/>
        <v>-10.21036114161217</v>
      </c>
      <c r="K33" s="48">
        <f t="shared" si="9"/>
        <v>41.585579667590025</v>
      </c>
      <c r="L33" s="117">
        <f t="shared" si="10"/>
        <v>10543802.870000001</v>
      </c>
    </row>
    <row r="34" spans="1:12" ht="17.25" hidden="1" thickBot="1">
      <c r="A34" s="180" t="s">
        <v>24</v>
      </c>
      <c r="B34" s="181">
        <f t="shared" si="16"/>
        <v>2157011.8219999997</v>
      </c>
      <c r="C34" s="181">
        <f t="shared" si="16"/>
        <v>1094494.0652</v>
      </c>
      <c r="D34" s="181">
        <f t="shared" si="16"/>
        <v>2330690.366</v>
      </c>
      <c r="E34" s="181">
        <f t="shared" si="16"/>
        <v>2732297.8120000004</v>
      </c>
      <c r="F34" s="181">
        <f>B34+D34+E34</f>
        <v>7220000</v>
      </c>
      <c r="G34" s="181">
        <v>1164595.12</v>
      </c>
      <c r="H34" s="181">
        <v>0</v>
      </c>
      <c r="I34" s="181">
        <f>G34-H34</f>
        <v>1164595.12</v>
      </c>
      <c r="J34" s="182">
        <f t="shared" si="12"/>
        <v>-58.23711020392983</v>
      </c>
      <c r="K34" s="182">
        <f t="shared" si="9"/>
        <v>16.130126315789475</v>
      </c>
      <c r="L34" s="183">
        <f t="shared" si="10"/>
        <v>6055404.88</v>
      </c>
    </row>
    <row r="35" ht="17.25" hidden="1" thickTop="1"/>
    <row r="36" ht="16.5" hidden="1"/>
    <row r="37" spans="2:7" ht="16.5" hidden="1">
      <c r="B37" s="88"/>
      <c r="C37" s="88"/>
      <c r="D37" s="88"/>
      <c r="E37" s="88"/>
      <c r="F37" s="88"/>
      <c r="G37" s="88"/>
    </row>
    <row r="38" ht="16.5" hidden="1"/>
  </sheetData>
  <mergeCells count="2">
    <mergeCell ref="A4:A5"/>
    <mergeCell ref="A22:A23"/>
  </mergeCells>
  <printOptions/>
  <pageMargins left="0.1968503937007874" right="0.1968503937007874" top="0.3937007874015748" bottom="0.984251968503937" header="0.5118110236220472" footer="0.5118110236220472"/>
  <pageSetup horizontalDpi="600" verticalDpi="600" orientation="landscape" paperSize="9" r:id="rId1"/>
  <headerFooter alignWithMargins="0">
    <oddHeader>&amp;LPríloha 3h</oddHeader>
  </headerFooter>
  <ignoredErrors>
    <ignoredError sqref="I10 I14 F10:F14 B28:C28 B32:C32 D28:D32 E28:E32 F28:F32 I28:I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A2:M36"/>
  <sheetViews>
    <sheetView workbookViewId="0" topLeftCell="A1">
      <selection activeCell="O4" sqref="O4"/>
    </sheetView>
  </sheetViews>
  <sheetFormatPr defaultColWidth="9.140625" defaultRowHeight="12.75"/>
  <cols>
    <col min="1" max="1" width="23.7109375" style="61" customWidth="1"/>
    <col min="2" max="5" width="13.7109375" style="61" hidden="1" customWidth="1"/>
    <col min="6" max="6" width="13.7109375" style="61" customWidth="1"/>
    <col min="7" max="7" width="16.7109375" style="61" hidden="1" customWidth="1"/>
    <col min="8" max="8" width="14.421875" style="61" hidden="1" customWidth="1"/>
    <col min="9" max="9" width="17.421875" style="61" customWidth="1"/>
    <col min="10" max="10" width="15.7109375" style="61" hidden="1" customWidth="1"/>
    <col min="11" max="11" width="16.57421875" style="61" customWidth="1"/>
    <col min="12" max="12" width="18.140625" style="61" customWidth="1"/>
    <col min="13" max="13" width="13.8515625" style="61" bestFit="1" customWidth="1"/>
    <col min="14" max="16384" width="9.140625" style="61" customWidth="1"/>
  </cols>
  <sheetData>
    <row r="2" spans="1:8" ht="19.5" customHeight="1">
      <c r="A2" s="4" t="s">
        <v>60</v>
      </c>
      <c r="B2" s="4"/>
      <c r="C2" s="4"/>
      <c r="D2" s="4"/>
      <c r="E2" s="4"/>
      <c r="F2" s="4"/>
      <c r="G2" s="4"/>
      <c r="H2" s="4"/>
    </row>
    <row r="3" ht="17.25" thickBot="1"/>
    <row r="4" spans="1:12" ht="57" customHeight="1">
      <c r="A4" s="220" t="s">
        <v>1</v>
      </c>
      <c r="B4" s="62" t="s">
        <v>10</v>
      </c>
      <c r="C4" s="62" t="s">
        <v>3</v>
      </c>
      <c r="D4" s="62" t="s">
        <v>9</v>
      </c>
      <c r="E4" s="62" t="s">
        <v>8</v>
      </c>
      <c r="F4" s="62" t="s">
        <v>7</v>
      </c>
      <c r="G4" s="62" t="s">
        <v>44</v>
      </c>
      <c r="H4" s="62" t="s">
        <v>45</v>
      </c>
      <c r="I4" s="62" t="s">
        <v>57</v>
      </c>
      <c r="J4" s="62" t="s">
        <v>11</v>
      </c>
      <c r="K4" s="62" t="s">
        <v>46</v>
      </c>
      <c r="L4" s="63" t="s">
        <v>14</v>
      </c>
    </row>
    <row r="5" spans="1:12" ht="18.75" customHeight="1" thickBot="1">
      <c r="A5" s="221"/>
      <c r="B5" s="64" t="s">
        <v>0</v>
      </c>
      <c r="C5" s="64" t="s">
        <v>0</v>
      </c>
      <c r="D5" s="64" t="s">
        <v>0</v>
      </c>
      <c r="E5" s="64" t="s">
        <v>0</v>
      </c>
      <c r="F5" s="64" t="s">
        <v>0</v>
      </c>
      <c r="G5" s="64" t="s">
        <v>0</v>
      </c>
      <c r="H5" s="64" t="s">
        <v>0</v>
      </c>
      <c r="I5" s="64" t="s">
        <v>0</v>
      </c>
      <c r="J5" s="64" t="s">
        <v>2</v>
      </c>
      <c r="K5" s="64" t="s">
        <v>2</v>
      </c>
      <c r="L5" s="65" t="s">
        <v>0</v>
      </c>
    </row>
    <row r="6" spans="1:12" ht="19.5" customHeight="1" thickTop="1">
      <c r="A6" s="91" t="s">
        <v>61</v>
      </c>
      <c r="B6" s="92">
        <f>B7+B11+B14</f>
        <v>1491146</v>
      </c>
      <c r="C6" s="92">
        <v>746767.84</v>
      </c>
      <c r="D6" s="92">
        <f aca="true" t="shared" si="0" ref="D6:I6">D7+D11+D14</f>
        <v>1521153</v>
      </c>
      <c r="E6" s="92">
        <f t="shared" si="0"/>
        <v>1655000</v>
      </c>
      <c r="F6" s="92">
        <f t="shared" si="0"/>
        <v>4667299</v>
      </c>
      <c r="G6" s="92">
        <f t="shared" si="0"/>
        <v>3911987.46</v>
      </c>
      <c r="H6" s="92">
        <f t="shared" si="0"/>
        <v>1855.6299999999999</v>
      </c>
      <c r="I6" s="92">
        <f t="shared" si="0"/>
        <v>3910131.8299999996</v>
      </c>
      <c r="J6" s="93">
        <f>100*(I6-B6+C6-D6)/(E6+C6)</f>
        <v>68.47458953401589</v>
      </c>
      <c r="K6" s="93">
        <f>100*(I6/F6)</f>
        <v>83.77718740539227</v>
      </c>
      <c r="L6" s="94">
        <f>F6-I6</f>
        <v>757167.1700000004</v>
      </c>
    </row>
    <row r="7" spans="1:12" ht="13.5" customHeight="1">
      <c r="A7" s="75" t="s">
        <v>48</v>
      </c>
      <c r="B7" s="47">
        <f>B8+B9+B10</f>
        <v>447344</v>
      </c>
      <c r="C7" s="47">
        <f>C8+C9+C10</f>
        <v>224030.55999999997</v>
      </c>
      <c r="D7" s="47">
        <f aca="true" t="shared" si="1" ref="D7:I7">D8+D9+D10</f>
        <v>541628</v>
      </c>
      <c r="E7" s="47">
        <f t="shared" si="1"/>
        <v>411219</v>
      </c>
      <c r="F7" s="47">
        <f>F8+F9+F10</f>
        <v>1400191</v>
      </c>
      <c r="G7" s="47">
        <f t="shared" si="1"/>
        <v>1054932.23</v>
      </c>
      <c r="H7" s="47">
        <f t="shared" si="1"/>
        <v>1855.6299999999999</v>
      </c>
      <c r="I7" s="47">
        <f t="shared" si="1"/>
        <v>1053076.5999999999</v>
      </c>
      <c r="J7" s="48">
        <f>100*(I7-B7+C7-D7)/(E7+C7)</f>
        <v>45.35778977950017</v>
      </c>
      <c r="K7" s="48">
        <f aca="true" t="shared" si="2" ref="K7:K16">100*(I7/F7)</f>
        <v>75.20949641870287</v>
      </c>
      <c r="L7" s="74">
        <f>F7-I7</f>
        <v>347114.40000000014</v>
      </c>
    </row>
    <row r="8" spans="1:12" ht="13.5" customHeight="1">
      <c r="A8" s="72" t="s">
        <v>4</v>
      </c>
      <c r="B8" s="47">
        <v>134203</v>
      </c>
      <c r="C8" s="47">
        <v>67209.12</v>
      </c>
      <c r="D8" s="47">
        <v>136904</v>
      </c>
      <c r="E8" s="47">
        <v>148950</v>
      </c>
      <c r="F8" s="47">
        <f>B8+D8+E8</f>
        <v>420057</v>
      </c>
      <c r="G8" s="47">
        <v>342496.74</v>
      </c>
      <c r="H8" s="47">
        <v>40.75</v>
      </c>
      <c r="I8" s="47">
        <f>G8-H8</f>
        <v>342455.99</v>
      </c>
      <c r="J8" s="48">
        <f aca="true" t="shared" si="3" ref="J8:J16">100*(I8-B8+C8-D8)/(E8+C8)</f>
        <v>64.10005277593653</v>
      </c>
      <c r="K8" s="48">
        <f t="shared" si="2"/>
        <v>81.52607622298879</v>
      </c>
      <c r="L8" s="74">
        <f aca="true" t="shared" si="4" ref="L8:L16">F8-I8</f>
        <v>77601.01000000001</v>
      </c>
    </row>
    <row r="9" spans="1:12" ht="13.5" customHeight="1">
      <c r="A9" s="72" t="s">
        <v>5</v>
      </c>
      <c r="B9" s="47">
        <v>141659</v>
      </c>
      <c r="C9" s="47">
        <v>70943.04</v>
      </c>
      <c r="D9" s="47">
        <v>229791</v>
      </c>
      <c r="E9" s="47">
        <v>71944</v>
      </c>
      <c r="F9" s="47">
        <f>B9+D9+E9</f>
        <v>443394</v>
      </c>
      <c r="G9" s="47">
        <v>308870.99</v>
      </c>
      <c r="H9" s="47">
        <v>1190.34</v>
      </c>
      <c r="I9" s="47">
        <f>G9-H9</f>
        <v>307680.64999999997</v>
      </c>
      <c r="J9" s="48">
        <f t="shared" si="3"/>
        <v>5.02053230299959</v>
      </c>
      <c r="K9" s="48">
        <f t="shared" si="2"/>
        <v>69.39215460741461</v>
      </c>
      <c r="L9" s="74">
        <f t="shared" si="4"/>
        <v>135713.35000000003</v>
      </c>
    </row>
    <row r="10" spans="1:12" ht="13.5" customHeight="1">
      <c r="A10" s="72" t="s">
        <v>6</v>
      </c>
      <c r="B10" s="47">
        <v>171482</v>
      </c>
      <c r="C10" s="47">
        <v>85878.4</v>
      </c>
      <c r="D10" s="47">
        <v>174933</v>
      </c>
      <c r="E10" s="47">
        <v>190325</v>
      </c>
      <c r="F10" s="47">
        <f>B10+D10+E10</f>
        <v>536740</v>
      </c>
      <c r="G10" s="47">
        <v>403564.5</v>
      </c>
      <c r="H10" s="47">
        <v>624.54</v>
      </c>
      <c r="I10" s="47">
        <f>G10-H10</f>
        <v>402939.96</v>
      </c>
      <c r="J10" s="48">
        <f t="shared" si="3"/>
        <v>51.55742470947134</v>
      </c>
      <c r="K10" s="48">
        <f t="shared" si="2"/>
        <v>75.07172187651378</v>
      </c>
      <c r="L10" s="74">
        <f t="shared" si="4"/>
        <v>133800.03999999998</v>
      </c>
    </row>
    <row r="11" spans="1:12" ht="13.5" customHeight="1">
      <c r="A11" s="75" t="s">
        <v>49</v>
      </c>
      <c r="B11" s="47">
        <f>B12+B13</f>
        <v>939422</v>
      </c>
      <c r="C11" s="47">
        <f aca="true" t="shared" si="5" ref="C11:I11">C12+C13</f>
        <v>470463.68</v>
      </c>
      <c r="D11" s="47">
        <f t="shared" si="5"/>
        <v>873045</v>
      </c>
      <c r="E11" s="47">
        <f t="shared" si="5"/>
        <v>1127931</v>
      </c>
      <c r="F11" s="47">
        <f t="shared" si="5"/>
        <v>2940398</v>
      </c>
      <c r="G11" s="47">
        <f t="shared" si="5"/>
        <v>2628288.46</v>
      </c>
      <c r="H11" s="47">
        <f t="shared" si="5"/>
        <v>0</v>
      </c>
      <c r="I11" s="47">
        <f t="shared" si="5"/>
        <v>2628288.46</v>
      </c>
      <c r="J11" s="48">
        <f t="shared" si="3"/>
        <v>80.47356238698192</v>
      </c>
      <c r="K11" s="48">
        <f t="shared" si="2"/>
        <v>89.3854661851899</v>
      </c>
      <c r="L11" s="74">
        <f t="shared" si="4"/>
        <v>312109.54000000004</v>
      </c>
    </row>
    <row r="12" spans="1:12" ht="13.5" customHeight="1">
      <c r="A12" s="72" t="s">
        <v>21</v>
      </c>
      <c r="B12" s="47">
        <v>477167</v>
      </c>
      <c r="C12" s="47">
        <v>340907.36</v>
      </c>
      <c r="D12" s="47">
        <v>525573</v>
      </c>
      <c r="E12" s="47">
        <v>1127931</v>
      </c>
      <c r="F12" s="47">
        <f>B12+D12+E12</f>
        <v>2130671</v>
      </c>
      <c r="G12" s="47">
        <v>1918952.49</v>
      </c>
      <c r="H12" s="47">
        <v>0</v>
      </c>
      <c r="I12" s="47">
        <f>G12-H12</f>
        <v>1918952.49</v>
      </c>
      <c r="J12" s="48">
        <f t="shared" si="3"/>
        <v>85.58598987025368</v>
      </c>
      <c r="K12" s="48">
        <f t="shared" si="2"/>
        <v>90.06329414536548</v>
      </c>
      <c r="L12" s="74">
        <f t="shared" si="4"/>
        <v>211718.51</v>
      </c>
    </row>
    <row r="13" spans="1:12" ht="13.5" customHeight="1">
      <c r="A13" s="72" t="s">
        <v>22</v>
      </c>
      <c r="B13" s="47">
        <v>462255</v>
      </c>
      <c r="C13" s="47">
        <v>129556.32</v>
      </c>
      <c r="D13" s="47">
        <v>347472</v>
      </c>
      <c r="E13" s="47">
        <v>0</v>
      </c>
      <c r="F13" s="47">
        <f>B13+D13+E13</f>
        <v>809727</v>
      </c>
      <c r="G13" s="47">
        <v>709335.97</v>
      </c>
      <c r="H13" s="47">
        <v>0</v>
      </c>
      <c r="I13" s="47">
        <f>G13-H13</f>
        <v>709335.97</v>
      </c>
      <c r="J13" s="48">
        <f t="shared" si="3"/>
        <v>22.511669056360954</v>
      </c>
      <c r="K13" s="48">
        <f t="shared" si="2"/>
        <v>87.60186704901776</v>
      </c>
      <c r="L13" s="74">
        <f t="shared" si="4"/>
        <v>100391.03000000003</v>
      </c>
    </row>
    <row r="14" spans="1:12" ht="13.5" customHeight="1">
      <c r="A14" s="75" t="s">
        <v>51</v>
      </c>
      <c r="B14" s="47">
        <f>B15+B16</f>
        <v>104380</v>
      </c>
      <c r="C14" s="47">
        <f aca="true" t="shared" si="6" ref="C14:I14">C15+C16</f>
        <v>52273.6</v>
      </c>
      <c r="D14" s="47">
        <f t="shared" si="6"/>
        <v>106480</v>
      </c>
      <c r="E14" s="47">
        <f t="shared" si="6"/>
        <v>115850</v>
      </c>
      <c r="F14" s="47">
        <f t="shared" si="6"/>
        <v>326710</v>
      </c>
      <c r="G14" s="47">
        <f t="shared" si="6"/>
        <v>228766.77000000002</v>
      </c>
      <c r="H14" s="47">
        <f t="shared" si="6"/>
        <v>0</v>
      </c>
      <c r="I14" s="47">
        <f t="shared" si="6"/>
        <v>228766.77000000002</v>
      </c>
      <c r="J14" s="48">
        <f t="shared" si="3"/>
        <v>41.74331860607317</v>
      </c>
      <c r="K14" s="48">
        <f t="shared" si="2"/>
        <v>70.02135533041536</v>
      </c>
      <c r="L14" s="74">
        <f t="shared" si="4"/>
        <v>97943.22999999998</v>
      </c>
    </row>
    <row r="15" spans="1:12" ht="13.5" customHeight="1">
      <c r="A15" s="72" t="s">
        <v>23</v>
      </c>
      <c r="B15" s="47">
        <v>74557</v>
      </c>
      <c r="C15" s="47">
        <v>37338.24</v>
      </c>
      <c r="D15" s="47">
        <v>76057</v>
      </c>
      <c r="E15" s="47">
        <v>82750</v>
      </c>
      <c r="F15" s="47">
        <f>B15+D15+E15</f>
        <v>233364</v>
      </c>
      <c r="G15" s="47">
        <v>171430.69</v>
      </c>
      <c r="H15" s="47">
        <v>0</v>
      </c>
      <c r="I15" s="47">
        <f>G15-H15</f>
        <v>171430.69</v>
      </c>
      <c r="J15" s="48">
        <f t="shared" si="3"/>
        <v>48.42683180301418</v>
      </c>
      <c r="K15" s="48">
        <f t="shared" si="2"/>
        <v>73.46064088719768</v>
      </c>
      <c r="L15" s="74">
        <f t="shared" si="4"/>
        <v>61933.31</v>
      </c>
    </row>
    <row r="16" spans="1:12" ht="13.5" customHeight="1" thickBot="1">
      <c r="A16" s="95" t="s">
        <v>24</v>
      </c>
      <c r="B16" s="96">
        <v>29823</v>
      </c>
      <c r="C16" s="96">
        <v>14935.36</v>
      </c>
      <c r="D16" s="96">
        <v>30423</v>
      </c>
      <c r="E16" s="96">
        <v>33100</v>
      </c>
      <c r="F16" s="96">
        <f>B16+D16+E16</f>
        <v>93346</v>
      </c>
      <c r="G16" s="96">
        <v>57336.08</v>
      </c>
      <c r="H16" s="96">
        <v>0</v>
      </c>
      <c r="I16" s="96">
        <f>G16-H16</f>
        <v>57336.08</v>
      </c>
      <c r="J16" s="97">
        <f t="shared" si="3"/>
        <v>25.03455787569824</v>
      </c>
      <c r="K16" s="97">
        <f t="shared" si="2"/>
        <v>61.42317828294732</v>
      </c>
      <c r="L16" s="98">
        <f t="shared" si="4"/>
        <v>36009.92</v>
      </c>
    </row>
    <row r="18" ht="16.5" hidden="1">
      <c r="F18" s="89"/>
    </row>
    <row r="19" spans="1:8" ht="21" customHeight="1" hidden="1">
      <c r="A19" s="4" t="s">
        <v>62</v>
      </c>
      <c r="B19" s="4"/>
      <c r="C19" s="4"/>
      <c r="D19" s="4"/>
      <c r="E19" s="4"/>
      <c r="F19" s="4"/>
      <c r="G19" s="4"/>
      <c r="H19" s="4"/>
    </row>
    <row r="20" ht="17.25" hidden="1" thickBot="1"/>
    <row r="21" spans="1:12" ht="66.75" hidden="1" thickTop="1">
      <c r="A21" s="224" t="s">
        <v>1</v>
      </c>
      <c r="B21" s="104" t="s">
        <v>10</v>
      </c>
      <c r="C21" s="104" t="s">
        <v>3</v>
      </c>
      <c r="D21" s="104" t="s">
        <v>9</v>
      </c>
      <c r="E21" s="104" t="s">
        <v>8</v>
      </c>
      <c r="F21" s="104" t="s">
        <v>7</v>
      </c>
      <c r="G21" s="104" t="s">
        <v>44</v>
      </c>
      <c r="H21" s="104" t="s">
        <v>45</v>
      </c>
      <c r="I21" s="104" t="s">
        <v>57</v>
      </c>
      <c r="J21" s="104" t="s">
        <v>11</v>
      </c>
      <c r="K21" s="104" t="s">
        <v>46</v>
      </c>
      <c r="L21" s="105" t="s">
        <v>14</v>
      </c>
    </row>
    <row r="22" spans="1:12" ht="17.25" hidden="1" thickBot="1">
      <c r="A22" s="225"/>
      <c r="B22" s="106" t="s">
        <v>55</v>
      </c>
      <c r="C22" s="106" t="s">
        <v>55</v>
      </c>
      <c r="D22" s="106" t="s">
        <v>55</v>
      </c>
      <c r="E22" s="106" t="s">
        <v>55</v>
      </c>
      <c r="F22" s="106" t="s">
        <v>55</v>
      </c>
      <c r="G22" s="106" t="s">
        <v>55</v>
      </c>
      <c r="H22" s="106" t="s">
        <v>55</v>
      </c>
      <c r="I22" s="106" t="s">
        <v>55</v>
      </c>
      <c r="J22" s="106" t="s">
        <v>2</v>
      </c>
      <c r="K22" s="106" t="s">
        <v>2</v>
      </c>
      <c r="L22" s="107" t="s">
        <v>55</v>
      </c>
    </row>
    <row r="23" spans="1:13" ht="16.5" hidden="1">
      <c r="A23" s="184" t="s">
        <v>61</v>
      </c>
      <c r="B23" s="185">
        <f>B24+B28+B31</f>
        <v>56663548</v>
      </c>
      <c r="C23" s="185">
        <f>C24+C28+C31</f>
        <v>28377177.919999998</v>
      </c>
      <c r="D23" s="185">
        <f aca="true" t="shared" si="7" ref="D23:I23">D24+D28+D31</f>
        <v>57803814</v>
      </c>
      <c r="E23" s="185">
        <f t="shared" si="7"/>
        <v>62890000</v>
      </c>
      <c r="F23" s="185">
        <f t="shared" si="7"/>
        <v>177357362</v>
      </c>
      <c r="G23" s="185">
        <f t="shared" si="7"/>
        <v>134461850.92000002</v>
      </c>
      <c r="H23" s="185">
        <f t="shared" si="7"/>
        <v>69424.95</v>
      </c>
      <c r="I23" s="185">
        <f t="shared" si="7"/>
        <v>134392425.97</v>
      </c>
      <c r="J23" s="186">
        <f>100*(I23-B23+C23-D23)/(E23+C23)</f>
        <v>52.92400070958609</v>
      </c>
      <c r="K23" s="186">
        <f>100*(I23/F23)</f>
        <v>75.77493511095412</v>
      </c>
      <c r="L23" s="187">
        <f>F23-I23</f>
        <v>42964936.03</v>
      </c>
      <c r="M23" s="88"/>
    </row>
    <row r="24" spans="1:12" ht="16.5" hidden="1">
      <c r="A24" s="188" t="s">
        <v>48</v>
      </c>
      <c r="B24" s="189">
        <f aca="true" t="shared" si="8" ref="B24:I24">B25+B26+B27</f>
        <v>16999072</v>
      </c>
      <c r="C24" s="189">
        <f t="shared" si="8"/>
        <v>8513161.28</v>
      </c>
      <c r="D24" s="189">
        <f t="shared" si="8"/>
        <v>20581864</v>
      </c>
      <c r="E24" s="189">
        <f t="shared" si="8"/>
        <v>15626322</v>
      </c>
      <c r="F24" s="189">
        <f t="shared" si="8"/>
        <v>53207258</v>
      </c>
      <c r="G24" s="189">
        <f t="shared" si="8"/>
        <v>36038436.79000001</v>
      </c>
      <c r="H24" s="189">
        <f t="shared" si="8"/>
        <v>69424.95</v>
      </c>
      <c r="I24" s="189">
        <f t="shared" si="8"/>
        <v>35969011.84</v>
      </c>
      <c r="J24" s="190">
        <f>100*(I24-B24+C24-D24)/(E24+C24)</f>
        <v>28.58900101526947</v>
      </c>
      <c r="K24" s="190">
        <f aca="true" t="shared" si="9" ref="K24:K33">100*(I24/F24)</f>
        <v>67.60170170768808</v>
      </c>
      <c r="L24" s="191">
        <f>F24-I24</f>
        <v>17238246.159999996</v>
      </c>
    </row>
    <row r="25" spans="1:12" ht="16.5" hidden="1">
      <c r="A25" s="116" t="s">
        <v>4</v>
      </c>
      <c r="B25" s="47">
        <f aca="true" t="shared" si="10" ref="B25:E27">B8*38</f>
        <v>5099714</v>
      </c>
      <c r="C25" s="47">
        <f t="shared" si="10"/>
        <v>2553946.5599999996</v>
      </c>
      <c r="D25" s="47">
        <f t="shared" si="10"/>
        <v>5202352</v>
      </c>
      <c r="E25" s="47">
        <f t="shared" si="10"/>
        <v>5660100</v>
      </c>
      <c r="F25" s="47">
        <f>B25+D25+E25</f>
        <v>15962166</v>
      </c>
      <c r="G25" s="47">
        <v>12018570.830000002</v>
      </c>
      <c r="H25" s="47">
        <v>1551.65</v>
      </c>
      <c r="I25" s="47">
        <f>G25-H25</f>
        <v>12017019.180000002</v>
      </c>
      <c r="J25" s="48">
        <f aca="true" t="shared" si="11" ref="J25:J33">100*(I25-B25+C25-D25)/(E25+C25)</f>
        <v>51.97072732443828</v>
      </c>
      <c r="K25" s="48">
        <f t="shared" si="9"/>
        <v>75.2843892238685</v>
      </c>
      <c r="L25" s="117">
        <f aca="true" t="shared" si="12" ref="L25:L33">F25-I25</f>
        <v>3945146.8199999984</v>
      </c>
    </row>
    <row r="26" spans="1:12" ht="16.5" hidden="1">
      <c r="A26" s="116" t="s">
        <v>5</v>
      </c>
      <c r="B26" s="47">
        <f t="shared" si="10"/>
        <v>5383042</v>
      </c>
      <c r="C26" s="47">
        <f t="shared" si="10"/>
        <v>2695835.5199999996</v>
      </c>
      <c r="D26" s="47">
        <f t="shared" si="10"/>
        <v>8732058</v>
      </c>
      <c r="E26" s="47">
        <f t="shared" si="10"/>
        <v>2733872</v>
      </c>
      <c r="F26" s="47">
        <f>B26+D26+E26</f>
        <v>16848972</v>
      </c>
      <c r="G26" s="47">
        <v>10532730.190000001</v>
      </c>
      <c r="H26" s="47">
        <v>44365</v>
      </c>
      <c r="I26" s="47">
        <f>G26-H26</f>
        <v>10488365.190000001</v>
      </c>
      <c r="J26" s="48">
        <f t="shared" si="11"/>
        <v>-17.14455680294174</v>
      </c>
      <c r="K26" s="48">
        <f t="shared" si="9"/>
        <v>62.249288502586396</v>
      </c>
      <c r="L26" s="117">
        <f t="shared" si="12"/>
        <v>6360606.809999999</v>
      </c>
    </row>
    <row r="27" spans="1:12" ht="16.5" hidden="1">
      <c r="A27" s="116" t="s">
        <v>6</v>
      </c>
      <c r="B27" s="47">
        <f t="shared" si="10"/>
        <v>6516316</v>
      </c>
      <c r="C27" s="47">
        <f t="shared" si="10"/>
        <v>3263379.1999999997</v>
      </c>
      <c r="D27" s="47">
        <f t="shared" si="10"/>
        <v>6647454</v>
      </c>
      <c r="E27" s="47">
        <f t="shared" si="10"/>
        <v>7232350</v>
      </c>
      <c r="F27" s="47">
        <f>B27+D27+E27</f>
        <v>20396120</v>
      </c>
      <c r="G27" s="47">
        <v>13487135.77</v>
      </c>
      <c r="H27" s="47">
        <v>23508.3</v>
      </c>
      <c r="I27" s="47">
        <f>G27-H27</f>
        <v>13463627.469999999</v>
      </c>
      <c r="J27" s="48">
        <f t="shared" si="11"/>
        <v>33.94939600766375</v>
      </c>
      <c r="K27" s="48">
        <f t="shared" si="9"/>
        <v>66.0107288543115</v>
      </c>
      <c r="L27" s="117">
        <f t="shared" si="12"/>
        <v>6932492.530000001</v>
      </c>
    </row>
    <row r="28" spans="1:12" ht="16.5" hidden="1">
      <c r="A28" s="188" t="s">
        <v>49</v>
      </c>
      <c r="B28" s="189">
        <f>B29+B30</f>
        <v>35698036</v>
      </c>
      <c r="C28" s="189">
        <f aca="true" t="shared" si="13" ref="C28:I28">C29+C30</f>
        <v>17877619.84</v>
      </c>
      <c r="D28" s="189">
        <f t="shared" si="13"/>
        <v>33175710</v>
      </c>
      <c r="E28" s="189">
        <f t="shared" si="13"/>
        <v>42861378</v>
      </c>
      <c r="F28" s="189">
        <f t="shared" si="13"/>
        <v>111735124</v>
      </c>
      <c r="G28" s="189">
        <f t="shared" si="13"/>
        <v>90442569.39</v>
      </c>
      <c r="H28" s="189">
        <f t="shared" si="13"/>
        <v>0</v>
      </c>
      <c r="I28" s="189">
        <f t="shared" si="13"/>
        <v>90442569.39</v>
      </c>
      <c r="J28" s="190">
        <f t="shared" si="11"/>
        <v>64.94417858837693</v>
      </c>
      <c r="K28" s="190">
        <f t="shared" si="9"/>
        <v>80.94372311252816</v>
      </c>
      <c r="L28" s="191">
        <f t="shared" si="12"/>
        <v>21292554.61</v>
      </c>
    </row>
    <row r="29" spans="1:12" ht="16.5" hidden="1">
      <c r="A29" s="116" t="s">
        <v>21</v>
      </c>
      <c r="B29" s="47">
        <f aca="true" t="shared" si="14" ref="B29:E30">B12*38</f>
        <v>18132346</v>
      </c>
      <c r="C29" s="47">
        <f t="shared" si="14"/>
        <v>12954479.68</v>
      </c>
      <c r="D29" s="47">
        <f t="shared" si="14"/>
        <v>19971774</v>
      </c>
      <c r="E29" s="47">
        <f t="shared" si="14"/>
        <v>42861378</v>
      </c>
      <c r="F29" s="47">
        <f>B29+D29+E29</f>
        <v>80965498</v>
      </c>
      <c r="G29" s="47">
        <v>67167033.93</v>
      </c>
      <c r="H29" s="47">
        <v>0</v>
      </c>
      <c r="I29" s="47">
        <f>G29-H29</f>
        <v>67167033.93</v>
      </c>
      <c r="J29" s="48">
        <f t="shared" si="11"/>
        <v>75.27859528897955</v>
      </c>
      <c r="K29" s="48">
        <f t="shared" si="9"/>
        <v>82.95759995201908</v>
      </c>
      <c r="L29" s="117">
        <f t="shared" si="12"/>
        <v>13798464.069999993</v>
      </c>
    </row>
    <row r="30" spans="1:12" ht="16.5" hidden="1">
      <c r="A30" s="116" t="s">
        <v>22</v>
      </c>
      <c r="B30" s="47">
        <f t="shared" si="14"/>
        <v>17565690</v>
      </c>
      <c r="C30" s="47">
        <f t="shared" si="14"/>
        <v>4923140.16</v>
      </c>
      <c r="D30" s="47">
        <f t="shared" si="14"/>
        <v>13203936</v>
      </c>
      <c r="E30" s="47">
        <f t="shared" si="14"/>
        <v>0</v>
      </c>
      <c r="F30" s="47">
        <f>B30+D30+E30</f>
        <v>30769626</v>
      </c>
      <c r="G30" s="47">
        <v>23275535.459999997</v>
      </c>
      <c r="H30" s="47">
        <v>0</v>
      </c>
      <c r="I30" s="47">
        <f>G30-H30</f>
        <v>23275535.459999997</v>
      </c>
      <c r="J30" s="48">
        <f t="shared" si="11"/>
        <v>-52.2217588052582</v>
      </c>
      <c r="K30" s="48">
        <f t="shared" si="9"/>
        <v>75.64451859115869</v>
      </c>
      <c r="L30" s="117">
        <f t="shared" si="12"/>
        <v>7494090.540000003</v>
      </c>
    </row>
    <row r="31" spans="1:12" ht="16.5" hidden="1">
      <c r="A31" s="188" t="s">
        <v>51</v>
      </c>
      <c r="B31" s="189">
        <f>B32+B33</f>
        <v>3966440</v>
      </c>
      <c r="C31" s="189">
        <f aca="true" t="shared" si="15" ref="C31:I31">C32+C33</f>
        <v>1986396.7999999998</v>
      </c>
      <c r="D31" s="189">
        <f t="shared" si="15"/>
        <v>4046240</v>
      </c>
      <c r="E31" s="189">
        <f t="shared" si="15"/>
        <v>4402300</v>
      </c>
      <c r="F31" s="189">
        <f t="shared" si="15"/>
        <v>12414980</v>
      </c>
      <c r="G31" s="189">
        <f t="shared" si="15"/>
        <v>7980844.74</v>
      </c>
      <c r="H31" s="189">
        <f t="shared" si="15"/>
        <v>0</v>
      </c>
      <c r="I31" s="189">
        <f t="shared" si="15"/>
        <v>7980844.74</v>
      </c>
      <c r="J31" s="190">
        <f t="shared" si="11"/>
        <v>30.594056991403946</v>
      </c>
      <c r="K31" s="190">
        <f t="shared" si="9"/>
        <v>64.28399191943926</v>
      </c>
      <c r="L31" s="191">
        <f t="shared" si="12"/>
        <v>4434135.26</v>
      </c>
    </row>
    <row r="32" spans="1:12" ht="16.5" hidden="1">
      <c r="A32" s="116" t="s">
        <v>23</v>
      </c>
      <c r="B32" s="47">
        <f aca="true" t="shared" si="16" ref="B32:E33">B15*38</f>
        <v>2833166</v>
      </c>
      <c r="C32" s="47">
        <f t="shared" si="16"/>
        <v>1418853.1199999999</v>
      </c>
      <c r="D32" s="47">
        <f t="shared" si="16"/>
        <v>2890166</v>
      </c>
      <c r="E32" s="47">
        <f t="shared" si="16"/>
        <v>3144500</v>
      </c>
      <c r="F32" s="47">
        <f>B32+D32+E32</f>
        <v>8867832</v>
      </c>
      <c r="G32" s="47">
        <v>5861670.77</v>
      </c>
      <c r="H32" s="47">
        <v>0</v>
      </c>
      <c r="I32" s="47">
        <f>G32-H32</f>
        <v>5861670.77</v>
      </c>
      <c r="J32" s="48">
        <f t="shared" si="11"/>
        <v>34.12385254989865</v>
      </c>
      <c r="K32" s="48">
        <f t="shared" si="9"/>
        <v>66.10038135589397</v>
      </c>
      <c r="L32" s="117">
        <f t="shared" si="12"/>
        <v>3006161.2300000004</v>
      </c>
    </row>
    <row r="33" spans="1:12" ht="17.25" hidden="1" thickBot="1">
      <c r="A33" s="180" t="s">
        <v>24</v>
      </c>
      <c r="B33" s="181">
        <f t="shared" si="16"/>
        <v>1133274</v>
      </c>
      <c r="C33" s="181">
        <f t="shared" si="16"/>
        <v>567543.68</v>
      </c>
      <c r="D33" s="181">
        <f t="shared" si="16"/>
        <v>1156074</v>
      </c>
      <c r="E33" s="181">
        <f t="shared" si="16"/>
        <v>1257800</v>
      </c>
      <c r="F33" s="181">
        <f>B33+D33+E33</f>
        <v>3547148</v>
      </c>
      <c r="G33" s="181">
        <v>2119173.97</v>
      </c>
      <c r="H33" s="181">
        <v>0</v>
      </c>
      <c r="I33" s="181">
        <f>G33-H33</f>
        <v>2119173.97</v>
      </c>
      <c r="J33" s="182">
        <f t="shared" si="11"/>
        <v>21.76957985249114</v>
      </c>
      <c r="K33" s="182">
        <f t="shared" si="9"/>
        <v>59.74303778697704</v>
      </c>
      <c r="L33" s="183">
        <f t="shared" si="12"/>
        <v>1427974.0299999998</v>
      </c>
    </row>
    <row r="34" ht="17.25" hidden="1" thickTop="1"/>
    <row r="35" ht="16.5" hidden="1"/>
    <row r="36" spans="2:6" ht="16.5" hidden="1">
      <c r="B36" s="88"/>
      <c r="C36" s="88"/>
      <c r="D36" s="88"/>
      <c r="E36" s="88"/>
      <c r="F36" s="88"/>
    </row>
    <row r="37" ht="16.5" hidden="1"/>
  </sheetData>
  <mergeCells count="2">
    <mergeCell ref="A4:A5"/>
    <mergeCell ref="A21:A22"/>
  </mergeCells>
  <printOptions/>
  <pageMargins left="0.1968503937007874" right="0.1968503937007874" top="0.5905511811023623" bottom="0.984251968503937" header="0.5118110236220472" footer="0.5118110236220472"/>
  <pageSetup horizontalDpi="600" verticalDpi="600" orientation="landscape" paperSize="9" r:id="rId1"/>
  <headerFooter alignWithMargins="0">
    <oddHeader>&amp;LPríloha 3i</oddHeader>
  </headerFooter>
  <ignoredErrors>
    <ignoredError sqref="F11:F14 I14 I11 B28:B31 C28:C31 D28 D31 E28:E31 F28:F31 I28:I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ekulinova</dc:creator>
  <cp:keywords/>
  <dc:description/>
  <cp:lastModifiedBy>MFSR</cp:lastModifiedBy>
  <cp:lastPrinted>2008-06-25T08:01:36Z</cp:lastPrinted>
  <dcterms:created xsi:type="dcterms:W3CDTF">2006-01-03T13:05:47Z</dcterms:created>
  <dcterms:modified xsi:type="dcterms:W3CDTF">2008-06-25T08:02:12Z</dcterms:modified>
  <cp:category/>
  <cp:version/>
  <cp:contentType/>
  <cp:contentStatus/>
</cp:coreProperties>
</file>