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45" tabRatio="601" activeTab="2"/>
  </bookViews>
  <sheets>
    <sheet name="Príloha č. 1a)" sheetId="1" r:id="rId1"/>
    <sheet name="Príloha č. 1b)" sheetId="2" r:id="rId2"/>
    <sheet name="Príloha č. 1c)" sheetId="3" r:id="rId3"/>
  </sheets>
  <definedNames>
    <definedName name="OLE_LINK1" localSheetId="0">'Príloha č. 1a)'!$C$160</definedName>
  </definedNames>
  <calcPr fullCalcOnLoad="1"/>
</workbook>
</file>

<file path=xl/sharedStrings.xml><?xml version="1.0" encoding="utf-8"?>
<sst xmlns="http://schemas.openxmlformats.org/spreadsheetml/2006/main" count="1167" uniqueCount="348">
  <si>
    <t>O</t>
  </si>
  <si>
    <t>N</t>
  </si>
  <si>
    <t>Rezort</t>
  </si>
  <si>
    <t xml:space="preserve">Administratívne kapacity
</t>
  </si>
  <si>
    <t>Názov útvaru 
(odbor / sekcia)</t>
  </si>
  <si>
    <r>
      <t>Počet neobsadených 
pracovných miest
k 29.2.2004 
(oprávnené a neoprávnené)</t>
    </r>
    <r>
      <rPr>
        <b/>
        <vertAlign val="superscript"/>
        <sz val="10"/>
        <rFont val="Arial CE"/>
        <family val="2"/>
      </rPr>
      <t>3</t>
    </r>
  </si>
  <si>
    <t>MVRR SR</t>
  </si>
  <si>
    <t>OP ZI</t>
  </si>
  <si>
    <t>RO</t>
  </si>
  <si>
    <t>5-75%-100%</t>
  </si>
  <si>
    <t>2-75%-100%</t>
  </si>
  <si>
    <t>Administratívne kapacity</t>
  </si>
  <si>
    <t>9-75%-100%</t>
  </si>
  <si>
    <t>19-75%-100%</t>
  </si>
  <si>
    <t xml:space="preserve">kontrola </t>
  </si>
  <si>
    <t>6-75%-100%</t>
  </si>
  <si>
    <t>14-75%-100%</t>
  </si>
  <si>
    <t>PJ</t>
  </si>
  <si>
    <t>APRR/ Odbor finančného riadenia</t>
  </si>
  <si>
    <t>3-75%-100%</t>
  </si>
  <si>
    <t>implementácia</t>
  </si>
  <si>
    <t xml:space="preserve">APRR/ implementačný odbor </t>
  </si>
  <si>
    <t>13-75%-100%</t>
  </si>
  <si>
    <t>implementácia opatrenia č. 3.4</t>
  </si>
  <si>
    <t>APRR/ odbor riadenia INTERREG IIIA</t>
  </si>
  <si>
    <t>10-75%-100%</t>
  </si>
  <si>
    <t>KF</t>
  </si>
  <si>
    <t>MP SR</t>
  </si>
  <si>
    <t>SOP PRV</t>
  </si>
  <si>
    <t>audit</t>
  </si>
  <si>
    <t>Odbor štrukturálnej politiky</t>
  </si>
  <si>
    <t>11-75%-100%</t>
  </si>
  <si>
    <t>1-75%-100%</t>
  </si>
  <si>
    <t>3-75%-100</t>
  </si>
  <si>
    <t>kontrola</t>
  </si>
  <si>
    <t>Odbor finančnej kontroly</t>
  </si>
  <si>
    <t>PPA</t>
  </si>
  <si>
    <t>vnútorná kontrola</t>
  </si>
  <si>
    <t>Sekcia kontroly, Odbor</t>
  </si>
  <si>
    <t>37-75%-100%</t>
  </si>
  <si>
    <t>23-75%-100%</t>
  </si>
  <si>
    <t>kontroly projektových podpôr</t>
  </si>
  <si>
    <t>PJ/PO</t>
  </si>
  <si>
    <t>Platobná sekcia, Odbor usm.</t>
  </si>
  <si>
    <t>sekcie EAGGF a FIFG</t>
  </si>
  <si>
    <t>SO/RO</t>
  </si>
  <si>
    <t>Sekcia projektových podpôr</t>
  </si>
  <si>
    <t>48-75%-100%</t>
  </si>
  <si>
    <t>vnútorný audit</t>
  </si>
  <si>
    <t>Odbor vnútorného auditu</t>
  </si>
  <si>
    <t>12-75%-100%</t>
  </si>
  <si>
    <t>MŠ SR</t>
  </si>
  <si>
    <t>SOP ĽZ</t>
  </si>
  <si>
    <t>SORO/PJ</t>
  </si>
  <si>
    <t>Sekcia európskej integrácie</t>
  </si>
  <si>
    <t xml:space="preserve">
1-75%-50%
</t>
  </si>
  <si>
    <t xml:space="preserve">
1-50%-10%
</t>
  </si>
  <si>
    <t>SORO</t>
  </si>
  <si>
    <t>Odbor pre ESF</t>
  </si>
  <si>
    <t>4-75%-100%
1-75%-80%
1-75%-50%</t>
  </si>
  <si>
    <t>3-75%-100%
1-75%-50%</t>
  </si>
  <si>
    <t>2-75%-80%
1-75%-60%
1-75%-55%</t>
  </si>
  <si>
    <t>1-75%-80%</t>
  </si>
  <si>
    <t>2-50%-20%
1-50%-20%
1-50%-15%</t>
  </si>
  <si>
    <t>1-50%-20%</t>
  </si>
  <si>
    <t>Odbor kontroly</t>
  </si>
  <si>
    <t>2-75%-50%</t>
  </si>
  <si>
    <t>2-75%-80%</t>
  </si>
  <si>
    <t>2-50%-10%</t>
  </si>
  <si>
    <t>2-50%-20%</t>
  </si>
  <si>
    <t>Vnútorný audit</t>
  </si>
  <si>
    <t xml:space="preserve">audit </t>
  </si>
  <si>
    <t>Útvar pre ESF/ŠF</t>
  </si>
  <si>
    <t>MDPT SR</t>
  </si>
  <si>
    <t>OP ZI, KF</t>
  </si>
  <si>
    <t>Odbor zahraničnej pomoci / Sekcia európskej integrácie a zahraničnej pomoci</t>
  </si>
  <si>
    <t>Odbor stratégie a rozvoja</t>
  </si>
  <si>
    <t>Referát pre fondy EÚ / Sekcia cestnej infraštruktúry</t>
  </si>
  <si>
    <t>Oddelenie železničnej dopravnej cesty / Sekcia dráh a železničnej dopravy</t>
  </si>
  <si>
    <t>Odbor leteckej prevádzky / Sekcia civilného letectva</t>
  </si>
  <si>
    <t>Právny referát / Sekcia legislatívna a právna</t>
  </si>
  <si>
    <t>Referát financovania fondov EÚ / Sekcia rozpočtu a vnútornej ekonomiky</t>
  </si>
  <si>
    <t>Odbor kontroly a sťažností</t>
  </si>
  <si>
    <t>SSC</t>
  </si>
  <si>
    <t>IO</t>
  </si>
  <si>
    <t>Implementačná agentúra</t>
  </si>
  <si>
    <t>ŽSR</t>
  </si>
  <si>
    <t>Odbor pre realizáciu progr.</t>
  </si>
  <si>
    <t>zahraničnej pomoci GR ŽSR</t>
  </si>
  <si>
    <t xml:space="preserve">INTERREG </t>
  </si>
  <si>
    <t>Orgán v rámci riadenia
pomoci zo ŠF a KF
(RO, SO/RO, PO, PJ, kontrola, audit)</t>
  </si>
  <si>
    <t>a program PHARE</t>
  </si>
  <si>
    <t>Oddelenie fin. riadenia pre ESF</t>
  </si>
  <si>
    <t xml:space="preserve">Implementačná jednotka </t>
  </si>
  <si>
    <t>pre SORO</t>
  </si>
  <si>
    <t>6 - 50% - 100%</t>
  </si>
  <si>
    <t>9 - 50% - 100%</t>
  </si>
  <si>
    <t>1 - 50% - 50%</t>
  </si>
  <si>
    <t xml:space="preserve">Pracovné miesta v regióne (VÚC, RRA) </t>
  </si>
  <si>
    <t xml:space="preserve">Pracovné miesta v regiónoch </t>
  </si>
  <si>
    <t>Vnútorný audítor</t>
  </si>
  <si>
    <t>APRR/ Kontrolný odbor agentúry</t>
  </si>
  <si>
    <t>MH SR</t>
  </si>
  <si>
    <t>SOP PS</t>
  </si>
  <si>
    <t>Odbor riadenia pre SOP</t>
  </si>
  <si>
    <t>NARMSP</t>
  </si>
  <si>
    <t>SARIO</t>
  </si>
  <si>
    <t>SEA</t>
  </si>
  <si>
    <t>Odbor rozpočtu a projektov EÚ</t>
  </si>
  <si>
    <t>1-75%-50%</t>
  </si>
  <si>
    <t xml:space="preserve">násl. Finančná kontrola </t>
  </si>
  <si>
    <t>kontrola fondov ES</t>
  </si>
  <si>
    <t>6-75%-50%</t>
  </si>
  <si>
    <t>4-75%-50%</t>
  </si>
  <si>
    <t>SACR</t>
  </si>
  <si>
    <t>VÚC</t>
  </si>
  <si>
    <t>SOPK</t>
  </si>
  <si>
    <t>18-75%-100%</t>
  </si>
  <si>
    <t>7-75%-100%</t>
  </si>
  <si>
    <t>8-75%-50%</t>
  </si>
  <si>
    <t>5-75%-50%</t>
  </si>
  <si>
    <t>3-75%-50%</t>
  </si>
  <si>
    <t>13-75%-50%</t>
  </si>
  <si>
    <t xml:space="preserve"> generálny riaditeľ a asistentka APRR</t>
  </si>
  <si>
    <t>APRR/ Odbor riadenia OP ZI +</t>
  </si>
  <si>
    <t>Odbor riadenia pre CSF +</t>
  </si>
  <si>
    <t>generálna riaditeľka SRPEÚ</t>
  </si>
  <si>
    <r>
      <t>Poznámka</t>
    </r>
    <r>
      <rPr>
        <b/>
        <vertAlign val="superscript"/>
        <sz val="10"/>
        <rFont val="Arial CE"/>
        <family val="0"/>
      </rPr>
      <t>2</t>
    </r>
  </si>
  <si>
    <r>
      <t>Poznámka</t>
    </r>
    <r>
      <rPr>
        <b/>
        <vertAlign val="superscript"/>
        <sz val="10"/>
        <rFont val="Arial CE"/>
        <family val="0"/>
      </rPr>
      <t>4</t>
    </r>
  </si>
  <si>
    <r>
      <t>Poznámka</t>
    </r>
    <r>
      <rPr>
        <b/>
        <vertAlign val="superscript"/>
        <sz val="10"/>
        <rFont val="Arial CE"/>
        <family val="0"/>
      </rPr>
      <t>6</t>
    </r>
  </si>
  <si>
    <t>3-50%-100%
1-50%-20%
1-50%-50%</t>
  </si>
  <si>
    <t>zamestnanci celkom</t>
  </si>
  <si>
    <t>platy celkom</t>
  </si>
  <si>
    <t>oprávení zamestnanci celkom</t>
  </si>
  <si>
    <t>refundovaná čiastka z platov</t>
  </si>
  <si>
    <t>MP SR vrátane PPA</t>
  </si>
  <si>
    <t>MPSVR SR</t>
  </si>
  <si>
    <t xml:space="preserve">SOP ĽZ </t>
  </si>
  <si>
    <t>MŽP SR</t>
  </si>
  <si>
    <t>TOTAL MVRR SR:</t>
  </si>
  <si>
    <t>TOTAL OP ZI:</t>
  </si>
  <si>
    <t>MF SR</t>
  </si>
  <si>
    <t>MVRR SR + MDPT SR + MŽP SR + MF SR</t>
  </si>
  <si>
    <t>TOTAL MŠ SR</t>
  </si>
  <si>
    <t>MPSVR SR + MŠ SR</t>
  </si>
  <si>
    <t>TOTAL SOP ĽZ:</t>
  </si>
  <si>
    <t>oprávnené platy celkom</t>
  </si>
  <si>
    <t>-</t>
  </si>
  <si>
    <t>Sekcia zahraničnej pomoci a záležitostí EÚ</t>
  </si>
  <si>
    <t>16-75%-100%</t>
  </si>
  <si>
    <t>SORO a IO</t>
  </si>
  <si>
    <t>CADSES Contact Point</t>
  </si>
  <si>
    <t>OP ZI/KF</t>
  </si>
  <si>
    <t>Oddelenie platobné a finančné</t>
  </si>
  <si>
    <t>OPZI/KF</t>
  </si>
  <si>
    <t>PO</t>
  </si>
  <si>
    <t>Kontrola</t>
  </si>
  <si>
    <t>Audit</t>
  </si>
  <si>
    <t xml:space="preserve">Odbor platobného orgánu </t>
  </si>
  <si>
    <t>pre štrukturálne fondy</t>
  </si>
  <si>
    <t>prostriedkov ES</t>
  </si>
  <si>
    <t>Útvar vnútorného auditu</t>
  </si>
  <si>
    <t>Informačné</t>
  </si>
  <si>
    <t>systémy</t>
  </si>
  <si>
    <t>Datacentrum</t>
  </si>
  <si>
    <t>19-75%-25%</t>
  </si>
  <si>
    <t>4-75%-30%</t>
  </si>
  <si>
    <t>Odbor Národného fondu</t>
  </si>
  <si>
    <t>1-75%-30%</t>
  </si>
  <si>
    <t>1-75%-10%</t>
  </si>
  <si>
    <t>OP ZI - CSF</t>
  </si>
  <si>
    <t>MF SR + MVRR SR - CSF</t>
  </si>
  <si>
    <t>2004, 2005, 2006</t>
  </si>
  <si>
    <t>OP ZI - III.P.</t>
  </si>
  <si>
    <t>3-75%-100% 
1-75%-95%
1-75%-35%</t>
  </si>
  <si>
    <t>2005 = 2006</t>
  </si>
  <si>
    <t>Priemysel a služby</t>
  </si>
  <si>
    <t>Ľudské zdroje</t>
  </si>
  <si>
    <t>Základná infraštruktúra</t>
  </si>
  <si>
    <t xml:space="preserve">MP SR </t>
  </si>
  <si>
    <t>Zamestnancov celkom 
január - apríl 2004</t>
  </si>
  <si>
    <t>MVRR SR - III.P</t>
  </si>
  <si>
    <t>Zamestancov 
celkom 
máj - december 2004</t>
  </si>
  <si>
    <t xml:space="preserve">OP ZI </t>
  </si>
  <si>
    <t>Poľnohospodárstvo a rozvoj vidieka</t>
  </si>
  <si>
    <t xml:space="preserve">Limitovaná TA 2005 (Sk)
</t>
  </si>
  <si>
    <t xml:space="preserve">Limitovaná TA 2006 (Sk)
</t>
  </si>
  <si>
    <t>MVRR SR - III.P.</t>
  </si>
  <si>
    <t>MVRR SR - CSF, MF SR</t>
  </si>
  <si>
    <t>Limitovaná TA OP ZI
2004 - 2006 (Sk)</t>
  </si>
  <si>
    <t>Limitovaná TA OP ZI
na jeden rok (Sk)</t>
  </si>
  <si>
    <t>Program</t>
  </si>
  <si>
    <t xml:space="preserve">Počet požadovaných nových pracovných miest k 1.5.2004 </t>
  </si>
  <si>
    <t>Rozdiel</t>
  </si>
  <si>
    <t>(súčet možných nových zamestnancov financovaných z refundovaných platov za MVRR SR)</t>
  </si>
  <si>
    <t>(súčet možných nových zamestnancov financovaných z refundovaných platov za MPSVR SR)</t>
  </si>
  <si>
    <t>(súčet možných nových zamestnancov financovaných z refundovaných platov za MŠ SR)</t>
  </si>
  <si>
    <t>Rozdiel (brali sme do úvahy vyšší plat z tabuľky)</t>
  </si>
  <si>
    <t>1 EUR = 41 Sk</t>
  </si>
  <si>
    <t>TA 2004-2006 zo ŠF (Sk)</t>
  </si>
  <si>
    <t>TA OP ZI z ERDF
2004 - 2006 (Sk)</t>
  </si>
  <si>
    <t>SOP LZ</t>
  </si>
  <si>
    <t>Odbor RO pre SOP LZ</t>
  </si>
  <si>
    <t>8-75%-100%</t>
  </si>
  <si>
    <t>Odbor RO pre JPD Cieľ 3</t>
  </si>
  <si>
    <t>Odbor RO pre Iniciatívu EQUAL</t>
  </si>
  <si>
    <t>Finančný odbor</t>
  </si>
  <si>
    <t>EQUAL</t>
  </si>
  <si>
    <t xml:space="preserve">SOP LZ </t>
  </si>
  <si>
    <t>1-75%-40,5%</t>
  </si>
  <si>
    <t>1-50%-6,5%</t>
  </si>
  <si>
    <t>1-75%-81%</t>
  </si>
  <si>
    <t>1-50%-13%</t>
  </si>
  <si>
    <t>(ide o tie isté osoby)</t>
  </si>
  <si>
    <t>z EÚ + ŠR =</t>
  </si>
  <si>
    <t>oprávnení zamestnanci celkom = oprávnení zamestnanci vrátane menej ako 100% oprávenených zamestnancov podľa náplne práce</t>
  </si>
  <si>
    <t>zamestnanci celkom = počet oprávnených a neoprávnených zamestnancov</t>
  </si>
  <si>
    <t>,</t>
  </si>
  <si>
    <t>, t.j.</t>
  </si>
  <si>
    <t>čo znamená refundáciu maximálne</t>
  </si>
  <si>
    <t>Predpoklad: limitovaná TA je rovnomerne rozdelená na tri roky.</t>
  </si>
  <si>
    <t>Sumy sú uvádzané v bežných cenách.</t>
  </si>
  <si>
    <t>oprávnené platy celkom = 100% refundácia platov zo zdrojov EÚ a ŠR (v Sk)</t>
  </si>
  <si>
    <t>(oprávnené platy celkom za 2004, t.j. celková refundácia platu z EÚ i ŠR za 2004) / (12*(hrubá mzda bez odmien+ovody z-ľa))</t>
  </si>
  <si>
    <t>(oprávnené platy celkom za 2004) / (12*(hrubá mzda bez odmien+ovody z-ľa))</t>
  </si>
  <si>
    <t xml:space="preserve">Odvody zamestnávateľa </t>
  </si>
  <si>
    <t>Za všetky rezorty</t>
  </si>
  <si>
    <t>a všetky programy</t>
  </si>
  <si>
    <t>(vplyv na celkový rozpočet)</t>
  </si>
  <si>
    <t>Limitovaná TA 
2004-2006 
(Sk)</t>
  </si>
  <si>
    <t xml:space="preserve">Limitovaná TA 2004
(Sk)
</t>
  </si>
  <si>
    <t>Rozdiel medzi 
lim. TA 2004 a refundáciou platov 2004 (Sk)</t>
  </si>
  <si>
    <t>Rozdiel medzi 
lim. TA 2005 a refundáciou platov 2005 (Sk)</t>
  </si>
  <si>
    <t>Rozdiel medzi 
lim. TA 2006 a refundáciou platov 2006 (Sk)</t>
  </si>
  <si>
    <t>Počet možných nových pracovných miest financovaných z refundácie platov zamestnancov za rok 2004</t>
  </si>
  <si>
    <t>Analýza možného navýšenia administratívnych kapacít v rámci jednotlivých rezortov v závislosti od refundácie platov zamestnancov za rok 2004 (vrátane refundácie platov nových požadovaných pracovných miest k 1.5.2004)</t>
  </si>
  <si>
    <t xml:space="preserve">Príklad vyplnenia poznámky: </t>
  </si>
  <si>
    <r>
      <t>Počet obsadených pracovných miest 
k 29.2.2004 
(oprávnené a neoprávnené)</t>
    </r>
    <r>
      <rPr>
        <b/>
        <i/>
        <vertAlign val="superscript"/>
        <sz val="10"/>
        <rFont val="Arial CE"/>
        <family val="2"/>
      </rPr>
      <t>1</t>
    </r>
  </si>
  <si>
    <t>Predpokladáme, že RO/SORO/PO si bude nárokovať refundáciu z TA na všetky oprávnené pracovné miesta.</t>
  </si>
  <si>
    <t xml:space="preserve"> V prípade, že si RO/SORO/PO nebude nárokovať refundáciu z TA na všetky oprávnené pracovné miesta, zaradil dotyčné pracovné miesta medzi neoprávnené.</t>
  </si>
  <si>
    <t>Ak napr. pracovná náplň predstavuje 50% činností týkajúcich sa ŠF, je možné refundovať z fondov EÚ až 75% / 50% z  50% platu.</t>
  </si>
  <si>
    <t>2-75%-100% (t.j. na 2 oprávnené miesta sa žiada 75% refundáciu celkového platu)</t>
  </si>
  <si>
    <t>2-75%-50% (t.j. na 2 oprávnené miesta sa žiada 75% refundáciu 50% z platu )</t>
  </si>
  <si>
    <t>3-50%-50% (t.j. na 3 oprávnené miesta sa žiada 50% refundáciu 50% z platu )</t>
  </si>
  <si>
    <t xml:space="preserve">2, 4, 6: Ak bol udaný počet oprávnených miest (O), je v poznámke v tabuľke určené % požadovanej refundácie z TA v závislosti od obsahu pracovnej náplne jednotlivých pozícii. </t>
  </si>
  <si>
    <t>Refundácia platov za rok 2004, 2005, 2006 = refundovaná čiastka z platov za rok 2004, 2005, 2006 v tabuľke 3; t.j. refundácii platov z fondov EÚ</t>
  </si>
  <si>
    <t>INTERREG III A</t>
  </si>
  <si>
    <t>Poznámky k analýze:</t>
  </si>
  <si>
    <t>V prípade MVRR SR - Interreg III A:</t>
  </si>
  <si>
    <t>Refundácia platov z EÚ za jednotlivé roky prevyšuje povolenú hranicu pre limitovanú TA;</t>
  </si>
  <si>
    <t>maximálna možná refundácia z EÚ za rok je len</t>
  </si>
  <si>
    <t>V prípade MH SR:</t>
  </si>
  <si>
    <t>pracovných miest,</t>
  </si>
  <si>
    <t>(viď poznámky k analýze pod tabuľkou!!!)</t>
  </si>
  <si>
    <t>Suma na programový dokument zo ŠF 
2004-2006
(Sk)</t>
  </si>
  <si>
    <t>Program/REZORT</t>
  </si>
  <si>
    <t>Preto je potrebné nasledovne očistiť oprávnené platy celkom a refundovanú čiastku z platov za celý rok 2004, 2005=2006:</t>
  </si>
  <si>
    <t>2005=2006</t>
  </si>
  <si>
    <t>za všetky rezorty</t>
  </si>
  <si>
    <t>Berieme do úvahy zjednodušený model: Limitovaná TA 2004 = (limitovaná TA 2004-2006)/3, tj. = limitovaná TA 2005 = limitovaná TA 2006; pričom nepredpokladáme žiadne iné oprávnené výdavky v rámci limitovanej TA</t>
  </si>
  <si>
    <t>CELKOM</t>
  </si>
  <si>
    <t>Príslušný dokument 
(ŠF: 4OP, 2JPD, 2Iniciatívy; KF)</t>
  </si>
  <si>
    <t>JPD 2</t>
  </si>
  <si>
    <t>JPD 3</t>
  </si>
  <si>
    <t>náplň sa delí medzi OP, JPD a Equal)</t>
  </si>
  <si>
    <t>Odbor riadenia pre JPD 2</t>
  </si>
  <si>
    <t>III B</t>
  </si>
  <si>
    <t>INTERREG</t>
  </si>
  <si>
    <t xml:space="preserve">(pri súčte pracovných miest - prekrývanie sa pracovných miest s pracovnou náplňou SOP ĽZ i JPD 3)  </t>
  </si>
  <si>
    <t xml:space="preserve">(pri súčte pracovných miest - prekrývanie sa pracovných miest s pracovnou náplňou SOP ĽZ i JPD 3)              </t>
  </si>
  <si>
    <t>TOTAL JPD 3:</t>
  </si>
  <si>
    <t>refundovaná čiastka z platov = 75% (pri OP) alebo 50% (pri JPD) refundácia zo strany EÚ (v Sk)</t>
  </si>
  <si>
    <t>refundácia 75% (pri OP) / 50% (pri JPD) z EÚ vo vzťahu k programu pod rezortom</t>
  </si>
  <si>
    <t>refundácia 75% (pri OP) / 50% (pri JPD) z EÚ vo vzťahu k celkovému programu</t>
  </si>
  <si>
    <t>refundácie 75% (pri OP) / 50% (pri JPD) z EÚ vo vzťahu k rozpočtu ministerstva</t>
  </si>
  <si>
    <t>III A</t>
  </si>
  <si>
    <t>Prerozdelenie TA OP ZI vychádza z Dodatku č.1 k pozícii SR k Negociačnému mandátu EK pre vyjednávanie CSF (UV SR č. 902/2003), kde sa uvádza toto prerozdelenie v stálych cenách 1999.</t>
  </si>
  <si>
    <t>Hrubá mzda + odvody zamestnávateľa</t>
  </si>
  <si>
    <t>platy celkom = zamestnanci celkom*(priemerná hrubá mzda bez odmien spolu s odvodmi zamestnávateľa v rámci rezortu)  (v Sk)</t>
  </si>
  <si>
    <t>Priemerná hrubá mzda bez odmien 
/ zamestnanec*</t>
  </si>
  <si>
    <t>t.j. v prípade potreby vytvorenie 118 nových miest.</t>
  </si>
  <si>
    <t xml:space="preserve"> (podľa % prerozdelenia TA OP ZI 2004-2006)</t>
  </si>
  <si>
    <t>ÚPSVR SR</t>
  </si>
  <si>
    <t>5-75%-81%</t>
  </si>
  <si>
    <t>5-50%-13%</t>
  </si>
  <si>
    <t>6-50%-100%</t>
  </si>
  <si>
    <t>2-75%-81%</t>
  </si>
  <si>
    <t>2-50%-13%</t>
  </si>
  <si>
    <t>7-75%-81%</t>
  </si>
  <si>
    <t>7-50%-13%</t>
  </si>
  <si>
    <t>(bez ÚPSVR SR)</t>
  </si>
  <si>
    <t xml:space="preserve">TOTAL MPSVR SR </t>
  </si>
  <si>
    <t xml:space="preserve">Poznámka k použiteľnosti TA pre INTERREG III A -V zmysle programových dokumentov je možné Technickej asistencie uvažovať iba s pokrytím </t>
  </si>
  <si>
    <t xml:space="preserve">mzdových nákladov na 7 zamestnancov.  </t>
  </si>
  <si>
    <t xml:space="preserve">Poznámka k použiteľnosti TA pre INTERREG III A - V zmysle programových dokumentov je možné Technickej asistencie uvažovať iba s pokrytím mzdových nákladov na 7 zamestnancov.  </t>
  </si>
  <si>
    <r>
      <t>Voči cieľovému počtu 15 pracovníkov verzus 5 súčasný stav a 7 z Technickej asistencie zostávajú nepokryté mzdové náklady na 3 pracovníkov</t>
    </r>
    <r>
      <rPr>
        <sz val="12"/>
        <color indexed="10"/>
        <rFont val="Times New Roman"/>
        <family val="1"/>
      </rPr>
      <t>.</t>
    </r>
  </si>
  <si>
    <t>14-75%-50%</t>
  </si>
  <si>
    <t>programovanie</t>
  </si>
  <si>
    <t>Referát ŠF a programov</t>
  </si>
  <si>
    <t>Odbor predvstupovej pomoci</t>
  </si>
  <si>
    <t>III C</t>
  </si>
  <si>
    <t>1-75-100</t>
  </si>
  <si>
    <t>vrátane auditu</t>
  </si>
  <si>
    <t>*maximálny strop priemernej hrubej mzdy vo výške 33 000 Sk bol stanovený na základe rozporového konania na úrovni ministrov</t>
  </si>
  <si>
    <t>2-75%-100%
1-75%-50%
1-75%-40%</t>
  </si>
  <si>
    <t xml:space="preserve">3-75%-80%
1-75%-40%
</t>
  </si>
  <si>
    <t xml:space="preserve">
1-50%-100%
1-50%-10%</t>
  </si>
  <si>
    <t xml:space="preserve">
3-50%-20%
1-50%-10%</t>
  </si>
  <si>
    <t>2-50%-100%</t>
  </si>
  <si>
    <t>4-75%-100%</t>
  </si>
  <si>
    <t xml:space="preserve">(ide o tých istých 6 osôb, ich pracovná </t>
  </si>
  <si>
    <t>8-50%-100%</t>
  </si>
  <si>
    <t>(bez EQUAL)</t>
  </si>
  <si>
    <t>Počet požadovaných nových pracovných miest k 1.5.2004 (s ÚPSVR SR)</t>
  </si>
  <si>
    <t>Počet požadovaných nových pracovných miest k 1.5.2004 (vrátane KF)</t>
  </si>
  <si>
    <t>* Špecifická situácia na MDPT SR - 1 pracovnik sa venuje problematike KF i OP 1:1</t>
  </si>
  <si>
    <t>MDPT SR*</t>
  </si>
  <si>
    <t>t.j.  a nie všetkých 88 miest.</t>
  </si>
  <si>
    <t>V prípade MP SR:</t>
  </si>
  <si>
    <t>t.j. a nie všetkých 165.</t>
  </si>
  <si>
    <t xml:space="preserve">z toho INTERREG </t>
  </si>
  <si>
    <t>Uvedené výpočty majú za cieľ predovšetkým poukázať na dôležitosť kontroly množstva čerpania limitovanej technickej pomoci; nefixujú dané parametre do praxe.</t>
  </si>
  <si>
    <t>(Pri týchto parametroch!!! V praxi môže byť situácia iná, napr. stanoví sa menší priemerný plat; tým sa zvýši možnosť navýšenia AK)</t>
  </si>
  <si>
    <t>Pre všetky rezorty za január - marec 2004</t>
  </si>
  <si>
    <t>Pre všetky rezorty od apríla 2004</t>
  </si>
  <si>
    <t>október - december
2004</t>
  </si>
  <si>
    <t>január - september
 2004</t>
  </si>
  <si>
    <t>január - marec  
2004</t>
  </si>
  <si>
    <t>apríl - september
 2004</t>
  </si>
  <si>
    <t>Neobsadené miesta k 28.2.2004 sa rátajú od 1.4.2004 ako obsadené spolu s novými požadovanými miestami.</t>
  </si>
  <si>
    <t xml:space="preserve">Počet požadovaných nových pracovných miest k 1.4.2004 </t>
  </si>
  <si>
    <t>V prípade MVRR SR - RO pre OP ZI:</t>
  </si>
  <si>
    <t>z toho RO pre OP ZI (predpoklad pracovná náplň 100% ŠF)</t>
  </si>
  <si>
    <t>1, 3, 5: Pracovné miesta, či už obsadené/neobsadené k 29.2.2004 alebo požadované nové k 1.4.2004 sú rozdelené na oprávnené (O) a neoprávnené miesta (N) v zmysle nariadenia EK č. 1145/2003, pravidla 11, bodu 2.2.</t>
  </si>
  <si>
    <r>
      <t>Počet požadovaných
 nových pracovných
 miest k 1.4.2004
(oprávnené a neoprávnené)</t>
    </r>
    <r>
      <rPr>
        <b/>
        <vertAlign val="superscript"/>
        <sz val="10"/>
        <rFont val="Arial CE"/>
        <family val="2"/>
      </rPr>
      <t>5</t>
    </r>
  </si>
  <si>
    <t xml:space="preserve">Ak pracovná náplň predstavuje 100% činností týkajúcich sa ŠF v súlade s nariadením EK č. 448/2004, pravidlom 11, bodom 2.2., je možné refundovať z fondov EÚ až 75% (v prípade OP) alebo až 50% (v prípade JPD) z celkového (100%) platu. </t>
  </si>
  <si>
    <t>(Pri týchto parametroch!!! V praxi môže byť situácia iná, napr. stanoví sa menší priemerný plat ako 33 000; tým sa zvýši možnosť navýšenia AK)</t>
  </si>
  <si>
    <t>Príloha č. 1a)</t>
  </si>
  <si>
    <t>Tabuľka č.8:</t>
  </si>
  <si>
    <t>Poznámky k tabuľke č.8:</t>
  </si>
  <si>
    <t>Príloha č. 1b)</t>
  </si>
  <si>
    <t xml:space="preserve">Tabuľka č.10: Odhady refundácie platov vychádzajúc z podkladov jednotlivých rezortov </t>
  </si>
  <si>
    <t>Poznámky k prvej časti tabuľky č.10:</t>
  </si>
  <si>
    <t>Príloha č. 1c)</t>
  </si>
  <si>
    <t>Tabuľka č.9: Priemerná hrubá mzda bez odmien v rámci rezortov (Sk)</t>
  </si>
  <si>
    <t xml:space="preserve">Tabuľka č.12: Rozdiel medzi limitovanou TA a refundáciou platov po rokoch 2004-2006 a po OP/rezortoch </t>
  </si>
  <si>
    <t>Tabuľka č.11: Prerozdelenie limitovanej technickej asistencie v rámci TA OP ZI</t>
  </si>
  <si>
    <t>Poznámky k tabuľke č.11: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</si>
</sst>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#,##0.0000"/>
    <numFmt numFmtId="170" formatCode="0.000000"/>
    <numFmt numFmtId="171" formatCode="0.0"/>
  </numFmts>
  <fonts count="16">
    <font>
      <sz val="10"/>
      <name val="Arial CE"/>
      <family val="0"/>
    </font>
    <font>
      <b/>
      <sz val="10"/>
      <name val="Arial CE"/>
      <family val="2"/>
    </font>
    <font>
      <b/>
      <i/>
      <vertAlign val="superscript"/>
      <sz val="10"/>
      <name val="Arial CE"/>
      <family val="2"/>
    </font>
    <font>
      <b/>
      <vertAlign val="superscript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2"/>
      <name val="Arial CE"/>
      <family val="0"/>
    </font>
    <font>
      <b/>
      <sz val="10"/>
      <color indexed="12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Arial CE"/>
      <family val="0"/>
    </font>
    <font>
      <b/>
      <sz val="10"/>
      <color indexed="10"/>
      <name val="Arial"/>
      <family val="2"/>
    </font>
    <font>
      <sz val="12"/>
      <color indexed="10"/>
      <name val="Times New Roman"/>
      <family val="1"/>
    </font>
    <font>
      <b/>
      <sz val="10"/>
      <color indexed="10"/>
      <name val="Arial CE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Up="1" diagonalDown="1">
      <left style="thin"/>
      <right style="thin"/>
      <top style="thin"/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thin"/>
      <bottom style="thin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3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vertical="center"/>
    </xf>
    <xf numFmtId="0" fontId="1" fillId="6" borderId="3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 vertical="center"/>
    </xf>
    <xf numFmtId="0" fontId="0" fillId="0" borderId="4" xfId="0" applyBorder="1" applyAlignment="1">
      <alignment/>
    </xf>
    <xf numFmtId="0" fontId="1" fillId="5" borderId="4" xfId="0" applyFont="1" applyFill="1" applyBorder="1" applyAlignment="1">
      <alignment vertical="center"/>
    </xf>
    <xf numFmtId="0" fontId="1" fillId="5" borderId="4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Fill="1" applyBorder="1" applyAlignment="1">
      <alignment vertical="center"/>
    </xf>
    <xf numFmtId="0" fontId="0" fillId="0" borderId="0" xfId="0" applyAlignment="1">
      <alignment horizontal="center" vertical="top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7" borderId="6" xfId="0" applyFont="1" applyFill="1" applyBorder="1" applyAlignment="1">
      <alignment vertical="center"/>
    </xf>
    <xf numFmtId="0" fontId="1" fillId="7" borderId="9" xfId="0" applyFont="1" applyFill="1" applyBorder="1" applyAlignment="1">
      <alignment vertical="center"/>
    </xf>
    <xf numFmtId="0" fontId="1" fillId="7" borderId="3" xfId="0" applyFont="1" applyFill="1" applyBorder="1" applyAlignment="1">
      <alignment vertical="center"/>
    </xf>
    <xf numFmtId="0" fontId="0" fillId="0" borderId="6" xfId="0" applyBorder="1" applyAlignment="1">
      <alignment/>
    </xf>
    <xf numFmtId="0" fontId="0" fillId="7" borderId="5" xfId="0" applyFill="1" applyBorder="1" applyAlignment="1">
      <alignment/>
    </xf>
    <xf numFmtId="0" fontId="0" fillId="7" borderId="4" xfId="0" applyFill="1" applyBorder="1" applyAlignment="1">
      <alignment/>
    </xf>
    <xf numFmtId="0" fontId="1" fillId="7" borderId="4" xfId="0" applyFont="1" applyFill="1" applyBorder="1" applyAlignment="1">
      <alignment vertical="center"/>
    </xf>
    <xf numFmtId="0" fontId="1" fillId="7" borderId="4" xfId="0" applyFont="1" applyFill="1" applyBorder="1" applyAlignment="1">
      <alignment/>
    </xf>
    <xf numFmtId="0" fontId="1" fillId="0" borderId="0" xfId="0" applyFont="1" applyAlignment="1">
      <alignment horizontal="center" vertical="top"/>
    </xf>
    <xf numFmtId="0" fontId="1" fillId="7" borderId="2" xfId="0" applyFont="1" applyFill="1" applyBorder="1" applyAlignment="1">
      <alignment/>
    </xf>
    <xf numFmtId="0" fontId="1" fillId="7" borderId="6" xfId="0" applyFont="1" applyFill="1" applyBorder="1" applyAlignment="1">
      <alignment horizontal="left" wrapText="1"/>
    </xf>
    <xf numFmtId="0" fontId="1" fillId="7" borderId="9" xfId="0" applyFont="1" applyFill="1" applyBorder="1" applyAlignment="1">
      <alignment vertical="top" wrapText="1"/>
    </xf>
    <xf numFmtId="0" fontId="1" fillId="7" borderId="3" xfId="0" applyFont="1" applyFill="1" applyBorder="1" applyAlignment="1">
      <alignment/>
    </xf>
    <xf numFmtId="0" fontId="1" fillId="5" borderId="3" xfId="0" applyFont="1" applyFill="1" applyBorder="1" applyAlignment="1">
      <alignment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3" xfId="0" applyFont="1" applyFill="1" applyBorder="1" applyAlignment="1">
      <alignment vertical="center"/>
    </xf>
    <xf numFmtId="0" fontId="6" fillId="7" borderId="0" xfId="0" applyFont="1" applyFill="1" applyAlignment="1">
      <alignment/>
    </xf>
    <xf numFmtId="0" fontId="1" fillId="0" borderId="6" xfId="0" applyFont="1" applyFill="1" applyBorder="1" applyAlignment="1">
      <alignment/>
    </xf>
    <xf numFmtId="0" fontId="0" fillId="0" borderId="4" xfId="0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7" borderId="11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/>
    </xf>
    <xf numFmtId="0" fontId="1" fillId="7" borderId="12" xfId="0" applyFont="1" applyFill="1" applyBorder="1" applyAlignment="1">
      <alignment/>
    </xf>
    <xf numFmtId="0" fontId="6" fillId="7" borderId="10" xfId="0" applyFont="1" applyFill="1" applyBorder="1" applyAlignment="1">
      <alignment/>
    </xf>
    <xf numFmtId="0" fontId="1" fillId="8" borderId="1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9" borderId="0" xfId="0" applyFill="1" applyAlignment="1">
      <alignment/>
    </xf>
    <xf numFmtId="0" fontId="1" fillId="8" borderId="3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vertical="center"/>
    </xf>
    <xf numFmtId="0" fontId="1" fillId="10" borderId="3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4" borderId="13" xfId="0" applyFont="1" applyFill="1" applyBorder="1" applyAlignment="1">
      <alignment vertical="center" wrapText="1"/>
    </xf>
    <xf numFmtId="0" fontId="1" fillId="8" borderId="3" xfId="0" applyFont="1" applyFill="1" applyBorder="1" applyAlignment="1">
      <alignment vertical="center"/>
    </xf>
    <xf numFmtId="0" fontId="1" fillId="10" borderId="3" xfId="0" applyFont="1" applyFill="1" applyBorder="1" applyAlignment="1">
      <alignment vertical="center"/>
    </xf>
    <xf numFmtId="0" fontId="1" fillId="7" borderId="3" xfId="0" applyFont="1" applyFill="1" applyBorder="1" applyAlignment="1">
      <alignment vertical="center"/>
    </xf>
    <xf numFmtId="0" fontId="1" fillId="8" borderId="1" xfId="0" applyFont="1" applyFill="1" applyBorder="1" applyAlignment="1">
      <alignment vertical="center"/>
    </xf>
    <xf numFmtId="0" fontId="1" fillId="8" borderId="6" xfId="0" applyFont="1" applyFill="1" applyBorder="1" applyAlignment="1">
      <alignment vertical="center"/>
    </xf>
    <xf numFmtId="0" fontId="1" fillId="7" borderId="4" xfId="0" applyFont="1" applyFill="1" applyBorder="1" applyAlignment="1">
      <alignment vertical="center"/>
    </xf>
    <xf numFmtId="0" fontId="1" fillId="8" borderId="4" xfId="0" applyFont="1" applyFill="1" applyBorder="1" applyAlignment="1">
      <alignment vertical="center"/>
    </xf>
    <xf numFmtId="0" fontId="7" fillId="7" borderId="0" xfId="0" applyFont="1" applyFill="1" applyAlignment="1">
      <alignment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168" fontId="0" fillId="0" borderId="0" xfId="0" applyNumberFormat="1" applyAlignment="1">
      <alignment/>
    </xf>
    <xf numFmtId="168" fontId="8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3" fontId="0" fillId="0" borderId="3" xfId="0" applyNumberFormat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8" borderId="1" xfId="0" applyFont="1" applyFill="1" applyBorder="1" applyAlignment="1">
      <alignment vertical="center"/>
    </xf>
    <xf numFmtId="0" fontId="1" fillId="8" borderId="4" xfId="0" applyFont="1" applyFill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8" borderId="6" xfId="0" applyFont="1" applyFill="1" applyBorder="1" applyAlignment="1">
      <alignment vertic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1" fontId="8" fillId="12" borderId="3" xfId="0" applyNumberFormat="1" applyFont="1" applyFill="1" applyBorder="1" applyAlignment="1">
      <alignment horizontal="center" vertical="center"/>
    </xf>
    <xf numFmtId="0" fontId="8" fillId="2" borderId="3" xfId="0" applyNumberFormat="1" applyFont="1" applyFill="1" applyBorder="1" applyAlignment="1" applyProtection="1">
      <alignment horizontal="center" vertical="center" wrapText="1"/>
      <protection/>
    </xf>
    <xf numFmtId="0" fontId="9" fillId="2" borderId="3" xfId="0" applyNumberFormat="1" applyFont="1" applyFill="1" applyBorder="1" applyAlignment="1" applyProtection="1">
      <alignment horizontal="center" vertical="center" wrapText="1"/>
      <protection/>
    </xf>
    <xf numFmtId="0" fontId="8" fillId="12" borderId="3" xfId="0" applyNumberFormat="1" applyFont="1" applyFill="1" applyBorder="1" applyAlignment="1" applyProtection="1">
      <alignment horizontal="center" vertical="center" wrapText="1"/>
      <protection/>
    </xf>
    <xf numFmtId="0" fontId="9" fillId="11" borderId="3" xfId="0" applyNumberFormat="1" applyFont="1" applyFill="1" applyBorder="1" applyAlignment="1" applyProtection="1">
      <alignment horizontal="center" vertical="center" wrapText="1"/>
      <protection/>
    </xf>
    <xf numFmtId="0" fontId="8" fillId="8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>
      <alignment horizontal="center" vertical="center"/>
    </xf>
    <xf numFmtId="168" fontId="8" fillId="12" borderId="1" xfId="0" applyNumberFormat="1" applyFont="1" applyFill="1" applyBorder="1" applyAlignment="1">
      <alignment/>
    </xf>
    <xf numFmtId="168" fontId="8" fillId="0" borderId="4" xfId="0" applyNumberFormat="1" applyFont="1" applyBorder="1" applyAlignment="1">
      <alignment/>
    </xf>
    <xf numFmtId="168" fontId="8" fillId="0" borderId="6" xfId="0" applyNumberFormat="1" applyFont="1" applyBorder="1" applyAlignment="1">
      <alignment/>
    </xf>
    <xf numFmtId="168" fontId="8" fillId="0" borderId="6" xfId="0" applyNumberFormat="1" applyFont="1" applyFill="1" applyBorder="1" applyAlignment="1">
      <alignment/>
    </xf>
    <xf numFmtId="168" fontId="8" fillId="0" borderId="4" xfId="0" applyNumberFormat="1" applyFont="1" applyBorder="1" applyAlignment="1">
      <alignment wrapText="1"/>
    </xf>
    <xf numFmtId="0" fontId="1" fillId="12" borderId="1" xfId="0" applyFont="1" applyFill="1" applyBorder="1" applyAlignment="1">
      <alignment/>
    </xf>
    <xf numFmtId="0" fontId="1" fillId="0" borderId="4" xfId="0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8" fillId="0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" fontId="9" fillId="0" borderId="6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3" fontId="9" fillId="0" borderId="4" xfId="0" applyNumberFormat="1" applyFont="1" applyBorder="1" applyAlignment="1">
      <alignment/>
    </xf>
    <xf numFmtId="3" fontId="0" fillId="0" borderId="6" xfId="0" applyNumberFormat="1" applyFont="1" applyFill="1" applyBorder="1" applyAlignment="1">
      <alignment/>
    </xf>
    <xf numFmtId="3" fontId="8" fillId="0" borderId="6" xfId="0" applyNumberFormat="1" applyFont="1" applyFill="1" applyBorder="1" applyAlignment="1">
      <alignment/>
    </xf>
    <xf numFmtId="3" fontId="9" fillId="0" borderId="6" xfId="0" applyNumberFormat="1" applyFont="1" applyFill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6" xfId="0" applyNumberFormat="1" applyFill="1" applyBorder="1" applyAlignment="1">
      <alignment/>
    </xf>
    <xf numFmtId="3" fontId="9" fillId="0" borderId="6" xfId="0" applyNumberFormat="1" applyFont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0" borderId="1" xfId="0" applyBorder="1" applyAlignment="1">
      <alignment/>
    </xf>
    <xf numFmtId="3" fontId="0" fillId="0" borderId="1" xfId="0" applyNumberFormat="1" applyFill="1" applyBorder="1" applyAlignment="1">
      <alignment horizontal="right"/>
    </xf>
    <xf numFmtId="3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3" fontId="0" fillId="0" borderId="6" xfId="0" applyNumberFormat="1" applyBorder="1" applyAlignment="1">
      <alignment horizontal="right"/>
    </xf>
    <xf numFmtId="0" fontId="0" fillId="0" borderId="6" xfId="0" applyBorder="1" applyAlignment="1">
      <alignment/>
    </xf>
    <xf numFmtId="3" fontId="0" fillId="8" borderId="4" xfId="0" applyNumberFormat="1" applyFill="1" applyBorder="1" applyAlignment="1">
      <alignment horizontal="right"/>
    </xf>
    <xf numFmtId="3" fontId="0" fillId="11" borderId="4" xfId="0" applyNumberFormat="1" applyFill="1" applyBorder="1" applyAlignment="1">
      <alignment horizontal="right"/>
    </xf>
    <xf numFmtId="0" fontId="0" fillId="0" borderId="1" xfId="0" applyBorder="1" applyAlignment="1">
      <alignment/>
    </xf>
    <xf numFmtId="3" fontId="0" fillId="12" borderId="4" xfId="0" applyNumberFormat="1" applyFill="1" applyBorder="1" applyAlignment="1">
      <alignment horizontal="right"/>
    </xf>
    <xf numFmtId="3" fontId="0" fillId="13" borderId="6" xfId="0" applyNumberFormat="1" applyFill="1" applyBorder="1" applyAlignment="1">
      <alignment horizontal="right"/>
    </xf>
    <xf numFmtId="3" fontId="0" fillId="9" borderId="6" xfId="0" applyNumberFormat="1" applyFill="1" applyBorder="1" applyAlignment="1">
      <alignment horizontal="right"/>
    </xf>
    <xf numFmtId="3" fontId="0" fillId="13" borderId="4" xfId="0" applyNumberFormat="1" applyFill="1" applyBorder="1" applyAlignment="1">
      <alignment horizontal="right"/>
    </xf>
    <xf numFmtId="3" fontId="0" fillId="9" borderId="4" xfId="0" applyNumberFormat="1" applyFill="1" applyBorder="1" applyAlignment="1">
      <alignment horizontal="right"/>
    </xf>
    <xf numFmtId="0" fontId="0" fillId="9" borderId="6" xfId="0" applyFill="1" applyBorder="1" applyAlignment="1">
      <alignment/>
    </xf>
    <xf numFmtId="0" fontId="0" fillId="9" borderId="4" xfId="0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8" borderId="6" xfId="0" applyNumberFormat="1" applyFill="1" applyBorder="1" applyAlignment="1">
      <alignment horizontal="right"/>
    </xf>
    <xf numFmtId="3" fontId="0" fillId="11" borderId="6" xfId="0" applyNumberFormat="1" applyFill="1" applyBorder="1" applyAlignment="1">
      <alignment horizontal="right"/>
    </xf>
    <xf numFmtId="0" fontId="0" fillId="11" borderId="6" xfId="0" applyFill="1" applyBorder="1" applyAlignment="1">
      <alignment/>
    </xf>
    <xf numFmtId="3" fontId="0" fillId="0" borderId="6" xfId="0" applyNumberFormat="1" applyFill="1" applyBorder="1" applyAlignment="1">
      <alignment horizontal="right"/>
    </xf>
    <xf numFmtId="0" fontId="0" fillId="11" borderId="4" xfId="0" applyFill="1" applyBorder="1" applyAlignment="1">
      <alignment/>
    </xf>
    <xf numFmtId="3" fontId="0" fillId="12" borderId="6" xfId="0" applyNumberFormat="1" applyFill="1" applyBorder="1" applyAlignment="1">
      <alignment horizontal="right"/>
    </xf>
    <xf numFmtId="0" fontId="0" fillId="12" borderId="6" xfId="0" applyFill="1" applyBorder="1" applyAlignment="1">
      <alignment/>
    </xf>
    <xf numFmtId="0" fontId="0" fillId="12" borderId="4" xfId="0" applyFill="1" applyBorder="1" applyAlignment="1">
      <alignment/>
    </xf>
    <xf numFmtId="0" fontId="0" fillId="0" borderId="1" xfId="0" applyNumberFormat="1" applyBorder="1" applyAlignment="1">
      <alignment horizontal="right"/>
    </xf>
    <xf numFmtId="0" fontId="0" fillId="0" borderId="6" xfId="0" applyNumberFormat="1" applyBorder="1" applyAlignment="1">
      <alignment horizontal="right"/>
    </xf>
    <xf numFmtId="1" fontId="0" fillId="0" borderId="6" xfId="0" applyNumberFormat="1" applyBorder="1" applyAlignment="1">
      <alignment/>
    </xf>
    <xf numFmtId="0" fontId="0" fillId="0" borderId="6" xfId="0" applyBorder="1" applyAlignment="1">
      <alignment horizontal="right"/>
    </xf>
    <xf numFmtId="1" fontId="0" fillId="11" borderId="4" xfId="0" applyNumberFormat="1" applyFill="1" applyBorder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1" fontId="0" fillId="12" borderId="6" xfId="0" applyNumberFormat="1" applyFill="1" applyBorder="1" applyAlignment="1">
      <alignment/>
    </xf>
    <xf numFmtId="0" fontId="0" fillId="7" borderId="7" xfId="0" applyFill="1" applyBorder="1" applyAlignment="1">
      <alignment/>
    </xf>
    <xf numFmtId="0" fontId="0" fillId="7" borderId="8" xfId="0" applyFill="1" applyBorder="1" applyAlignment="1">
      <alignment/>
    </xf>
    <xf numFmtId="3" fontId="0" fillId="7" borderId="8" xfId="0" applyNumberFormat="1" applyFill="1" applyBorder="1" applyAlignment="1">
      <alignment horizontal="right"/>
    </xf>
    <xf numFmtId="0" fontId="0" fillId="7" borderId="13" xfId="0" applyFill="1" applyBorder="1" applyAlignment="1">
      <alignment/>
    </xf>
    <xf numFmtId="0" fontId="0" fillId="0" borderId="15" xfId="0" applyBorder="1" applyAlignment="1">
      <alignment/>
    </xf>
    <xf numFmtId="0" fontId="0" fillId="7" borderId="12" xfId="0" applyFill="1" applyBorder="1" applyAlignment="1">
      <alignment/>
    </xf>
    <xf numFmtId="0" fontId="0" fillId="7" borderId="14" xfId="0" applyFill="1" applyBorder="1" applyAlignment="1">
      <alignment/>
    </xf>
    <xf numFmtId="0" fontId="0" fillId="7" borderId="15" xfId="0" applyFill="1" applyBorder="1" applyAlignment="1">
      <alignment/>
    </xf>
    <xf numFmtId="0" fontId="0" fillId="7" borderId="15" xfId="0" applyFill="1" applyBorder="1" applyAlignment="1">
      <alignment horizontal="right"/>
    </xf>
    <xf numFmtId="171" fontId="1" fillId="0" borderId="0" xfId="0" applyNumberFormat="1" applyFont="1" applyAlignment="1">
      <alignment horizontal="center" vertical="center"/>
    </xf>
    <xf numFmtId="171" fontId="0" fillId="0" borderId="0" xfId="0" applyNumberFormat="1" applyAlignment="1">
      <alignment horizontal="center" vertical="center"/>
    </xf>
    <xf numFmtId="171" fontId="0" fillId="0" borderId="2" xfId="0" applyNumberFormat="1" applyBorder="1" applyAlignment="1">
      <alignment horizontal="center" vertical="center"/>
    </xf>
    <xf numFmtId="171" fontId="0" fillId="0" borderId="9" xfId="0" applyNumberFormat="1" applyBorder="1" applyAlignment="1">
      <alignment horizontal="center" vertical="center"/>
    </xf>
    <xf numFmtId="0" fontId="0" fillId="0" borderId="0" xfId="0" applyBorder="1" applyAlignment="1">
      <alignment horizontal="right"/>
    </xf>
    <xf numFmtId="171" fontId="0" fillId="0" borderId="5" xfId="0" applyNumberFormat="1" applyBorder="1" applyAlignment="1">
      <alignment horizontal="center" vertical="center"/>
    </xf>
    <xf numFmtId="0" fontId="0" fillId="7" borderId="8" xfId="0" applyFill="1" applyBorder="1" applyAlignment="1">
      <alignment/>
    </xf>
    <xf numFmtId="171" fontId="0" fillId="7" borderId="13" xfId="0" applyNumberFormat="1" applyFill="1" applyBorder="1" applyAlignment="1">
      <alignment horizontal="center" vertical="center"/>
    </xf>
    <xf numFmtId="1" fontId="0" fillId="13" borderId="6" xfId="0" applyNumberFormat="1" applyFill="1" applyBorder="1" applyAlignment="1">
      <alignment horizontal="right"/>
    </xf>
    <xf numFmtId="1" fontId="0" fillId="9" borderId="6" xfId="0" applyNumberFormat="1" applyFill="1" applyBorder="1" applyAlignment="1">
      <alignment horizontal="right"/>
    </xf>
    <xf numFmtId="1" fontId="0" fillId="9" borderId="6" xfId="0" applyNumberFormat="1" applyFill="1" applyBorder="1" applyAlignment="1">
      <alignment/>
    </xf>
    <xf numFmtId="1" fontId="0" fillId="7" borderId="14" xfId="0" applyNumberFormat="1" applyFill="1" applyBorder="1" applyAlignment="1">
      <alignment horizontal="right"/>
    </xf>
    <xf numFmtId="1" fontId="0" fillId="7" borderId="14" xfId="0" applyNumberFormat="1" applyFill="1" applyBorder="1" applyAlignment="1">
      <alignment/>
    </xf>
    <xf numFmtId="0" fontId="0" fillId="7" borderId="15" xfId="0" applyFill="1" applyBorder="1" applyAlignment="1">
      <alignment/>
    </xf>
    <xf numFmtId="171" fontId="0" fillId="0" borderId="1" xfId="0" applyNumberFormat="1" applyBorder="1" applyAlignment="1">
      <alignment horizontal="center" vertical="center"/>
    </xf>
    <xf numFmtId="171" fontId="0" fillId="0" borderId="6" xfId="0" applyNumberFormat="1" applyBorder="1" applyAlignment="1">
      <alignment horizontal="center" vertical="center"/>
    </xf>
    <xf numFmtId="171" fontId="0" fillId="0" borderId="4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0" fillId="7" borderId="19" xfId="0" applyFill="1" applyBorder="1" applyAlignment="1">
      <alignment/>
    </xf>
    <xf numFmtId="0" fontId="0" fillId="7" borderId="20" xfId="0" applyFill="1" applyBorder="1" applyAlignment="1">
      <alignment/>
    </xf>
    <xf numFmtId="0" fontId="0" fillId="0" borderId="17" xfId="0" applyBorder="1" applyAlignment="1">
      <alignment/>
    </xf>
    <xf numFmtId="1" fontId="0" fillId="0" borderId="21" xfId="0" applyNumberFormat="1" applyBorder="1" applyAlignment="1">
      <alignment/>
    </xf>
    <xf numFmtId="1" fontId="0" fillId="0" borderId="17" xfId="0" applyNumberFormat="1" applyBorder="1" applyAlignment="1">
      <alignment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0" fillId="0" borderId="0" xfId="0" applyNumberFormat="1" applyAlignment="1">
      <alignment/>
    </xf>
    <xf numFmtId="0" fontId="10" fillId="0" borderId="0" xfId="0" applyFont="1" applyAlignment="1">
      <alignment horizontal="left"/>
    </xf>
    <xf numFmtId="3" fontId="0" fillId="0" borderId="4" xfId="0" applyNumberFormat="1" applyFill="1" applyBorder="1" applyAlignment="1">
      <alignment/>
    </xf>
    <xf numFmtId="1" fontId="12" fillId="0" borderId="0" xfId="0" applyNumberFormat="1" applyFont="1" applyBorder="1" applyAlignment="1">
      <alignment/>
    </xf>
    <xf numFmtId="171" fontId="0" fillId="0" borderId="0" xfId="0" applyNumberFormat="1" applyAlignment="1">
      <alignment/>
    </xf>
    <xf numFmtId="171" fontId="12" fillId="0" borderId="0" xfId="0" applyNumberFormat="1" applyFont="1" applyAlignment="1">
      <alignment/>
    </xf>
    <xf numFmtId="1" fontId="0" fillId="7" borderId="21" xfId="0" applyNumberFormat="1" applyFill="1" applyBorder="1" applyAlignment="1">
      <alignment/>
    </xf>
    <xf numFmtId="171" fontId="0" fillId="7" borderId="5" xfId="0" applyNumberFormat="1" applyFill="1" applyBorder="1" applyAlignment="1">
      <alignment horizontal="center" vertical="center"/>
    </xf>
    <xf numFmtId="171" fontId="0" fillId="7" borderId="2" xfId="0" applyNumberForma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3" fontId="1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Border="1" applyAlignment="1">
      <alignment horizontal="center"/>
    </xf>
    <xf numFmtId="3" fontId="0" fillId="0" borderId="12" xfId="0" applyNumberFormat="1" applyFill="1" applyBorder="1" applyAlignment="1">
      <alignment horizontal="right"/>
    </xf>
    <xf numFmtId="3" fontId="0" fillId="9" borderId="11" xfId="0" applyNumberFormat="1" applyFill="1" applyBorder="1" applyAlignment="1">
      <alignment horizontal="right"/>
    </xf>
    <xf numFmtId="3" fontId="0" fillId="0" borderId="12" xfId="0" applyNumberFormat="1" applyBorder="1" applyAlignment="1">
      <alignment/>
    </xf>
    <xf numFmtId="3" fontId="0" fillId="9" borderId="11" xfId="0" applyNumberFormat="1" applyFill="1" applyBorder="1" applyAlignment="1">
      <alignment/>
    </xf>
    <xf numFmtId="3" fontId="0" fillId="0" borderId="1" xfId="0" applyNumberFormat="1" applyBorder="1" applyAlignment="1">
      <alignment/>
    </xf>
    <xf numFmtId="3" fontId="0" fillId="9" borderId="4" xfId="0" applyNumberFormat="1" applyFill="1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Fill="1" applyBorder="1" applyAlignment="1">
      <alignment/>
    </xf>
    <xf numFmtId="3" fontId="1" fillId="0" borderId="3" xfId="0" applyNumberFormat="1" applyFont="1" applyBorder="1" applyAlignment="1">
      <alignment/>
    </xf>
    <xf numFmtId="0" fontId="1" fillId="2" borderId="3" xfId="0" applyFont="1" applyFill="1" applyBorder="1" applyAlignment="1">
      <alignment horizontal="center" wrapText="1"/>
    </xf>
    <xf numFmtId="1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12" fillId="0" borderId="6" xfId="0" applyNumberFormat="1" applyFont="1" applyBorder="1" applyAlignment="1">
      <alignment/>
    </xf>
    <xf numFmtId="3" fontId="13" fillId="0" borderId="1" xfId="0" applyNumberFormat="1" applyFont="1" applyFill="1" applyBorder="1" applyAlignment="1">
      <alignment/>
    </xf>
    <xf numFmtId="0" fontId="1" fillId="8" borderId="5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/>
    </xf>
    <xf numFmtId="0" fontId="0" fillId="0" borderId="1" xfId="0" applyBorder="1" applyAlignment="1">
      <alignment wrapText="1"/>
    </xf>
    <xf numFmtId="171" fontId="12" fillId="0" borderId="6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4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9" xfId="0" applyFont="1" applyBorder="1" applyAlignment="1">
      <alignment/>
    </xf>
    <xf numFmtId="168" fontId="9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Alignment="1">
      <alignment horizontal="center" vertical="center"/>
    </xf>
    <xf numFmtId="0" fontId="0" fillId="0" borderId="3" xfId="0" applyBorder="1" applyAlignment="1">
      <alignment horizontal="left" vertical="center"/>
    </xf>
    <xf numFmtId="3" fontId="15" fillId="0" borderId="1" xfId="0" applyNumberFormat="1" applyFont="1" applyBorder="1" applyAlignment="1">
      <alignment/>
    </xf>
    <xf numFmtId="0" fontId="0" fillId="0" borderId="3" xfId="0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0" fontId="1" fillId="0" borderId="1" xfId="0" applyFont="1" applyFill="1" applyBorder="1" applyAlignment="1">
      <alignment/>
    </xf>
    <xf numFmtId="171" fontId="0" fillId="0" borderId="6" xfId="0" applyNumberFormat="1" applyFont="1" applyBorder="1" applyAlignment="1">
      <alignment horizontal="center" vertical="center"/>
    </xf>
    <xf numFmtId="171" fontId="0" fillId="0" borderId="6" xfId="0" applyNumberFormat="1" applyFont="1" applyFill="1" applyBorder="1" applyAlignment="1">
      <alignment horizontal="center" vertical="center"/>
    </xf>
    <xf numFmtId="3" fontId="0" fillId="0" borderId="13" xfId="0" applyNumberFormat="1" applyBorder="1" applyAlignment="1">
      <alignment horizontal="right" vertical="center"/>
    </xf>
    <xf numFmtId="0" fontId="1" fillId="8" borderId="3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1" fillId="8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justify"/>
    </xf>
    <xf numFmtId="0" fontId="0" fillId="0" borderId="6" xfId="0" applyBorder="1" applyAlignment="1">
      <alignment horizontal="left" vertical="justify"/>
    </xf>
    <xf numFmtId="0" fontId="0" fillId="0" borderId="4" xfId="0" applyBorder="1" applyAlignment="1">
      <alignment horizontal="left" vertical="justify"/>
    </xf>
    <xf numFmtId="0" fontId="1" fillId="2" borderId="12" xfId="0" applyFont="1" applyFill="1" applyBorder="1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0" fillId="0" borderId="2" xfId="0" applyBorder="1" applyAlignment="1">
      <alignment horizontal="center" vertical="justify"/>
    </xf>
    <xf numFmtId="0" fontId="0" fillId="0" borderId="11" xfId="0" applyBorder="1" applyAlignment="1">
      <alignment horizontal="center" vertical="justify"/>
    </xf>
    <xf numFmtId="0" fontId="0" fillId="0" borderId="15" xfId="0" applyBorder="1" applyAlignment="1">
      <alignment horizontal="center" vertical="justify"/>
    </xf>
    <xf numFmtId="0" fontId="0" fillId="0" borderId="5" xfId="0" applyBorder="1" applyAlignment="1">
      <alignment horizontal="center" vertical="justify"/>
    </xf>
    <xf numFmtId="0" fontId="0" fillId="2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17" fontId="0" fillId="2" borderId="1" xfId="0" applyNumberFormat="1" applyFill="1" applyBorder="1" applyAlignment="1">
      <alignment horizontal="center" vertical="center" wrapText="1"/>
    </xf>
    <xf numFmtId="0" fontId="0" fillId="13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3" xfId="0" applyNumberFormat="1" applyBorder="1" applyAlignment="1">
      <alignment/>
    </xf>
    <xf numFmtId="0" fontId="0" fillId="13" borderId="3" xfId="0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71"/>
  <sheetViews>
    <sheetView workbookViewId="0" topLeftCell="A79">
      <selection activeCell="C160" sqref="C160"/>
    </sheetView>
  </sheetViews>
  <sheetFormatPr defaultColWidth="9.00390625" defaultRowHeight="12.75"/>
  <cols>
    <col min="1" max="2" width="11.625" style="0" customWidth="1"/>
    <col min="3" max="3" width="29.75390625" style="0" customWidth="1"/>
    <col min="4" max="4" width="35.25390625" style="0" customWidth="1"/>
    <col min="5" max="5" width="21.875" style="0" customWidth="1"/>
    <col min="6" max="6" width="10.75390625" style="35" customWidth="1"/>
    <col min="7" max="7" width="14.00390625" style="83" customWidth="1"/>
    <col min="8" max="8" width="21.875" style="0" customWidth="1"/>
    <col min="9" max="9" width="10.75390625" style="83" customWidth="1"/>
    <col min="10" max="10" width="14.00390625" style="83" customWidth="1"/>
    <col min="11" max="11" width="21.875" style="0" customWidth="1"/>
    <col min="12" max="12" width="10.75390625" style="83" customWidth="1"/>
    <col min="13" max="13" width="14.00390625" style="83" customWidth="1"/>
  </cols>
  <sheetData>
    <row r="1" ht="12.75">
      <c r="A1" s="23" t="s">
        <v>337</v>
      </c>
    </row>
    <row r="2" spans="1:13" s="125" customFormat="1" ht="12.75">
      <c r="A2" s="133" t="s">
        <v>338</v>
      </c>
      <c r="B2" s="125" t="s">
        <v>11</v>
      </c>
      <c r="F2" s="134"/>
      <c r="G2" s="135"/>
      <c r="I2" s="135"/>
      <c r="J2" s="135"/>
      <c r="L2" s="135"/>
      <c r="M2" s="135"/>
    </row>
    <row r="3" spans="1:13" s="1" customFormat="1" ht="76.5">
      <c r="A3" s="9" t="s">
        <v>2</v>
      </c>
      <c r="B3" s="10" t="s">
        <v>261</v>
      </c>
      <c r="C3" s="11" t="s">
        <v>90</v>
      </c>
      <c r="D3" s="11" t="s">
        <v>4</v>
      </c>
      <c r="E3" s="15"/>
      <c r="F3" s="107"/>
      <c r="G3" s="84"/>
      <c r="H3" s="17" t="s">
        <v>3</v>
      </c>
      <c r="I3" s="84"/>
      <c r="J3" s="84"/>
      <c r="K3" s="16"/>
      <c r="L3" s="84"/>
      <c r="M3" s="93"/>
    </row>
    <row r="4" spans="1:13" s="1" customFormat="1" ht="65.25">
      <c r="A4" s="12"/>
      <c r="B4" s="13"/>
      <c r="C4" s="14"/>
      <c r="D4" s="14"/>
      <c r="E4" s="19" t="s">
        <v>237</v>
      </c>
      <c r="F4" s="108"/>
      <c r="G4" s="85" t="s">
        <v>127</v>
      </c>
      <c r="H4" s="19" t="s">
        <v>5</v>
      </c>
      <c r="I4" s="90"/>
      <c r="J4" s="85" t="s">
        <v>128</v>
      </c>
      <c r="K4" s="18" t="s">
        <v>334</v>
      </c>
      <c r="L4" s="94"/>
      <c r="M4" s="85" t="s">
        <v>129</v>
      </c>
    </row>
    <row r="5" spans="1:13" s="6" customFormat="1" ht="19.5" customHeight="1">
      <c r="A5" s="2" t="s">
        <v>6</v>
      </c>
      <c r="B5" s="2" t="s">
        <v>7</v>
      </c>
      <c r="C5" s="3" t="s">
        <v>8</v>
      </c>
      <c r="D5" s="4" t="s">
        <v>125</v>
      </c>
      <c r="E5" s="20" t="s">
        <v>0</v>
      </c>
      <c r="F5" s="109">
        <v>12</v>
      </c>
      <c r="G5" s="74" t="s">
        <v>50</v>
      </c>
      <c r="H5" s="21" t="s">
        <v>0</v>
      </c>
      <c r="I5" s="78">
        <v>1</v>
      </c>
      <c r="J5" s="74" t="s">
        <v>32</v>
      </c>
      <c r="K5" s="21" t="s">
        <v>0</v>
      </c>
      <c r="L5" s="78">
        <v>5</v>
      </c>
      <c r="M5" s="74" t="s">
        <v>9</v>
      </c>
    </row>
    <row r="6" spans="1:13" s="6" customFormat="1" ht="19.5" customHeight="1">
      <c r="A6" s="36"/>
      <c r="B6" s="36"/>
      <c r="C6" s="7"/>
      <c r="D6" s="8" t="s">
        <v>126</v>
      </c>
      <c r="E6" s="20" t="s">
        <v>1</v>
      </c>
      <c r="F6" s="22">
        <v>7</v>
      </c>
      <c r="G6" s="76"/>
      <c r="H6" s="21" t="s">
        <v>1</v>
      </c>
      <c r="I6" s="77">
        <v>0</v>
      </c>
      <c r="J6" s="76"/>
      <c r="K6" s="21" t="s">
        <v>1</v>
      </c>
      <c r="L6" s="77">
        <v>2</v>
      </c>
      <c r="M6" s="76"/>
    </row>
    <row r="7" spans="1:13" s="6" customFormat="1" ht="19.5" customHeight="1">
      <c r="A7" s="36"/>
      <c r="B7" s="37"/>
      <c r="C7" s="32" t="s">
        <v>71</v>
      </c>
      <c r="D7" s="32" t="s">
        <v>100</v>
      </c>
      <c r="E7" s="20" t="s">
        <v>0</v>
      </c>
      <c r="F7" s="109">
        <v>1</v>
      </c>
      <c r="G7" s="74" t="s">
        <v>32</v>
      </c>
      <c r="H7" s="21" t="s">
        <v>0</v>
      </c>
      <c r="I7" s="78">
        <v>0</v>
      </c>
      <c r="J7" s="74"/>
      <c r="K7" s="21" t="s">
        <v>0</v>
      </c>
      <c r="L7" s="78">
        <v>0</v>
      </c>
      <c r="M7" s="74"/>
    </row>
    <row r="8" spans="1:13" s="6" customFormat="1" ht="19.5" customHeight="1">
      <c r="A8" s="36"/>
      <c r="B8" s="37"/>
      <c r="C8" s="34"/>
      <c r="D8" s="34"/>
      <c r="E8" s="20" t="s">
        <v>1</v>
      </c>
      <c r="F8" s="110">
        <v>0</v>
      </c>
      <c r="G8" s="76"/>
      <c r="H8" s="21" t="s">
        <v>1</v>
      </c>
      <c r="I8" s="77">
        <v>0</v>
      </c>
      <c r="J8" s="76"/>
      <c r="K8" s="21" t="s">
        <v>1</v>
      </c>
      <c r="L8" s="77">
        <v>0</v>
      </c>
      <c r="M8" s="76"/>
    </row>
    <row r="9" spans="1:13" s="6" customFormat="1" ht="19.5" customHeight="1">
      <c r="A9" s="36"/>
      <c r="B9" s="36"/>
      <c r="C9" s="3" t="s">
        <v>8</v>
      </c>
      <c r="D9" s="2" t="s">
        <v>124</v>
      </c>
      <c r="E9" s="20" t="s">
        <v>0</v>
      </c>
      <c r="F9" s="109">
        <v>10</v>
      </c>
      <c r="G9" s="74" t="s">
        <v>25</v>
      </c>
      <c r="H9" s="21" t="s">
        <v>0</v>
      </c>
      <c r="I9" s="78">
        <v>0</v>
      </c>
      <c r="J9" s="74"/>
      <c r="K9" s="21" t="s">
        <v>0</v>
      </c>
      <c r="L9" s="78">
        <v>19</v>
      </c>
      <c r="M9" s="74" t="s">
        <v>13</v>
      </c>
    </row>
    <row r="10" spans="1:13" s="6" customFormat="1" ht="19.5" customHeight="1">
      <c r="A10" s="36"/>
      <c r="B10" s="54"/>
      <c r="C10" s="53"/>
      <c r="D10" s="34" t="s">
        <v>123</v>
      </c>
      <c r="E10" s="20" t="s">
        <v>1</v>
      </c>
      <c r="F10" s="22">
        <v>1</v>
      </c>
      <c r="G10" s="76"/>
      <c r="H10" s="21" t="s">
        <v>1</v>
      </c>
      <c r="I10" s="77">
        <v>0</v>
      </c>
      <c r="J10" s="76"/>
      <c r="K10" s="21" t="s">
        <v>1</v>
      </c>
      <c r="L10" s="77">
        <v>0</v>
      </c>
      <c r="M10" s="76"/>
    </row>
    <row r="11" spans="1:13" s="6" customFormat="1" ht="19.5" customHeight="1">
      <c r="A11" s="36"/>
      <c r="B11" s="36"/>
      <c r="C11" s="3" t="s">
        <v>17</v>
      </c>
      <c r="D11" s="2" t="s">
        <v>18</v>
      </c>
      <c r="E11" s="20" t="s">
        <v>0</v>
      </c>
      <c r="F11" s="109">
        <v>5</v>
      </c>
      <c r="G11" s="74" t="s">
        <v>9</v>
      </c>
      <c r="H11" s="21" t="s">
        <v>0</v>
      </c>
      <c r="I11" s="78">
        <v>0</v>
      </c>
      <c r="J11" s="74"/>
      <c r="K11" s="21" t="s">
        <v>0</v>
      </c>
      <c r="L11" s="78">
        <v>3</v>
      </c>
      <c r="M11" s="74" t="s">
        <v>19</v>
      </c>
    </row>
    <row r="12" spans="1:13" s="6" customFormat="1" ht="19.5" customHeight="1">
      <c r="A12" s="36"/>
      <c r="B12" s="54"/>
      <c r="C12" s="53"/>
      <c r="D12" s="53"/>
      <c r="E12" s="20" t="s">
        <v>1</v>
      </c>
      <c r="F12" s="22">
        <v>0</v>
      </c>
      <c r="G12" s="76"/>
      <c r="H12" s="21" t="s">
        <v>1</v>
      </c>
      <c r="I12" s="77">
        <v>0</v>
      </c>
      <c r="J12" s="76"/>
      <c r="K12" s="21" t="s">
        <v>1</v>
      </c>
      <c r="L12" s="77">
        <v>0</v>
      </c>
      <c r="M12" s="76"/>
    </row>
    <row r="13" spans="1:13" s="6" customFormat="1" ht="19.5" customHeight="1">
      <c r="A13" s="36"/>
      <c r="B13" s="36"/>
      <c r="C13" s="2" t="s">
        <v>14</v>
      </c>
      <c r="D13" s="2" t="s">
        <v>101</v>
      </c>
      <c r="E13" s="20" t="s">
        <v>0</v>
      </c>
      <c r="F13" s="109">
        <v>6</v>
      </c>
      <c r="G13" s="74" t="s">
        <v>15</v>
      </c>
      <c r="H13" s="21" t="s">
        <v>0</v>
      </c>
      <c r="I13" s="78">
        <v>0</v>
      </c>
      <c r="J13" s="74"/>
      <c r="K13" s="21" t="s">
        <v>0</v>
      </c>
      <c r="L13" s="78">
        <v>14</v>
      </c>
      <c r="M13" s="74" t="s">
        <v>16</v>
      </c>
    </row>
    <row r="14" spans="1:13" s="6" customFormat="1" ht="19.5" customHeight="1">
      <c r="A14" s="36"/>
      <c r="B14" s="54"/>
      <c r="C14" s="53"/>
      <c r="D14" s="53"/>
      <c r="E14" s="20" t="s">
        <v>1</v>
      </c>
      <c r="F14" s="110">
        <v>0</v>
      </c>
      <c r="G14" s="76"/>
      <c r="H14" s="21" t="s">
        <v>1</v>
      </c>
      <c r="I14" s="77">
        <v>0</v>
      </c>
      <c r="J14" s="76"/>
      <c r="K14" s="21" t="s">
        <v>1</v>
      </c>
      <c r="L14" s="77">
        <v>0</v>
      </c>
      <c r="M14" s="76"/>
    </row>
    <row r="15" spans="1:13" s="6" customFormat="1" ht="19.5" customHeight="1">
      <c r="A15" s="36"/>
      <c r="B15" s="36"/>
      <c r="C15" s="2" t="s">
        <v>20</v>
      </c>
      <c r="D15" s="2" t="s">
        <v>21</v>
      </c>
      <c r="E15" s="20" t="s">
        <v>0</v>
      </c>
      <c r="F15" s="109">
        <v>13</v>
      </c>
      <c r="G15" s="74" t="s">
        <v>22</v>
      </c>
      <c r="H15" s="21" t="s">
        <v>0</v>
      </c>
      <c r="I15" s="78">
        <v>0</v>
      </c>
      <c r="J15" s="74"/>
      <c r="K15" s="21" t="s">
        <v>0</v>
      </c>
      <c r="L15" s="78">
        <v>3</v>
      </c>
      <c r="M15" s="74" t="s">
        <v>19</v>
      </c>
    </row>
    <row r="16" spans="1:13" s="6" customFormat="1" ht="19.5" customHeight="1">
      <c r="A16" s="36"/>
      <c r="B16" s="36"/>
      <c r="C16" s="7"/>
      <c r="D16" s="7"/>
      <c r="E16" s="20" t="s">
        <v>1</v>
      </c>
      <c r="F16" s="22">
        <v>0</v>
      </c>
      <c r="G16" s="75"/>
      <c r="H16" s="21" t="s">
        <v>1</v>
      </c>
      <c r="I16" s="77">
        <v>0</v>
      </c>
      <c r="J16" s="75"/>
      <c r="K16" s="21" t="s">
        <v>1</v>
      </c>
      <c r="L16" s="77">
        <v>0</v>
      </c>
      <c r="M16" s="75"/>
    </row>
    <row r="17" spans="1:13" s="6" customFormat="1" ht="19.5" customHeight="1">
      <c r="A17" s="36"/>
      <c r="B17" s="36"/>
      <c r="C17" s="32" t="s">
        <v>23</v>
      </c>
      <c r="D17" s="32" t="s">
        <v>99</v>
      </c>
      <c r="E17" s="20" t="s">
        <v>0</v>
      </c>
      <c r="F17" s="109">
        <v>0</v>
      </c>
      <c r="G17" s="74"/>
      <c r="H17" s="21" t="s">
        <v>0</v>
      </c>
      <c r="I17" s="78">
        <v>0</v>
      </c>
      <c r="J17" s="74"/>
      <c r="K17" s="21" t="s">
        <v>0</v>
      </c>
      <c r="L17" s="78">
        <v>14</v>
      </c>
      <c r="M17" s="74" t="s">
        <v>16</v>
      </c>
    </row>
    <row r="18" spans="1:13" s="6" customFormat="1" ht="19.5" customHeight="1">
      <c r="A18" s="36"/>
      <c r="B18" s="34"/>
      <c r="C18" s="53"/>
      <c r="D18" s="53"/>
      <c r="E18" s="20" t="s">
        <v>1</v>
      </c>
      <c r="F18" s="22">
        <v>0</v>
      </c>
      <c r="G18" s="76"/>
      <c r="H18" s="21" t="s">
        <v>1</v>
      </c>
      <c r="I18" s="77">
        <v>0</v>
      </c>
      <c r="J18" s="75"/>
      <c r="K18" s="21" t="s">
        <v>1</v>
      </c>
      <c r="L18" s="83">
        <v>0</v>
      </c>
      <c r="M18" s="75"/>
    </row>
    <row r="19" spans="1:13" ht="19.5" customHeight="1">
      <c r="A19" s="42"/>
      <c r="B19" s="2" t="s">
        <v>89</v>
      </c>
      <c r="C19" s="3" t="s">
        <v>8</v>
      </c>
      <c r="D19" s="2" t="s">
        <v>24</v>
      </c>
      <c r="E19" s="20" t="s">
        <v>0</v>
      </c>
      <c r="F19" s="109">
        <v>5</v>
      </c>
      <c r="G19" s="74" t="s">
        <v>9</v>
      </c>
      <c r="H19" s="21" t="s">
        <v>0</v>
      </c>
      <c r="I19" s="78">
        <v>0</v>
      </c>
      <c r="J19" s="91"/>
      <c r="K19" s="21" t="s">
        <v>0</v>
      </c>
      <c r="L19" s="78">
        <v>10</v>
      </c>
      <c r="M19" s="74" t="s">
        <v>25</v>
      </c>
    </row>
    <row r="20" spans="1:13" ht="19.5" customHeight="1">
      <c r="A20" s="42"/>
      <c r="B20" s="7" t="s">
        <v>275</v>
      </c>
      <c r="C20" s="7"/>
      <c r="D20" s="7"/>
      <c r="E20" s="20" t="s">
        <v>1</v>
      </c>
      <c r="F20" s="22">
        <v>0</v>
      </c>
      <c r="G20" s="76"/>
      <c r="H20" s="21" t="s">
        <v>1</v>
      </c>
      <c r="I20" s="77">
        <v>0</v>
      </c>
      <c r="J20" s="76"/>
      <c r="K20" s="21" t="s">
        <v>1</v>
      </c>
      <c r="L20" s="77">
        <v>0</v>
      </c>
      <c r="M20" s="76"/>
    </row>
    <row r="21" spans="1:13" s="6" customFormat="1" ht="19.5" customHeight="1">
      <c r="A21" s="36"/>
      <c r="B21" s="2" t="s">
        <v>262</v>
      </c>
      <c r="C21" s="3" t="s">
        <v>8</v>
      </c>
      <c r="D21" s="2" t="s">
        <v>265</v>
      </c>
      <c r="E21" s="20" t="s">
        <v>0</v>
      </c>
      <c r="F21" s="109">
        <v>7</v>
      </c>
      <c r="G21" s="74" t="s">
        <v>95</v>
      </c>
      <c r="H21" s="21" t="s">
        <v>0</v>
      </c>
      <c r="I21" s="78">
        <v>1</v>
      </c>
      <c r="J21" s="74"/>
      <c r="K21" s="21" t="s">
        <v>0</v>
      </c>
      <c r="L21" s="78">
        <v>10</v>
      </c>
      <c r="M21" s="74" t="s">
        <v>96</v>
      </c>
    </row>
    <row r="22" spans="1:13" s="6" customFormat="1" ht="19.5" customHeight="1">
      <c r="A22" s="36"/>
      <c r="B22" s="54"/>
      <c r="C22" s="53"/>
      <c r="D22" s="53"/>
      <c r="E22" s="20" t="s">
        <v>1</v>
      </c>
      <c r="F22" s="22">
        <v>1</v>
      </c>
      <c r="G22" s="76" t="s">
        <v>97</v>
      </c>
      <c r="H22" s="21" t="s">
        <v>1</v>
      </c>
      <c r="I22" s="77">
        <v>0</v>
      </c>
      <c r="J22" s="76"/>
      <c r="K22" s="21" t="s">
        <v>1</v>
      </c>
      <c r="L22" s="77">
        <v>0</v>
      </c>
      <c r="M22" s="76" t="s">
        <v>97</v>
      </c>
    </row>
    <row r="23" spans="1:13" s="6" customFormat="1" ht="19.5" customHeight="1">
      <c r="A23" s="36"/>
      <c r="B23" s="36"/>
      <c r="C23" s="25" t="s">
        <v>20</v>
      </c>
      <c r="D23" s="32" t="s">
        <v>98</v>
      </c>
      <c r="E23" s="20" t="s">
        <v>0</v>
      </c>
      <c r="F23" s="109">
        <v>0</v>
      </c>
      <c r="G23" s="74"/>
      <c r="H23" s="21" t="s">
        <v>0</v>
      </c>
      <c r="I23" s="78">
        <v>0</v>
      </c>
      <c r="J23" s="74"/>
      <c r="K23" s="21" t="s">
        <v>0</v>
      </c>
      <c r="L23" s="78">
        <v>9</v>
      </c>
      <c r="M23" s="74" t="s">
        <v>96</v>
      </c>
    </row>
    <row r="24" spans="1:13" s="6" customFormat="1" ht="19.5" customHeight="1">
      <c r="A24" s="36"/>
      <c r="B24" s="36"/>
      <c r="C24" s="301"/>
      <c r="D24" s="34"/>
      <c r="E24" s="20" t="s">
        <v>1</v>
      </c>
      <c r="F24" s="302">
        <v>0</v>
      </c>
      <c r="G24" s="75"/>
      <c r="H24" s="21" t="s">
        <v>1</v>
      </c>
      <c r="I24" s="92">
        <v>0</v>
      </c>
      <c r="J24" s="75"/>
      <c r="K24" s="21" t="s">
        <v>1</v>
      </c>
      <c r="L24" s="92">
        <v>0</v>
      </c>
      <c r="M24" s="75"/>
    </row>
    <row r="25" spans="1:13" s="6" customFormat="1" ht="19.5" customHeight="1">
      <c r="A25" s="39"/>
      <c r="B25" s="39"/>
      <c r="C25" s="39"/>
      <c r="D25" s="40"/>
      <c r="E25" s="41"/>
      <c r="F25" s="111"/>
      <c r="G25" s="86"/>
      <c r="H25" s="41"/>
      <c r="I25" s="79"/>
      <c r="J25" s="86"/>
      <c r="K25" s="41"/>
      <c r="L25" s="79"/>
      <c r="M25" s="86"/>
    </row>
    <row r="26" spans="1:13" s="6" customFormat="1" ht="19.5" customHeight="1">
      <c r="A26" s="2" t="s">
        <v>27</v>
      </c>
      <c r="B26" s="2" t="s">
        <v>28</v>
      </c>
      <c r="C26" s="3" t="s">
        <v>8</v>
      </c>
      <c r="D26" s="4" t="s">
        <v>30</v>
      </c>
      <c r="E26" s="20" t="s">
        <v>0</v>
      </c>
      <c r="F26" s="109">
        <v>11</v>
      </c>
      <c r="G26" s="74" t="s">
        <v>31</v>
      </c>
      <c r="H26" s="21" t="s">
        <v>0</v>
      </c>
      <c r="I26" s="78">
        <v>1</v>
      </c>
      <c r="J26" s="74" t="s">
        <v>32</v>
      </c>
      <c r="K26" s="21" t="s">
        <v>0</v>
      </c>
      <c r="L26" s="78">
        <v>3</v>
      </c>
      <c r="M26" s="74" t="s">
        <v>33</v>
      </c>
    </row>
    <row r="27" spans="1:13" s="6" customFormat="1" ht="19.5" customHeight="1">
      <c r="A27" s="36"/>
      <c r="B27" s="36"/>
      <c r="C27" s="7"/>
      <c r="D27" s="8"/>
      <c r="E27" s="20" t="s">
        <v>1</v>
      </c>
      <c r="F27" s="110">
        <v>1</v>
      </c>
      <c r="G27" s="76"/>
      <c r="H27" s="21" t="s">
        <v>1</v>
      </c>
      <c r="I27" s="77">
        <v>0</v>
      </c>
      <c r="J27" s="76"/>
      <c r="K27" s="21" t="s">
        <v>1</v>
      </c>
      <c r="L27" s="77">
        <v>0</v>
      </c>
      <c r="M27" s="76"/>
    </row>
    <row r="28" spans="1:13" s="6" customFormat="1" ht="19.5" customHeight="1">
      <c r="A28" s="36"/>
      <c r="B28" s="36"/>
      <c r="C28" s="3" t="s">
        <v>34</v>
      </c>
      <c r="D28" s="4" t="s">
        <v>35</v>
      </c>
      <c r="E28" s="20" t="s">
        <v>0</v>
      </c>
      <c r="F28" s="109">
        <v>3</v>
      </c>
      <c r="G28" s="74" t="s">
        <v>19</v>
      </c>
      <c r="H28" s="21" t="s">
        <v>0</v>
      </c>
      <c r="I28" s="78">
        <v>1</v>
      </c>
      <c r="J28" s="74" t="s">
        <v>32</v>
      </c>
      <c r="K28" s="21" t="s">
        <v>0</v>
      </c>
      <c r="L28" s="78">
        <v>4</v>
      </c>
      <c r="M28" s="74" t="s">
        <v>309</v>
      </c>
    </row>
    <row r="29" spans="1:13" s="6" customFormat="1" ht="19.5" customHeight="1">
      <c r="A29" s="36"/>
      <c r="B29" s="36"/>
      <c r="C29" s="7"/>
      <c r="D29" s="8"/>
      <c r="E29" s="20" t="s">
        <v>1</v>
      </c>
      <c r="F29" s="22">
        <v>0</v>
      </c>
      <c r="G29" s="76"/>
      <c r="H29" s="21" t="s">
        <v>1</v>
      </c>
      <c r="I29" s="77">
        <v>0</v>
      </c>
      <c r="J29" s="76"/>
      <c r="K29" s="21" t="s">
        <v>1</v>
      </c>
      <c r="L29" s="77">
        <v>0</v>
      </c>
      <c r="M29" s="76"/>
    </row>
    <row r="30" spans="1:13" s="6" customFormat="1" ht="19.5" customHeight="1">
      <c r="A30" s="36"/>
      <c r="B30" s="36"/>
      <c r="C30" s="3" t="s">
        <v>29</v>
      </c>
      <c r="D30" s="4" t="s">
        <v>100</v>
      </c>
      <c r="E30" s="20" t="s">
        <v>0</v>
      </c>
      <c r="F30" s="109">
        <v>2</v>
      </c>
      <c r="G30" s="74" t="s">
        <v>10</v>
      </c>
      <c r="H30" s="21" t="s">
        <v>0</v>
      </c>
      <c r="I30" s="78">
        <v>0</v>
      </c>
      <c r="J30" s="74"/>
      <c r="K30" s="21" t="s">
        <v>0</v>
      </c>
      <c r="L30" s="78">
        <v>0</v>
      </c>
      <c r="M30" s="74"/>
    </row>
    <row r="31" spans="1:13" s="6" customFormat="1" ht="19.5" customHeight="1">
      <c r="A31" s="7"/>
      <c r="B31" s="7"/>
      <c r="C31" s="7"/>
      <c r="D31" s="8"/>
      <c r="E31" s="20" t="s">
        <v>1</v>
      </c>
      <c r="F31" s="22">
        <v>0</v>
      </c>
      <c r="G31" s="76"/>
      <c r="H31" s="21" t="s">
        <v>1</v>
      </c>
      <c r="I31" s="77">
        <v>0</v>
      </c>
      <c r="J31" s="76"/>
      <c r="K31" s="21" t="s">
        <v>1</v>
      </c>
      <c r="L31" s="77">
        <v>0</v>
      </c>
      <c r="M31" s="76"/>
    </row>
    <row r="32" spans="1:13" ht="19.5" customHeight="1">
      <c r="A32" s="67" t="s">
        <v>36</v>
      </c>
      <c r="B32" s="24" t="s">
        <v>28</v>
      </c>
      <c r="C32" s="24" t="s">
        <v>45</v>
      </c>
      <c r="D32" s="25" t="s">
        <v>46</v>
      </c>
      <c r="E32" s="20" t="s">
        <v>0</v>
      </c>
      <c r="F32" s="112">
        <v>48</v>
      </c>
      <c r="G32" s="74" t="s">
        <v>47</v>
      </c>
      <c r="H32" s="52" t="s">
        <v>0</v>
      </c>
      <c r="I32" s="78">
        <v>0</v>
      </c>
      <c r="J32" s="74"/>
      <c r="K32" s="52" t="s">
        <v>0</v>
      </c>
      <c r="L32" s="78">
        <v>9</v>
      </c>
      <c r="M32" s="74" t="s">
        <v>12</v>
      </c>
    </row>
    <row r="33" spans="1:13" ht="19.5" customHeight="1">
      <c r="A33" s="42"/>
      <c r="B33" s="42"/>
      <c r="C33" s="26"/>
      <c r="D33" s="26"/>
      <c r="E33" s="27" t="s">
        <v>1</v>
      </c>
      <c r="F33" s="22">
        <v>0</v>
      </c>
      <c r="G33" s="76"/>
      <c r="H33" s="52" t="s">
        <v>1</v>
      </c>
      <c r="I33" s="77">
        <v>0</v>
      </c>
      <c r="J33" s="76"/>
      <c r="K33" s="28" t="s">
        <v>1</v>
      </c>
      <c r="L33" s="95">
        <v>0</v>
      </c>
      <c r="M33" s="76"/>
    </row>
    <row r="34" spans="1:13" s="6" customFormat="1" ht="19.5" customHeight="1">
      <c r="A34" s="36"/>
      <c r="B34" s="36"/>
      <c r="C34" s="3" t="s">
        <v>42</v>
      </c>
      <c r="D34" s="4" t="s">
        <v>43</v>
      </c>
      <c r="E34" s="20" t="s">
        <v>0</v>
      </c>
      <c r="F34" s="109">
        <v>7</v>
      </c>
      <c r="G34" s="74" t="s">
        <v>118</v>
      </c>
      <c r="H34" s="21" t="s">
        <v>0</v>
      </c>
      <c r="I34" s="78">
        <v>2</v>
      </c>
      <c r="J34" s="74" t="s">
        <v>10</v>
      </c>
      <c r="K34" s="21" t="s">
        <v>0</v>
      </c>
      <c r="L34" s="78">
        <v>0</v>
      </c>
      <c r="M34" s="74"/>
    </row>
    <row r="35" spans="1:13" s="6" customFormat="1" ht="19.5" customHeight="1">
      <c r="A35" s="36"/>
      <c r="B35" s="36"/>
      <c r="C35" s="7"/>
      <c r="D35" s="8" t="s">
        <v>44</v>
      </c>
      <c r="E35" s="20" t="s">
        <v>1</v>
      </c>
      <c r="F35" s="22">
        <v>0</v>
      </c>
      <c r="G35" s="75"/>
      <c r="H35" s="21" t="s">
        <v>1</v>
      </c>
      <c r="I35" s="77">
        <v>0</v>
      </c>
      <c r="J35" s="76"/>
      <c r="K35" s="21" t="s">
        <v>1</v>
      </c>
      <c r="L35" s="77">
        <v>0</v>
      </c>
      <c r="M35" s="76"/>
    </row>
    <row r="36" spans="1:13" s="6" customFormat="1" ht="19.5" customHeight="1">
      <c r="A36" s="36"/>
      <c r="B36" s="36"/>
      <c r="C36" s="3" t="s">
        <v>37</v>
      </c>
      <c r="D36" s="4" t="s">
        <v>38</v>
      </c>
      <c r="E36" s="20" t="s">
        <v>0</v>
      </c>
      <c r="F36" s="109">
        <v>37</v>
      </c>
      <c r="G36" s="74" t="s">
        <v>39</v>
      </c>
      <c r="H36" s="21" t="s">
        <v>0</v>
      </c>
      <c r="I36" s="78">
        <v>0</v>
      </c>
      <c r="J36" s="74"/>
      <c r="K36" s="21" t="s">
        <v>0</v>
      </c>
      <c r="L36" s="78">
        <v>23</v>
      </c>
      <c r="M36" s="74" t="s">
        <v>40</v>
      </c>
    </row>
    <row r="37" spans="1:13" s="6" customFormat="1" ht="19.5" customHeight="1">
      <c r="A37" s="36"/>
      <c r="B37" s="36"/>
      <c r="C37" s="7"/>
      <c r="D37" s="8" t="s">
        <v>41</v>
      </c>
      <c r="E37" s="20" t="s">
        <v>1</v>
      </c>
      <c r="F37" s="22">
        <v>0</v>
      </c>
      <c r="G37" s="76"/>
      <c r="H37" s="21" t="s">
        <v>1</v>
      </c>
      <c r="I37" s="77">
        <v>0</v>
      </c>
      <c r="J37" s="76"/>
      <c r="K37" s="21" t="s">
        <v>1</v>
      </c>
      <c r="L37" s="77">
        <v>0</v>
      </c>
      <c r="M37" s="76"/>
    </row>
    <row r="38" spans="1:13" ht="19.5" customHeight="1">
      <c r="A38" s="29"/>
      <c r="B38" s="29"/>
      <c r="C38" s="29" t="s">
        <v>48</v>
      </c>
      <c r="D38" s="30" t="s">
        <v>49</v>
      </c>
      <c r="E38" s="20" t="s">
        <v>0</v>
      </c>
      <c r="F38" s="113">
        <v>7</v>
      </c>
      <c r="G38" s="74" t="s">
        <v>118</v>
      </c>
      <c r="H38" s="52" t="s">
        <v>0</v>
      </c>
      <c r="I38" s="78">
        <v>1</v>
      </c>
      <c r="J38" s="74" t="s">
        <v>301</v>
      </c>
      <c r="K38" s="52" t="s">
        <v>0</v>
      </c>
      <c r="L38" s="78">
        <v>5</v>
      </c>
      <c r="M38" s="74" t="s">
        <v>9</v>
      </c>
    </row>
    <row r="39" spans="1:13" ht="19.5" customHeight="1">
      <c r="A39" s="26"/>
      <c r="B39" s="26"/>
      <c r="C39" s="26"/>
      <c r="D39" s="26"/>
      <c r="E39" s="27" t="s">
        <v>1</v>
      </c>
      <c r="F39" s="22">
        <v>0</v>
      </c>
      <c r="G39" s="76"/>
      <c r="H39" s="52" t="s">
        <v>1</v>
      </c>
      <c r="I39" s="77">
        <v>0</v>
      </c>
      <c r="J39" s="76"/>
      <c r="K39" s="52" t="s">
        <v>1</v>
      </c>
      <c r="L39" s="77">
        <v>0</v>
      </c>
      <c r="M39" s="76"/>
    </row>
    <row r="40" spans="1:13" ht="19.5" customHeight="1">
      <c r="A40" s="68"/>
      <c r="B40" s="43"/>
      <c r="C40" s="44"/>
      <c r="D40" s="44"/>
      <c r="E40" s="45"/>
      <c r="F40" s="114"/>
      <c r="G40" s="87"/>
      <c r="H40" s="46"/>
      <c r="I40" s="89"/>
      <c r="J40" s="89"/>
      <c r="K40" s="46"/>
      <c r="L40" s="89"/>
      <c r="M40" s="89"/>
    </row>
    <row r="41" spans="1:31" s="31" customFormat="1" ht="19.5" customHeight="1">
      <c r="A41" s="58" t="s">
        <v>51</v>
      </c>
      <c r="B41" s="58" t="s">
        <v>52</v>
      </c>
      <c r="C41" s="56" t="s">
        <v>53</v>
      </c>
      <c r="D41" s="56" t="s">
        <v>54</v>
      </c>
      <c r="E41" s="28" t="s">
        <v>0</v>
      </c>
      <c r="F41" s="115">
        <v>1</v>
      </c>
      <c r="G41" s="319" t="s">
        <v>55</v>
      </c>
      <c r="H41" s="28" t="s">
        <v>0</v>
      </c>
      <c r="I41" s="80">
        <v>0</v>
      </c>
      <c r="J41" s="74"/>
      <c r="K41" s="28" t="s">
        <v>0</v>
      </c>
      <c r="L41" s="80">
        <v>0</v>
      </c>
      <c r="M41" s="74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</row>
    <row r="42" spans="1:31" s="31" customFormat="1" ht="19.5" customHeight="1">
      <c r="A42" s="59"/>
      <c r="B42" s="59"/>
      <c r="C42" s="57"/>
      <c r="D42" s="57"/>
      <c r="E42" s="52" t="s">
        <v>1</v>
      </c>
      <c r="F42" s="22">
        <v>0</v>
      </c>
      <c r="G42" s="316"/>
      <c r="H42" s="52" t="s">
        <v>1</v>
      </c>
      <c r="I42" s="85">
        <v>0</v>
      </c>
      <c r="J42" s="76"/>
      <c r="K42" s="52" t="s">
        <v>1</v>
      </c>
      <c r="L42" s="77">
        <v>1</v>
      </c>
      <c r="M42" s="76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</row>
    <row r="43" spans="1:31" ht="19.5" customHeight="1">
      <c r="A43" s="69"/>
      <c r="B43" s="59"/>
      <c r="C43" s="56" t="s">
        <v>57</v>
      </c>
      <c r="D43" s="56" t="s">
        <v>58</v>
      </c>
      <c r="E43" s="52" t="s">
        <v>0</v>
      </c>
      <c r="F43" s="109">
        <v>6</v>
      </c>
      <c r="G43" s="315" t="s">
        <v>59</v>
      </c>
      <c r="H43" s="52" t="s">
        <v>0</v>
      </c>
      <c r="I43" s="78">
        <v>4</v>
      </c>
      <c r="J43" s="315" t="s">
        <v>60</v>
      </c>
      <c r="K43" s="52" t="s">
        <v>0</v>
      </c>
      <c r="L43" s="78">
        <v>4</v>
      </c>
      <c r="M43" s="315" t="s">
        <v>304</v>
      </c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</row>
    <row r="44" spans="1:31" ht="19.5" customHeight="1">
      <c r="A44" s="69"/>
      <c r="B44" s="59"/>
      <c r="C44" s="57"/>
      <c r="D44" s="57"/>
      <c r="E44" s="52" t="s">
        <v>1</v>
      </c>
      <c r="F44" s="22">
        <v>0</v>
      </c>
      <c r="G44" s="316"/>
      <c r="H44" s="52" t="s">
        <v>1</v>
      </c>
      <c r="I44" s="77">
        <v>1</v>
      </c>
      <c r="J44" s="316"/>
      <c r="K44" s="52" t="s">
        <v>1</v>
      </c>
      <c r="L44" s="77">
        <v>0</v>
      </c>
      <c r="M44" s="316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</row>
    <row r="45" spans="1:31" ht="19.5" customHeight="1">
      <c r="A45" s="69"/>
      <c r="B45" s="59"/>
      <c r="C45" s="56" t="s">
        <v>17</v>
      </c>
      <c r="D45" s="60" t="s">
        <v>92</v>
      </c>
      <c r="E45" s="52" t="s">
        <v>0</v>
      </c>
      <c r="F45" s="109">
        <v>4</v>
      </c>
      <c r="G45" s="315" t="s">
        <v>61</v>
      </c>
      <c r="H45" s="52" t="s">
        <v>0</v>
      </c>
      <c r="I45" s="78">
        <v>1</v>
      </c>
      <c r="J45" s="316" t="s">
        <v>62</v>
      </c>
      <c r="K45" s="52" t="s">
        <v>0</v>
      </c>
      <c r="L45" s="78">
        <v>4</v>
      </c>
      <c r="M45" s="315" t="s">
        <v>305</v>
      </c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</row>
    <row r="46" spans="1:31" ht="19.5" customHeight="1">
      <c r="A46" s="69"/>
      <c r="B46" s="59"/>
      <c r="C46" s="57"/>
      <c r="D46" s="61" t="s">
        <v>91</v>
      </c>
      <c r="E46" s="52" t="s">
        <v>1</v>
      </c>
      <c r="F46" s="22">
        <v>0</v>
      </c>
      <c r="G46" s="316"/>
      <c r="H46" s="52" t="s">
        <v>1</v>
      </c>
      <c r="I46" s="77">
        <v>0</v>
      </c>
      <c r="J46" s="316"/>
      <c r="K46" s="52" t="s">
        <v>1</v>
      </c>
      <c r="L46" s="77">
        <v>0</v>
      </c>
      <c r="M46" s="316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1" ht="19.5" customHeight="1">
      <c r="A47" s="69"/>
      <c r="B47" s="59"/>
      <c r="C47" s="56" t="s">
        <v>14</v>
      </c>
      <c r="D47" s="60" t="s">
        <v>65</v>
      </c>
      <c r="E47" s="52" t="s">
        <v>0</v>
      </c>
      <c r="F47" s="109">
        <v>2</v>
      </c>
      <c r="G47" s="316" t="s">
        <v>66</v>
      </c>
      <c r="H47" s="52" t="s">
        <v>0</v>
      </c>
      <c r="I47" s="78">
        <v>0</v>
      </c>
      <c r="J47" s="74"/>
      <c r="K47" s="52" t="s">
        <v>0</v>
      </c>
      <c r="L47" s="78">
        <v>2</v>
      </c>
      <c r="M47" s="316" t="s">
        <v>67</v>
      </c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</row>
    <row r="48" spans="1:31" ht="19.5" customHeight="1">
      <c r="A48" s="69"/>
      <c r="B48" s="59"/>
      <c r="C48" s="57"/>
      <c r="D48" s="61"/>
      <c r="E48" s="52" t="s">
        <v>1</v>
      </c>
      <c r="F48" s="22">
        <v>0</v>
      </c>
      <c r="G48" s="316"/>
      <c r="H48" s="52" t="s">
        <v>1</v>
      </c>
      <c r="I48" s="77">
        <v>0</v>
      </c>
      <c r="J48" s="76"/>
      <c r="K48" s="52" t="s">
        <v>1</v>
      </c>
      <c r="L48" s="77">
        <v>0</v>
      </c>
      <c r="M48" s="316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</row>
    <row r="49" spans="1:31" ht="19.5" customHeight="1">
      <c r="A49" s="69"/>
      <c r="B49" s="59"/>
      <c r="C49" s="56" t="s">
        <v>29</v>
      </c>
      <c r="D49" s="60" t="s">
        <v>70</v>
      </c>
      <c r="E49" s="52" t="s">
        <v>0</v>
      </c>
      <c r="F49" s="109">
        <v>0</v>
      </c>
      <c r="G49" s="78"/>
      <c r="H49" s="52" t="s">
        <v>0</v>
      </c>
      <c r="I49" s="78">
        <v>0</v>
      </c>
      <c r="J49" s="316"/>
      <c r="K49" s="52" t="s">
        <v>0</v>
      </c>
      <c r="L49" s="78">
        <v>1</v>
      </c>
      <c r="M49" s="316" t="s">
        <v>62</v>
      </c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</row>
    <row r="50" spans="1:31" ht="19.5" customHeight="1">
      <c r="A50" s="69"/>
      <c r="B50" s="59"/>
      <c r="C50" s="57"/>
      <c r="D50" s="61"/>
      <c r="E50" s="52" t="s">
        <v>1</v>
      </c>
      <c r="F50" s="22">
        <v>0</v>
      </c>
      <c r="G50" s="78"/>
      <c r="H50" s="52" t="s">
        <v>1</v>
      </c>
      <c r="I50" s="77">
        <v>1</v>
      </c>
      <c r="J50" s="316"/>
      <c r="K50" s="52" t="s">
        <v>1</v>
      </c>
      <c r="L50" s="77">
        <v>0</v>
      </c>
      <c r="M50" s="316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</row>
    <row r="51" spans="1:31" ht="19.5" customHeight="1">
      <c r="A51" s="70"/>
      <c r="B51" s="59"/>
      <c r="C51" s="60" t="s">
        <v>93</v>
      </c>
      <c r="D51" s="60" t="s">
        <v>72</v>
      </c>
      <c r="E51" s="52" t="s">
        <v>0</v>
      </c>
      <c r="F51" s="109">
        <v>0</v>
      </c>
      <c r="G51" s="78"/>
      <c r="H51" s="52" t="s">
        <v>0</v>
      </c>
      <c r="I51" s="78">
        <v>0</v>
      </c>
      <c r="J51" s="74"/>
      <c r="K51" s="52" t="s">
        <v>0</v>
      </c>
      <c r="L51" s="78">
        <v>14</v>
      </c>
      <c r="M51" s="316" t="s">
        <v>16</v>
      </c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</row>
    <row r="52" spans="1:31" ht="19.5" customHeight="1">
      <c r="A52" s="70"/>
      <c r="B52" s="55"/>
      <c r="C52" s="61" t="s">
        <v>94</v>
      </c>
      <c r="D52" s="61"/>
      <c r="E52" s="52" t="s">
        <v>1</v>
      </c>
      <c r="F52" s="22">
        <v>0</v>
      </c>
      <c r="G52" s="78"/>
      <c r="H52" s="52" t="s">
        <v>1</v>
      </c>
      <c r="I52" s="77">
        <v>0</v>
      </c>
      <c r="J52" s="76"/>
      <c r="K52" s="52" t="s">
        <v>1</v>
      </c>
      <c r="L52" s="77">
        <v>0</v>
      </c>
      <c r="M52" s="316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</row>
    <row r="53" spans="1:31" s="31" customFormat="1" ht="19.5" customHeight="1">
      <c r="A53" s="69"/>
      <c r="B53" s="97" t="s">
        <v>263</v>
      </c>
      <c r="C53" s="56" t="s">
        <v>53</v>
      </c>
      <c r="D53" s="56" t="s">
        <v>54</v>
      </c>
      <c r="E53" s="52" t="s">
        <v>0</v>
      </c>
      <c r="F53" s="109">
        <v>1</v>
      </c>
      <c r="G53" s="315" t="s">
        <v>56</v>
      </c>
      <c r="H53" s="52" t="s">
        <v>0</v>
      </c>
      <c r="I53" s="81">
        <v>0</v>
      </c>
      <c r="J53" s="74"/>
      <c r="K53" s="52" t="s">
        <v>0</v>
      </c>
      <c r="L53" s="81">
        <v>0</v>
      </c>
      <c r="M53" s="74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</row>
    <row r="54" spans="1:31" s="31" customFormat="1" ht="19.5" customHeight="1">
      <c r="A54" s="69"/>
      <c r="B54" s="59"/>
      <c r="C54" s="57"/>
      <c r="D54" s="57"/>
      <c r="E54" s="52" t="s">
        <v>1</v>
      </c>
      <c r="F54" s="22">
        <v>0</v>
      </c>
      <c r="G54" s="316"/>
      <c r="H54" s="52" t="s">
        <v>1</v>
      </c>
      <c r="I54" s="85">
        <v>0</v>
      </c>
      <c r="J54" s="76"/>
      <c r="K54" s="52" t="s">
        <v>1</v>
      </c>
      <c r="L54" s="85">
        <v>0</v>
      </c>
      <c r="M54" s="76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</row>
    <row r="55" spans="1:31" ht="19.5" customHeight="1">
      <c r="A55" s="69"/>
      <c r="B55" s="59"/>
      <c r="C55" s="56" t="s">
        <v>57</v>
      </c>
      <c r="D55" s="56" t="s">
        <v>58</v>
      </c>
      <c r="E55" s="52" t="s">
        <v>0</v>
      </c>
      <c r="F55" s="109">
        <v>5</v>
      </c>
      <c r="G55" s="315" t="s">
        <v>130</v>
      </c>
      <c r="H55" s="52" t="s">
        <v>0</v>
      </c>
      <c r="I55" s="78">
        <v>0</v>
      </c>
      <c r="J55" s="316"/>
      <c r="K55" s="52" t="s">
        <v>0</v>
      </c>
      <c r="L55" s="78">
        <v>2</v>
      </c>
      <c r="M55" s="315" t="s">
        <v>306</v>
      </c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</row>
    <row r="56" spans="1:31" ht="19.5" customHeight="1">
      <c r="A56" s="69"/>
      <c r="B56" s="59"/>
      <c r="C56" s="57"/>
      <c r="D56" s="57"/>
      <c r="E56" s="52" t="s">
        <v>1</v>
      </c>
      <c r="F56" s="22">
        <v>0</v>
      </c>
      <c r="G56" s="316"/>
      <c r="H56" s="52" t="s">
        <v>1</v>
      </c>
      <c r="I56" s="77">
        <v>0</v>
      </c>
      <c r="J56" s="316"/>
      <c r="K56" s="52" t="s">
        <v>1</v>
      </c>
      <c r="L56" s="77">
        <v>0</v>
      </c>
      <c r="M56" s="316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</row>
    <row r="57" spans="1:31" ht="19.5" customHeight="1">
      <c r="A57" s="69"/>
      <c r="B57" s="59"/>
      <c r="C57" s="56" t="s">
        <v>17</v>
      </c>
      <c r="D57" s="60" t="s">
        <v>92</v>
      </c>
      <c r="E57" s="52" t="s">
        <v>0</v>
      </c>
      <c r="F57" s="109">
        <v>4</v>
      </c>
      <c r="G57" s="315" t="s">
        <v>63</v>
      </c>
      <c r="H57" s="52" t="s">
        <v>0</v>
      </c>
      <c r="I57" s="78">
        <v>1</v>
      </c>
      <c r="J57" s="316" t="s">
        <v>64</v>
      </c>
      <c r="K57" s="52" t="s">
        <v>0</v>
      </c>
      <c r="L57" s="78">
        <v>4</v>
      </c>
      <c r="M57" s="315" t="s">
        <v>307</v>
      </c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</row>
    <row r="58" spans="1:31" ht="19.5" customHeight="1">
      <c r="A58" s="69"/>
      <c r="B58" s="59"/>
      <c r="C58" s="57"/>
      <c r="D58" s="61" t="s">
        <v>91</v>
      </c>
      <c r="E58" s="52" t="s">
        <v>1</v>
      </c>
      <c r="F58" s="22">
        <v>0</v>
      </c>
      <c r="G58" s="316"/>
      <c r="H58" s="52" t="s">
        <v>1</v>
      </c>
      <c r="I58" s="77">
        <v>0</v>
      </c>
      <c r="J58" s="316"/>
      <c r="K58" s="52" t="s">
        <v>1</v>
      </c>
      <c r="L58" s="77">
        <v>0</v>
      </c>
      <c r="M58" s="316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</row>
    <row r="59" spans="1:31" ht="19.5" customHeight="1">
      <c r="A59" s="69"/>
      <c r="B59" s="59"/>
      <c r="C59" s="56" t="s">
        <v>14</v>
      </c>
      <c r="D59" s="60" t="s">
        <v>65</v>
      </c>
      <c r="E59" s="52" t="s">
        <v>0</v>
      </c>
      <c r="F59" s="109">
        <v>2</v>
      </c>
      <c r="G59" s="316" t="s">
        <v>68</v>
      </c>
      <c r="H59" s="52" t="s">
        <v>0</v>
      </c>
      <c r="I59" s="78">
        <v>0</v>
      </c>
      <c r="J59" s="74"/>
      <c r="K59" s="52" t="s">
        <v>0</v>
      </c>
      <c r="L59" s="78">
        <v>2</v>
      </c>
      <c r="M59" s="316" t="s">
        <v>69</v>
      </c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</row>
    <row r="60" spans="1:31" ht="19.5" customHeight="1">
      <c r="A60" s="69"/>
      <c r="B60" s="59"/>
      <c r="C60" s="57"/>
      <c r="D60" s="61"/>
      <c r="E60" s="52" t="s">
        <v>1</v>
      </c>
      <c r="F60" s="22">
        <v>0</v>
      </c>
      <c r="G60" s="316"/>
      <c r="H60" s="52" t="s">
        <v>1</v>
      </c>
      <c r="I60" s="77">
        <v>0</v>
      </c>
      <c r="J60" s="76"/>
      <c r="K60" s="52" t="s">
        <v>1</v>
      </c>
      <c r="L60" s="77">
        <v>0</v>
      </c>
      <c r="M60" s="316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</row>
    <row r="61" spans="1:31" ht="19.5" customHeight="1">
      <c r="A61" s="69"/>
      <c r="B61" s="59"/>
      <c r="C61" s="56" t="s">
        <v>71</v>
      </c>
      <c r="D61" s="60" t="s">
        <v>70</v>
      </c>
      <c r="E61" s="52" t="s">
        <v>0</v>
      </c>
      <c r="F61" s="109">
        <v>0</v>
      </c>
      <c r="G61" s="78"/>
      <c r="H61" s="52" t="s">
        <v>0</v>
      </c>
      <c r="I61" s="78">
        <v>0</v>
      </c>
      <c r="J61" s="316"/>
      <c r="K61" s="52" t="s">
        <v>0</v>
      </c>
      <c r="L61" s="78">
        <v>1</v>
      </c>
      <c r="M61" s="316" t="s">
        <v>64</v>
      </c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</row>
    <row r="62" spans="1:31" ht="19.5" customHeight="1">
      <c r="A62" s="69"/>
      <c r="B62" s="59"/>
      <c r="C62" s="57"/>
      <c r="D62" s="61"/>
      <c r="E62" s="52" t="s">
        <v>1</v>
      </c>
      <c r="F62" s="22">
        <v>0</v>
      </c>
      <c r="G62" s="78"/>
      <c r="H62" s="52" t="s">
        <v>1</v>
      </c>
      <c r="I62" s="77">
        <v>1</v>
      </c>
      <c r="J62" s="316"/>
      <c r="K62" s="52" t="s">
        <v>1</v>
      </c>
      <c r="L62" s="77">
        <v>0</v>
      </c>
      <c r="M62" s="316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</row>
    <row r="63" spans="1:31" ht="19.5" customHeight="1">
      <c r="A63" s="69"/>
      <c r="B63" s="59"/>
      <c r="C63" s="60" t="s">
        <v>93</v>
      </c>
      <c r="D63" s="60" t="s">
        <v>72</v>
      </c>
      <c r="E63" s="52" t="s">
        <v>0</v>
      </c>
      <c r="F63" s="109">
        <v>0</v>
      </c>
      <c r="G63" s="78"/>
      <c r="H63" s="52" t="s">
        <v>0</v>
      </c>
      <c r="I63" s="78">
        <v>0</v>
      </c>
      <c r="J63" s="74"/>
      <c r="K63" s="52" t="s">
        <v>0</v>
      </c>
      <c r="L63" s="78">
        <v>2</v>
      </c>
      <c r="M63" s="316" t="s">
        <v>308</v>
      </c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</row>
    <row r="64" spans="1:31" ht="19.5" customHeight="1">
      <c r="A64" s="71"/>
      <c r="B64" s="55"/>
      <c r="C64" s="61" t="s">
        <v>94</v>
      </c>
      <c r="D64" s="61"/>
      <c r="E64" s="52" t="s">
        <v>1</v>
      </c>
      <c r="F64" s="22">
        <v>0</v>
      </c>
      <c r="G64" s="78"/>
      <c r="H64" s="52" t="s">
        <v>1</v>
      </c>
      <c r="I64" s="77">
        <v>0</v>
      </c>
      <c r="J64" s="76"/>
      <c r="K64" s="52" t="s">
        <v>1</v>
      </c>
      <c r="L64" s="77">
        <v>0</v>
      </c>
      <c r="M64" s="316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</row>
    <row r="65" spans="1:31" ht="19.5" customHeight="1">
      <c r="A65" s="72"/>
      <c r="B65" s="48"/>
      <c r="C65" s="49"/>
      <c r="D65" s="50"/>
      <c r="E65" s="51"/>
      <c r="F65" s="111"/>
      <c r="G65" s="82"/>
      <c r="H65" s="51"/>
      <c r="I65" s="79"/>
      <c r="J65" s="82"/>
      <c r="K65" s="51"/>
      <c r="L65" s="79"/>
      <c r="M65" s="82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</row>
    <row r="66" spans="1:13" s="6" customFormat="1" ht="19.5" customHeight="1">
      <c r="A66" s="2" t="s">
        <v>73</v>
      </c>
      <c r="B66" s="138" t="s">
        <v>74</v>
      </c>
      <c r="C66" s="33" t="s">
        <v>57</v>
      </c>
      <c r="D66" s="317" t="s">
        <v>75</v>
      </c>
      <c r="E66" s="20" t="s">
        <v>0</v>
      </c>
      <c r="F66" s="109">
        <v>8</v>
      </c>
      <c r="G66" s="74" t="s">
        <v>119</v>
      </c>
      <c r="H66" s="20" t="s">
        <v>0</v>
      </c>
      <c r="I66" s="78">
        <v>0</v>
      </c>
      <c r="J66" s="74"/>
      <c r="K66" s="20" t="s">
        <v>0</v>
      </c>
      <c r="L66" s="78">
        <v>0</v>
      </c>
      <c r="M66" s="74"/>
    </row>
    <row r="67" spans="1:13" s="6" customFormat="1" ht="19.5" customHeight="1">
      <c r="A67" s="36"/>
      <c r="B67" s="34"/>
      <c r="C67" s="34"/>
      <c r="D67" s="318"/>
      <c r="E67" s="20" t="s">
        <v>1</v>
      </c>
      <c r="F67" s="22">
        <v>0</v>
      </c>
      <c r="G67" s="76"/>
      <c r="H67" s="20" t="s">
        <v>1</v>
      </c>
      <c r="I67" s="77">
        <v>0</v>
      </c>
      <c r="J67" s="76"/>
      <c r="K67" s="20" t="s">
        <v>1</v>
      </c>
      <c r="L67" s="77">
        <v>0</v>
      </c>
      <c r="M67" s="76"/>
    </row>
    <row r="68" spans="1:13" s="6" customFormat="1" ht="19.5" customHeight="1">
      <c r="A68" s="36"/>
      <c r="B68" s="32" t="s">
        <v>7</v>
      </c>
      <c r="C68" s="33" t="s">
        <v>57</v>
      </c>
      <c r="D68" s="4" t="s">
        <v>76</v>
      </c>
      <c r="E68" s="20" t="s">
        <v>0</v>
      </c>
      <c r="F68" s="109">
        <v>6</v>
      </c>
      <c r="G68" s="74" t="s">
        <v>15</v>
      </c>
      <c r="H68" s="20" t="s">
        <v>0</v>
      </c>
      <c r="I68" s="78">
        <v>1</v>
      </c>
      <c r="J68" s="74" t="s">
        <v>32</v>
      </c>
      <c r="K68" s="20" t="s">
        <v>0</v>
      </c>
      <c r="L68" s="78">
        <v>0</v>
      </c>
      <c r="M68" s="74"/>
    </row>
    <row r="69" spans="1:13" s="6" customFormat="1" ht="19.5" customHeight="1">
      <c r="A69" s="36"/>
      <c r="B69" s="34"/>
      <c r="C69" s="34"/>
      <c r="D69" s="8"/>
      <c r="E69" s="20" t="s">
        <v>1</v>
      </c>
      <c r="F69" s="110">
        <v>0</v>
      </c>
      <c r="G69" s="76"/>
      <c r="H69" s="20" t="s">
        <v>1</v>
      </c>
      <c r="I69" s="77">
        <v>0</v>
      </c>
      <c r="J69" s="76"/>
      <c r="K69" s="20" t="s">
        <v>1</v>
      </c>
      <c r="L69" s="77">
        <v>0</v>
      </c>
      <c r="M69" s="76"/>
    </row>
    <row r="70" spans="1:13" s="6" customFormat="1" ht="19.5" customHeight="1">
      <c r="A70" s="36"/>
      <c r="B70" s="138" t="s">
        <v>74</v>
      </c>
      <c r="C70" s="35" t="s">
        <v>57</v>
      </c>
      <c r="D70" s="317" t="s">
        <v>77</v>
      </c>
      <c r="E70" s="20" t="s">
        <v>0</v>
      </c>
      <c r="F70" s="109">
        <v>4</v>
      </c>
      <c r="G70" s="74" t="s">
        <v>113</v>
      </c>
      <c r="H70" s="20" t="s">
        <v>0</v>
      </c>
      <c r="I70" s="78">
        <v>0</v>
      </c>
      <c r="J70" s="75"/>
      <c r="K70" s="20" t="s">
        <v>0</v>
      </c>
      <c r="L70" s="78">
        <v>0</v>
      </c>
      <c r="M70" s="75"/>
    </row>
    <row r="71" spans="1:13" s="6" customFormat="1" ht="19.5" customHeight="1">
      <c r="A71" s="36"/>
      <c r="B71" s="34"/>
      <c r="C71" s="34"/>
      <c r="D71" s="318"/>
      <c r="E71" s="20" t="s">
        <v>1</v>
      </c>
      <c r="F71" s="110">
        <v>0</v>
      </c>
      <c r="G71" s="76"/>
      <c r="H71" s="20" t="s">
        <v>1</v>
      </c>
      <c r="I71" s="77">
        <v>0</v>
      </c>
      <c r="J71" s="76"/>
      <c r="K71" s="20" t="s">
        <v>1</v>
      </c>
      <c r="L71" s="77">
        <v>0</v>
      </c>
      <c r="M71" s="76"/>
    </row>
    <row r="72" spans="1:13" s="6" customFormat="1" ht="19.5" customHeight="1">
      <c r="A72" s="36"/>
      <c r="B72" s="138" t="s">
        <v>74</v>
      </c>
      <c r="C72" s="35" t="s">
        <v>57</v>
      </c>
      <c r="D72" s="317" t="s">
        <v>78</v>
      </c>
      <c r="E72" s="20" t="s">
        <v>0</v>
      </c>
      <c r="F72" s="109">
        <v>4</v>
      </c>
      <c r="G72" s="74" t="s">
        <v>113</v>
      </c>
      <c r="H72" s="20" t="s">
        <v>0</v>
      </c>
      <c r="I72" s="78">
        <v>0</v>
      </c>
      <c r="J72" s="75"/>
      <c r="K72" s="20" t="s">
        <v>0</v>
      </c>
      <c r="L72" s="78">
        <v>0</v>
      </c>
      <c r="M72" s="75"/>
    </row>
    <row r="73" spans="1:13" s="6" customFormat="1" ht="19.5" customHeight="1">
      <c r="A73" s="36"/>
      <c r="B73" s="37"/>
      <c r="C73" s="34"/>
      <c r="D73" s="318"/>
      <c r="E73" s="20" t="s">
        <v>1</v>
      </c>
      <c r="F73" s="110">
        <v>0</v>
      </c>
      <c r="G73" s="75"/>
      <c r="H73" s="20" t="s">
        <v>1</v>
      </c>
      <c r="I73" s="77">
        <v>0</v>
      </c>
      <c r="J73" s="75"/>
      <c r="K73" s="20" t="s">
        <v>1</v>
      </c>
      <c r="L73" s="77">
        <v>0</v>
      </c>
      <c r="M73" s="75"/>
    </row>
    <row r="74" spans="1:13" s="6" customFormat="1" ht="19.5" customHeight="1">
      <c r="A74" s="36"/>
      <c r="B74" s="32" t="s">
        <v>7</v>
      </c>
      <c r="C74" s="35" t="s">
        <v>57</v>
      </c>
      <c r="D74" s="317" t="s">
        <v>79</v>
      </c>
      <c r="E74" s="20" t="s">
        <v>0</v>
      </c>
      <c r="F74" s="109">
        <v>2</v>
      </c>
      <c r="G74" s="74" t="s">
        <v>10</v>
      </c>
      <c r="H74" s="21" t="s">
        <v>0</v>
      </c>
      <c r="I74" s="78">
        <v>0</v>
      </c>
      <c r="J74" s="74"/>
      <c r="K74" s="21" t="s">
        <v>0</v>
      </c>
      <c r="L74" s="78">
        <v>0</v>
      </c>
      <c r="M74" s="74"/>
    </row>
    <row r="75" spans="1:13" s="6" customFormat="1" ht="19.5" customHeight="1">
      <c r="A75" s="36"/>
      <c r="B75" s="34"/>
      <c r="C75" s="34"/>
      <c r="D75" s="318"/>
      <c r="E75" s="20" t="s">
        <v>1</v>
      </c>
      <c r="F75" s="22">
        <v>0</v>
      </c>
      <c r="G75" s="76"/>
      <c r="H75" s="21" t="s">
        <v>1</v>
      </c>
      <c r="I75" s="77">
        <v>0</v>
      </c>
      <c r="J75" s="76"/>
      <c r="K75" s="21" t="s">
        <v>1</v>
      </c>
      <c r="L75" s="77">
        <v>0</v>
      </c>
      <c r="M75" s="76"/>
    </row>
    <row r="76" spans="1:13" s="6" customFormat="1" ht="19.5" customHeight="1">
      <c r="A76" s="36"/>
      <c r="B76" s="138" t="s">
        <v>74</v>
      </c>
      <c r="C76" s="35" t="s">
        <v>57</v>
      </c>
      <c r="D76" s="317" t="s">
        <v>80</v>
      </c>
      <c r="E76" s="20" t="s">
        <v>0</v>
      </c>
      <c r="F76" s="109">
        <v>1</v>
      </c>
      <c r="G76" s="74" t="s">
        <v>109</v>
      </c>
      <c r="H76" s="21" t="s">
        <v>0</v>
      </c>
      <c r="I76" s="78">
        <v>0</v>
      </c>
      <c r="J76" s="75"/>
      <c r="K76" s="21" t="s">
        <v>0</v>
      </c>
      <c r="L76" s="78">
        <v>0</v>
      </c>
      <c r="M76" s="75"/>
    </row>
    <row r="77" spans="1:13" s="6" customFormat="1" ht="19.5" customHeight="1">
      <c r="A77" s="36"/>
      <c r="B77" s="34"/>
      <c r="C77" s="34"/>
      <c r="D77" s="318"/>
      <c r="E77" s="20" t="s">
        <v>1</v>
      </c>
      <c r="F77" s="22">
        <v>0</v>
      </c>
      <c r="G77" s="76"/>
      <c r="H77" s="21" t="s">
        <v>1</v>
      </c>
      <c r="I77" s="77">
        <v>0</v>
      </c>
      <c r="J77" s="76"/>
      <c r="K77" s="21" t="s">
        <v>1</v>
      </c>
      <c r="L77" s="77">
        <v>0</v>
      </c>
      <c r="M77" s="76"/>
    </row>
    <row r="78" spans="1:13" s="6" customFormat="1" ht="19.5" customHeight="1">
      <c r="A78" s="36"/>
      <c r="B78" s="138" t="s">
        <v>74</v>
      </c>
      <c r="C78" s="35" t="s">
        <v>17</v>
      </c>
      <c r="D78" s="317" t="s">
        <v>81</v>
      </c>
      <c r="E78" s="20" t="s">
        <v>0</v>
      </c>
      <c r="F78" s="109">
        <v>5</v>
      </c>
      <c r="G78" s="74" t="s">
        <v>120</v>
      </c>
      <c r="H78" s="21" t="s">
        <v>0</v>
      </c>
      <c r="I78" s="78">
        <v>0</v>
      </c>
      <c r="J78" s="75"/>
      <c r="K78" s="21" t="s">
        <v>0</v>
      </c>
      <c r="L78" s="78">
        <v>0</v>
      </c>
      <c r="M78" s="75"/>
    </row>
    <row r="79" spans="1:13" s="6" customFormat="1" ht="19.5" customHeight="1">
      <c r="A79" s="36"/>
      <c r="B79" s="34"/>
      <c r="C79" s="34"/>
      <c r="D79" s="318"/>
      <c r="E79" s="20" t="s">
        <v>1</v>
      </c>
      <c r="F79" s="22">
        <v>0</v>
      </c>
      <c r="G79" s="76"/>
      <c r="H79" s="21" t="s">
        <v>1</v>
      </c>
      <c r="I79" s="77">
        <v>0</v>
      </c>
      <c r="J79" s="76"/>
      <c r="K79" s="21" t="s">
        <v>1</v>
      </c>
      <c r="L79" s="77">
        <v>0</v>
      </c>
      <c r="M79" s="76"/>
    </row>
    <row r="80" spans="1:13" s="6" customFormat="1" ht="19.5" customHeight="1">
      <c r="A80" s="36"/>
      <c r="B80" s="138" t="s">
        <v>74</v>
      </c>
      <c r="C80" s="35" t="s">
        <v>34</v>
      </c>
      <c r="D80" s="2" t="s">
        <v>82</v>
      </c>
      <c r="E80" s="20" t="s">
        <v>0</v>
      </c>
      <c r="F80" s="109">
        <v>3</v>
      </c>
      <c r="G80" s="74" t="s">
        <v>121</v>
      </c>
      <c r="H80" s="21" t="s">
        <v>0</v>
      </c>
      <c r="I80" s="78">
        <v>1</v>
      </c>
      <c r="J80" s="74" t="s">
        <v>109</v>
      </c>
      <c r="K80" s="21" t="s">
        <v>0</v>
      </c>
      <c r="L80" s="78">
        <v>0</v>
      </c>
      <c r="M80" s="75"/>
    </row>
    <row r="81" spans="1:13" s="6" customFormat="1" ht="19.5" customHeight="1">
      <c r="A81" s="36"/>
      <c r="B81" s="34"/>
      <c r="C81" s="34"/>
      <c r="D81" s="8"/>
      <c r="E81" s="20" t="s">
        <v>1</v>
      </c>
      <c r="F81" s="22">
        <v>0</v>
      </c>
      <c r="G81" s="76"/>
      <c r="H81" s="21" t="s">
        <v>1</v>
      </c>
      <c r="I81" s="77">
        <v>0</v>
      </c>
      <c r="J81" s="76"/>
      <c r="K81" s="21" t="s">
        <v>1</v>
      </c>
      <c r="L81" s="77">
        <v>0</v>
      </c>
      <c r="M81" s="76"/>
    </row>
    <row r="82" spans="1:13" s="6" customFormat="1" ht="19.5" customHeight="1">
      <c r="A82" s="36"/>
      <c r="B82" s="138" t="s">
        <v>74</v>
      </c>
      <c r="C82" s="35" t="s">
        <v>29</v>
      </c>
      <c r="D82" s="2" t="s">
        <v>70</v>
      </c>
      <c r="E82" s="20" t="s">
        <v>0</v>
      </c>
      <c r="F82" s="109">
        <v>2</v>
      </c>
      <c r="G82" s="74" t="s">
        <v>66</v>
      </c>
      <c r="H82" s="21" t="s">
        <v>0</v>
      </c>
      <c r="I82" s="78">
        <v>2</v>
      </c>
      <c r="J82" s="74" t="s">
        <v>66</v>
      </c>
      <c r="K82" s="21" t="s">
        <v>0</v>
      </c>
      <c r="L82" s="78">
        <v>0</v>
      </c>
      <c r="M82" s="75"/>
    </row>
    <row r="83" spans="1:13" s="6" customFormat="1" ht="19.5" customHeight="1">
      <c r="A83" s="7"/>
      <c r="B83" s="37"/>
      <c r="C83" s="37"/>
      <c r="D83" s="38"/>
      <c r="E83" s="20" t="s">
        <v>1</v>
      </c>
      <c r="F83" s="22">
        <v>0</v>
      </c>
      <c r="G83" s="75"/>
      <c r="H83" s="21" t="s">
        <v>1</v>
      </c>
      <c r="I83" s="77">
        <v>0</v>
      </c>
      <c r="J83" s="75"/>
      <c r="K83" s="21" t="s">
        <v>1</v>
      </c>
      <c r="L83" s="77">
        <v>0</v>
      </c>
      <c r="M83" s="75"/>
    </row>
    <row r="84" spans="1:13" s="6" customFormat="1" ht="19.5" customHeight="1">
      <c r="A84" s="2" t="s">
        <v>83</v>
      </c>
      <c r="B84" s="138" t="s">
        <v>74</v>
      </c>
      <c r="C84" s="139" t="s">
        <v>84</v>
      </c>
      <c r="D84" s="4" t="s">
        <v>85</v>
      </c>
      <c r="E84" s="20" t="s">
        <v>0</v>
      </c>
      <c r="F84" s="109">
        <v>13</v>
      </c>
      <c r="G84" s="74" t="s">
        <v>122</v>
      </c>
      <c r="H84" s="21" t="s">
        <v>0</v>
      </c>
      <c r="I84" s="78">
        <v>2</v>
      </c>
      <c r="J84" s="74" t="s">
        <v>66</v>
      </c>
      <c r="K84" s="21" t="s">
        <v>0</v>
      </c>
      <c r="L84" s="78">
        <v>2</v>
      </c>
      <c r="M84" s="74" t="s">
        <v>66</v>
      </c>
    </row>
    <row r="85" spans="1:13" s="6" customFormat="1" ht="19.5" customHeight="1">
      <c r="A85" s="7"/>
      <c r="B85" s="34"/>
      <c r="C85" s="34"/>
      <c r="D85" s="8"/>
      <c r="E85" s="20" t="s">
        <v>1</v>
      </c>
      <c r="F85" s="22">
        <v>0</v>
      </c>
      <c r="G85" s="76"/>
      <c r="H85" s="21" t="s">
        <v>1</v>
      </c>
      <c r="I85" s="77">
        <v>0</v>
      </c>
      <c r="J85" s="76"/>
      <c r="K85" s="21" t="s">
        <v>1</v>
      </c>
      <c r="L85" s="77">
        <v>0</v>
      </c>
      <c r="M85" s="76"/>
    </row>
    <row r="86" spans="1:13" s="6" customFormat="1" ht="19.5" customHeight="1">
      <c r="A86" s="2" t="s">
        <v>86</v>
      </c>
      <c r="B86" s="138" t="s">
        <v>74</v>
      </c>
      <c r="C86" s="139" t="s">
        <v>84</v>
      </c>
      <c r="D86" s="4" t="s">
        <v>87</v>
      </c>
      <c r="E86" s="20" t="s">
        <v>0</v>
      </c>
      <c r="F86" s="109">
        <v>14</v>
      </c>
      <c r="G86" s="74" t="s">
        <v>296</v>
      </c>
      <c r="H86" s="21" t="s">
        <v>0</v>
      </c>
      <c r="I86" s="78">
        <v>3</v>
      </c>
      <c r="J86" s="74" t="s">
        <v>121</v>
      </c>
      <c r="K86" s="21" t="s">
        <v>0</v>
      </c>
      <c r="L86" s="78">
        <v>3</v>
      </c>
      <c r="M86" s="74" t="s">
        <v>121</v>
      </c>
    </row>
    <row r="87" spans="1:13" s="6" customFormat="1" ht="19.5" customHeight="1">
      <c r="A87" s="7"/>
      <c r="B87" s="34"/>
      <c r="C87" s="7"/>
      <c r="D87" s="8" t="s">
        <v>88</v>
      </c>
      <c r="E87" s="20" t="s">
        <v>1</v>
      </c>
      <c r="F87" s="110">
        <v>0</v>
      </c>
      <c r="G87" s="76"/>
      <c r="H87" s="21" t="s">
        <v>1</v>
      </c>
      <c r="I87" s="77">
        <v>0</v>
      </c>
      <c r="J87" s="76"/>
      <c r="K87" s="21" t="s">
        <v>1</v>
      </c>
      <c r="L87" s="77">
        <v>0</v>
      </c>
      <c r="M87" s="76"/>
    </row>
    <row r="88" spans="1:13" ht="19.5" customHeight="1">
      <c r="A88" s="73"/>
      <c r="B88" s="63"/>
      <c r="C88" s="63"/>
      <c r="D88" s="63"/>
      <c r="E88" s="63"/>
      <c r="F88" s="116"/>
      <c r="G88" s="88"/>
      <c r="H88" s="63"/>
      <c r="I88" s="88"/>
      <c r="J88" s="88"/>
      <c r="K88" s="63"/>
      <c r="L88" s="88"/>
      <c r="M88" s="88"/>
    </row>
    <row r="89" spans="1:13" ht="19.5" customHeight="1">
      <c r="A89" s="67" t="s">
        <v>102</v>
      </c>
      <c r="B89" s="24" t="s">
        <v>103</v>
      </c>
      <c r="C89" s="24" t="s">
        <v>8</v>
      </c>
      <c r="D89" s="25" t="s">
        <v>104</v>
      </c>
      <c r="E89" s="20" t="s">
        <v>0</v>
      </c>
      <c r="F89" s="112">
        <v>14</v>
      </c>
      <c r="G89" s="74" t="s">
        <v>16</v>
      </c>
      <c r="H89" s="52" t="s">
        <v>0</v>
      </c>
      <c r="I89" s="78">
        <v>1</v>
      </c>
      <c r="J89" s="74" t="s">
        <v>32</v>
      </c>
      <c r="K89" s="52" t="s">
        <v>0</v>
      </c>
      <c r="L89" s="78">
        <v>0</v>
      </c>
      <c r="M89" s="74"/>
    </row>
    <row r="90" spans="1:13" ht="19.5" customHeight="1">
      <c r="A90" s="42"/>
      <c r="B90" s="42"/>
      <c r="C90" s="26"/>
      <c r="D90" s="26"/>
      <c r="E90" s="27" t="s">
        <v>1</v>
      </c>
      <c r="F90" s="22">
        <v>0</v>
      </c>
      <c r="G90" s="76"/>
      <c r="H90" s="52" t="s">
        <v>1</v>
      </c>
      <c r="I90" s="77">
        <v>0</v>
      </c>
      <c r="J90" s="76"/>
      <c r="K90" s="28" t="s">
        <v>1</v>
      </c>
      <c r="L90" s="96">
        <v>0</v>
      </c>
      <c r="M90" s="76"/>
    </row>
    <row r="91" spans="1:13" ht="19.5" customHeight="1">
      <c r="A91" s="29"/>
      <c r="B91" s="29"/>
      <c r="C91" s="29" t="s">
        <v>17</v>
      </c>
      <c r="D91" s="30" t="s">
        <v>108</v>
      </c>
      <c r="E91" s="20" t="s">
        <v>0</v>
      </c>
      <c r="F91" s="113">
        <v>7</v>
      </c>
      <c r="G91" s="74" t="s">
        <v>118</v>
      </c>
      <c r="H91" s="52" t="s">
        <v>0</v>
      </c>
      <c r="I91" s="78">
        <v>0</v>
      </c>
      <c r="J91" s="74"/>
      <c r="K91" s="52" t="s">
        <v>0</v>
      </c>
      <c r="L91" s="78">
        <v>0</v>
      </c>
      <c r="M91" s="74"/>
    </row>
    <row r="92" spans="1:13" ht="19.5" customHeight="1">
      <c r="A92" s="42"/>
      <c r="B92" s="42"/>
      <c r="C92" s="26"/>
      <c r="D92" s="26"/>
      <c r="E92" s="27" t="s">
        <v>1</v>
      </c>
      <c r="F92" s="22">
        <v>0</v>
      </c>
      <c r="G92" s="76"/>
      <c r="H92" s="52" t="s">
        <v>1</v>
      </c>
      <c r="I92" s="77">
        <v>0</v>
      </c>
      <c r="J92" s="76"/>
      <c r="K92" s="52" t="s">
        <v>1</v>
      </c>
      <c r="L92" s="92">
        <v>0</v>
      </c>
      <c r="M92" s="76"/>
    </row>
    <row r="93" spans="1:13" ht="19.5" customHeight="1">
      <c r="A93" s="29"/>
      <c r="B93" s="29"/>
      <c r="C93" s="29" t="s">
        <v>14</v>
      </c>
      <c r="D93" s="30" t="s">
        <v>110</v>
      </c>
      <c r="E93" s="20" t="s">
        <v>0</v>
      </c>
      <c r="F93" s="113">
        <v>6</v>
      </c>
      <c r="G93" s="74" t="s">
        <v>112</v>
      </c>
      <c r="H93" s="52" t="s">
        <v>0</v>
      </c>
      <c r="I93" s="78">
        <v>0</v>
      </c>
      <c r="J93" s="74"/>
      <c r="K93" s="52" t="s">
        <v>0</v>
      </c>
      <c r="L93" s="78">
        <v>0</v>
      </c>
      <c r="M93" s="74"/>
    </row>
    <row r="94" spans="1:13" ht="19.5" customHeight="1">
      <c r="A94" s="42"/>
      <c r="B94" s="42"/>
      <c r="C94" s="26"/>
      <c r="D94" s="66" t="s">
        <v>111</v>
      </c>
      <c r="E94" s="27" t="s">
        <v>1</v>
      </c>
      <c r="F94" s="22">
        <v>1</v>
      </c>
      <c r="G94" s="76"/>
      <c r="H94" s="52" t="s">
        <v>1</v>
      </c>
      <c r="I94" s="77">
        <v>0</v>
      </c>
      <c r="J94" s="76"/>
      <c r="K94" s="52" t="s">
        <v>1</v>
      </c>
      <c r="L94" s="77">
        <v>0</v>
      </c>
      <c r="M94" s="76"/>
    </row>
    <row r="95" spans="1:13" ht="19.5" customHeight="1">
      <c r="A95" s="29"/>
      <c r="B95" s="29"/>
      <c r="C95" s="29" t="s">
        <v>29</v>
      </c>
      <c r="D95" s="30" t="s">
        <v>49</v>
      </c>
      <c r="E95" s="20" t="s">
        <v>0</v>
      </c>
      <c r="F95" s="113">
        <v>3</v>
      </c>
      <c r="G95" s="74" t="s">
        <v>121</v>
      </c>
      <c r="H95" s="52" t="s">
        <v>0</v>
      </c>
      <c r="I95" s="78">
        <v>0</v>
      </c>
      <c r="J95" s="74"/>
      <c r="K95" s="52" t="s">
        <v>0</v>
      </c>
      <c r="L95" s="78">
        <v>0</v>
      </c>
      <c r="M95" s="74"/>
    </row>
    <row r="96" spans="1:13" ht="19.5" customHeight="1">
      <c r="A96" s="42"/>
      <c r="B96" s="42"/>
      <c r="C96" s="26"/>
      <c r="D96" s="26"/>
      <c r="E96" s="27" t="s">
        <v>1</v>
      </c>
      <c r="F96" s="22">
        <v>1</v>
      </c>
      <c r="G96" s="76"/>
      <c r="H96" s="52" t="s">
        <v>1</v>
      </c>
      <c r="I96" s="77">
        <v>0</v>
      </c>
      <c r="J96" s="76"/>
      <c r="K96" s="52" t="s">
        <v>1</v>
      </c>
      <c r="L96" s="77">
        <v>0</v>
      </c>
      <c r="M96" s="76"/>
    </row>
    <row r="97" spans="1:13" ht="19.5" customHeight="1">
      <c r="A97" s="42"/>
      <c r="B97" s="42"/>
      <c r="C97" s="24" t="s">
        <v>297</v>
      </c>
      <c r="D97" s="24" t="s">
        <v>298</v>
      </c>
      <c r="E97" s="27" t="s">
        <v>0</v>
      </c>
      <c r="F97" s="109">
        <v>6</v>
      </c>
      <c r="G97" s="74" t="s">
        <v>15</v>
      </c>
      <c r="H97" s="52" t="s">
        <v>0</v>
      </c>
      <c r="I97" s="78">
        <v>0</v>
      </c>
      <c r="J97" s="74"/>
      <c r="K97" s="52" t="s">
        <v>0</v>
      </c>
      <c r="L97" s="78">
        <v>0</v>
      </c>
      <c r="M97" s="74"/>
    </row>
    <row r="98" spans="1:13" ht="19.5" customHeight="1">
      <c r="A98" s="42"/>
      <c r="B98" s="42"/>
      <c r="C98" s="295"/>
      <c r="D98" s="295"/>
      <c r="E98" s="27" t="s">
        <v>1</v>
      </c>
      <c r="F98" s="22">
        <v>0</v>
      </c>
      <c r="G98" s="76"/>
      <c r="H98" s="52" t="s">
        <v>1</v>
      </c>
      <c r="I98" s="77">
        <v>0</v>
      </c>
      <c r="J98" s="76"/>
      <c r="K98" s="52" t="s">
        <v>1</v>
      </c>
      <c r="L98" s="77">
        <v>0</v>
      </c>
      <c r="M98" s="76"/>
    </row>
    <row r="99" spans="1:13" s="6" customFormat="1" ht="19.5" customHeight="1">
      <c r="A99" s="36"/>
      <c r="B99" s="36"/>
      <c r="C99" s="3" t="s">
        <v>45</v>
      </c>
      <c r="D99" s="4" t="s">
        <v>105</v>
      </c>
      <c r="E99" s="20" t="s">
        <v>0</v>
      </c>
      <c r="F99" s="109">
        <v>14</v>
      </c>
      <c r="G99" s="74" t="s">
        <v>16</v>
      </c>
      <c r="H99" s="21" t="s">
        <v>0</v>
      </c>
      <c r="I99" s="78">
        <v>0</v>
      </c>
      <c r="J99" s="74"/>
      <c r="K99" s="21" t="s">
        <v>0</v>
      </c>
      <c r="L99" s="78">
        <v>0</v>
      </c>
      <c r="M99" s="74"/>
    </row>
    <row r="100" spans="1:13" s="6" customFormat="1" ht="19.5" customHeight="1">
      <c r="A100" s="36"/>
      <c r="B100" s="36"/>
      <c r="C100" s="7"/>
      <c r="D100" s="8"/>
      <c r="E100" s="20" t="s">
        <v>1</v>
      </c>
      <c r="F100" s="22">
        <v>20</v>
      </c>
      <c r="G100" s="75"/>
      <c r="H100" s="21" t="s">
        <v>1</v>
      </c>
      <c r="I100" s="77">
        <v>0</v>
      </c>
      <c r="J100" s="76"/>
      <c r="K100" s="21" t="s">
        <v>1</v>
      </c>
      <c r="L100" s="77">
        <v>0</v>
      </c>
      <c r="M100" s="76"/>
    </row>
    <row r="101" spans="1:13" s="6" customFormat="1" ht="19.5" customHeight="1">
      <c r="A101" s="36"/>
      <c r="B101" s="36"/>
      <c r="C101" s="3" t="s">
        <v>45</v>
      </c>
      <c r="D101" s="4" t="s">
        <v>106</v>
      </c>
      <c r="E101" s="20" t="s">
        <v>0</v>
      </c>
      <c r="F101" s="109">
        <v>10</v>
      </c>
      <c r="G101" s="74" t="s">
        <v>25</v>
      </c>
      <c r="H101" s="21" t="s">
        <v>0</v>
      </c>
      <c r="I101" s="78">
        <v>1</v>
      </c>
      <c r="J101" s="74" t="s">
        <v>32</v>
      </c>
      <c r="K101" s="21" t="s">
        <v>0</v>
      </c>
      <c r="L101" s="78">
        <v>0</v>
      </c>
      <c r="M101" s="74"/>
    </row>
    <row r="102" spans="1:13" s="6" customFormat="1" ht="19.5" customHeight="1">
      <c r="A102" s="36"/>
      <c r="B102" s="36"/>
      <c r="C102" s="7"/>
      <c r="D102" s="8"/>
      <c r="E102" s="20" t="s">
        <v>1</v>
      </c>
      <c r="F102" s="22">
        <v>0</v>
      </c>
      <c r="G102" s="76"/>
      <c r="H102" s="21" t="s">
        <v>1</v>
      </c>
      <c r="I102" s="77">
        <v>11</v>
      </c>
      <c r="J102" s="76"/>
      <c r="K102" s="21" t="s">
        <v>1</v>
      </c>
      <c r="L102" s="77">
        <v>0</v>
      </c>
      <c r="M102" s="76"/>
    </row>
    <row r="103" spans="1:13" ht="19.5" customHeight="1">
      <c r="A103" s="29"/>
      <c r="B103" s="29"/>
      <c r="C103" s="29" t="s">
        <v>45</v>
      </c>
      <c r="D103" s="30" t="s">
        <v>107</v>
      </c>
      <c r="E103" s="20" t="s">
        <v>0</v>
      </c>
      <c r="F103" s="113">
        <v>10</v>
      </c>
      <c r="G103" s="74" t="s">
        <v>25</v>
      </c>
      <c r="H103" s="52" t="s">
        <v>0</v>
      </c>
      <c r="I103" s="78">
        <v>0</v>
      </c>
      <c r="J103" s="74"/>
      <c r="K103" s="52" t="s">
        <v>0</v>
      </c>
      <c r="L103" s="78">
        <v>0</v>
      </c>
      <c r="M103" s="74"/>
    </row>
    <row r="104" spans="1:13" ht="19.5" customHeight="1">
      <c r="A104" s="42"/>
      <c r="B104" s="42"/>
      <c r="C104" s="26"/>
      <c r="D104" s="26"/>
      <c r="E104" s="27" t="s">
        <v>1</v>
      </c>
      <c r="F104" s="22">
        <v>14</v>
      </c>
      <c r="G104" s="76"/>
      <c r="H104" s="52" t="s">
        <v>1</v>
      </c>
      <c r="I104" s="77">
        <v>0</v>
      </c>
      <c r="J104" s="76"/>
      <c r="K104" s="52" t="s">
        <v>1</v>
      </c>
      <c r="L104" s="77">
        <v>0</v>
      </c>
      <c r="M104" s="76"/>
    </row>
    <row r="105" spans="1:13" ht="19.5" customHeight="1">
      <c r="A105" s="29"/>
      <c r="B105" s="29"/>
      <c r="C105" s="29" t="s">
        <v>45</v>
      </c>
      <c r="D105" s="30" t="s">
        <v>114</v>
      </c>
      <c r="E105" s="20" t="s">
        <v>0</v>
      </c>
      <c r="F105" s="113">
        <v>19</v>
      </c>
      <c r="G105" s="74" t="s">
        <v>13</v>
      </c>
      <c r="H105" s="52" t="s">
        <v>0</v>
      </c>
      <c r="I105" s="78">
        <v>5</v>
      </c>
      <c r="J105" s="74" t="s">
        <v>9</v>
      </c>
      <c r="K105" s="52" t="s">
        <v>0</v>
      </c>
      <c r="L105" s="78">
        <v>0</v>
      </c>
      <c r="M105" s="74"/>
    </row>
    <row r="106" spans="1:13" ht="19.5" customHeight="1">
      <c r="A106" s="42"/>
      <c r="B106" s="42"/>
      <c r="C106" s="26"/>
      <c r="D106" s="26"/>
      <c r="E106" s="27" t="s">
        <v>1</v>
      </c>
      <c r="F106" s="22">
        <v>0</v>
      </c>
      <c r="G106" s="76"/>
      <c r="H106" s="52" t="s">
        <v>1</v>
      </c>
      <c r="I106" s="77">
        <v>0</v>
      </c>
      <c r="J106" s="76"/>
      <c r="K106" s="52" t="s">
        <v>1</v>
      </c>
      <c r="L106" s="77">
        <v>0</v>
      </c>
      <c r="M106" s="76"/>
    </row>
    <row r="107" spans="1:13" ht="19.5" customHeight="1">
      <c r="A107" s="29"/>
      <c r="B107" s="29"/>
      <c r="C107" s="64" t="s">
        <v>20</v>
      </c>
      <c r="D107" s="30" t="s">
        <v>115</v>
      </c>
      <c r="E107" s="20" t="s">
        <v>0</v>
      </c>
      <c r="F107" s="113">
        <v>14</v>
      </c>
      <c r="G107" s="74" t="s">
        <v>16</v>
      </c>
      <c r="H107" s="52" t="s">
        <v>0</v>
      </c>
      <c r="I107" s="78">
        <v>0</v>
      </c>
      <c r="J107" s="74"/>
      <c r="K107" s="52" t="s">
        <v>0</v>
      </c>
      <c r="L107" s="78">
        <v>0</v>
      </c>
      <c r="M107" s="74"/>
    </row>
    <row r="108" spans="1:13" ht="19.5" customHeight="1">
      <c r="A108" s="42"/>
      <c r="B108" s="42"/>
      <c r="C108" s="65"/>
      <c r="D108" s="26"/>
      <c r="E108" s="27" t="s">
        <v>1</v>
      </c>
      <c r="F108" s="22">
        <v>0</v>
      </c>
      <c r="G108" s="76"/>
      <c r="H108" s="52" t="s">
        <v>1</v>
      </c>
      <c r="I108" s="77">
        <v>0</v>
      </c>
      <c r="J108" s="76"/>
      <c r="K108" s="52" t="s">
        <v>1</v>
      </c>
      <c r="L108" s="77">
        <v>0</v>
      </c>
      <c r="M108" s="76"/>
    </row>
    <row r="109" spans="1:13" ht="19.5" customHeight="1">
      <c r="A109" s="29"/>
      <c r="B109" s="29"/>
      <c r="C109" s="64" t="s">
        <v>20</v>
      </c>
      <c r="D109" s="30" t="s">
        <v>116</v>
      </c>
      <c r="E109" s="20" t="s">
        <v>0</v>
      </c>
      <c r="F109" s="113">
        <v>18</v>
      </c>
      <c r="G109" s="74" t="s">
        <v>117</v>
      </c>
      <c r="H109" s="52" t="s">
        <v>0</v>
      </c>
      <c r="I109" s="78">
        <v>0</v>
      </c>
      <c r="J109" s="74"/>
      <c r="K109" s="52" t="s">
        <v>0</v>
      </c>
      <c r="L109" s="78">
        <v>0</v>
      </c>
      <c r="M109" s="74"/>
    </row>
    <row r="110" spans="1:13" ht="19.5" customHeight="1">
      <c r="A110" s="42"/>
      <c r="B110" s="26"/>
      <c r="C110" s="26"/>
      <c r="D110" s="26"/>
      <c r="E110" s="27" t="s">
        <v>1</v>
      </c>
      <c r="F110" s="22">
        <v>0</v>
      </c>
      <c r="G110" s="76"/>
      <c r="H110" s="52" t="s">
        <v>1</v>
      </c>
      <c r="I110" s="77">
        <v>0</v>
      </c>
      <c r="J110" s="76"/>
      <c r="K110" s="52" t="s">
        <v>1</v>
      </c>
      <c r="L110" s="77">
        <v>0</v>
      </c>
      <c r="M110" s="76"/>
    </row>
    <row r="111" spans="1:13" ht="19.5" customHeight="1">
      <c r="A111" s="42"/>
      <c r="B111" s="29" t="s">
        <v>89</v>
      </c>
      <c r="C111" s="311" t="s">
        <v>8</v>
      </c>
      <c r="D111" s="303" t="s">
        <v>299</v>
      </c>
      <c r="E111" s="27" t="s">
        <v>0</v>
      </c>
      <c r="F111" s="109">
        <v>0</v>
      </c>
      <c r="G111" s="75"/>
      <c r="H111" s="52" t="s">
        <v>0</v>
      </c>
      <c r="I111" s="78">
        <v>0</v>
      </c>
      <c r="J111" s="75"/>
      <c r="K111" s="52" t="s">
        <v>0</v>
      </c>
      <c r="L111" s="78">
        <v>0</v>
      </c>
      <c r="M111" s="75"/>
    </row>
    <row r="112" spans="1:13" ht="19.5" customHeight="1">
      <c r="A112" s="42"/>
      <c r="B112" s="29" t="s">
        <v>300</v>
      </c>
      <c r="C112" s="26"/>
      <c r="D112" s="220"/>
      <c r="E112" s="27" t="s">
        <v>1</v>
      </c>
      <c r="F112" s="22">
        <v>7</v>
      </c>
      <c r="G112" s="75"/>
      <c r="H112" s="52" t="s">
        <v>1</v>
      </c>
      <c r="I112" s="77">
        <v>0</v>
      </c>
      <c r="J112" s="75"/>
      <c r="K112" s="52" t="s">
        <v>1</v>
      </c>
      <c r="L112" s="77">
        <v>0</v>
      </c>
      <c r="M112" s="75"/>
    </row>
    <row r="113" spans="1:13" ht="19.5" customHeight="1">
      <c r="A113" s="73"/>
      <c r="B113" s="63"/>
      <c r="C113" s="63"/>
      <c r="D113" s="63"/>
      <c r="E113" s="63"/>
      <c r="F113" s="116"/>
      <c r="G113" s="88"/>
      <c r="H113" s="63"/>
      <c r="I113" s="88"/>
      <c r="J113" s="88"/>
      <c r="K113" s="63"/>
      <c r="L113" s="88"/>
      <c r="M113" s="88"/>
    </row>
    <row r="114" spans="1:13" s="6" customFormat="1" ht="19.5" customHeight="1">
      <c r="A114" s="2" t="s">
        <v>138</v>
      </c>
      <c r="B114" s="2" t="s">
        <v>7</v>
      </c>
      <c r="C114" s="3" t="s">
        <v>57</v>
      </c>
      <c r="D114" s="4" t="s">
        <v>148</v>
      </c>
      <c r="E114" s="20" t="s">
        <v>0</v>
      </c>
      <c r="F114" s="105">
        <v>21</v>
      </c>
      <c r="G114" s="117" t="s">
        <v>149</v>
      </c>
      <c r="H114" s="21" t="s">
        <v>0</v>
      </c>
      <c r="I114" s="104">
        <v>6</v>
      </c>
      <c r="J114" s="117" t="s">
        <v>9</v>
      </c>
      <c r="K114" s="21" t="s">
        <v>0</v>
      </c>
      <c r="L114" s="104">
        <v>17</v>
      </c>
      <c r="M114" s="117" t="s">
        <v>149</v>
      </c>
    </row>
    <row r="115" spans="1:13" s="6" customFormat="1" ht="19.5" customHeight="1">
      <c r="A115" s="36"/>
      <c r="B115" s="7"/>
      <c r="C115" s="7"/>
      <c r="D115" s="8"/>
      <c r="E115" s="20" t="s">
        <v>1</v>
      </c>
      <c r="F115" s="5">
        <v>0</v>
      </c>
      <c r="G115" s="118" t="s">
        <v>120</v>
      </c>
      <c r="H115" s="21" t="s">
        <v>1</v>
      </c>
      <c r="I115" s="119">
        <v>0</v>
      </c>
      <c r="J115" s="118" t="s">
        <v>109</v>
      </c>
      <c r="K115" s="21" t="s">
        <v>1</v>
      </c>
      <c r="L115" s="119">
        <v>0</v>
      </c>
      <c r="M115" s="118" t="s">
        <v>109</v>
      </c>
    </row>
    <row r="116" spans="1:13" s="6" customFormat="1" ht="19.5" customHeight="1">
      <c r="A116" s="36"/>
      <c r="B116" s="2" t="s">
        <v>26</v>
      </c>
      <c r="C116" s="3" t="s">
        <v>150</v>
      </c>
      <c r="D116" s="4"/>
      <c r="E116" s="20" t="s">
        <v>0</v>
      </c>
      <c r="F116" s="105">
        <v>0</v>
      </c>
      <c r="G116" s="117"/>
      <c r="H116" s="21" t="s">
        <v>0</v>
      </c>
      <c r="I116" s="104">
        <v>0</v>
      </c>
      <c r="J116" s="117"/>
      <c r="K116" s="21" t="s">
        <v>0</v>
      </c>
      <c r="L116" s="104">
        <v>1</v>
      </c>
      <c r="M116" s="117" t="s">
        <v>109</v>
      </c>
    </row>
    <row r="117" spans="1:13" s="6" customFormat="1" ht="19.5" customHeight="1">
      <c r="A117" s="36"/>
      <c r="B117" s="7"/>
      <c r="C117" s="7"/>
      <c r="D117" s="8"/>
      <c r="E117" s="20" t="s">
        <v>1</v>
      </c>
      <c r="F117" s="106">
        <v>17</v>
      </c>
      <c r="G117" s="118"/>
      <c r="H117" s="21" t="s">
        <v>1</v>
      </c>
      <c r="I117" s="119">
        <v>6</v>
      </c>
      <c r="J117" s="118"/>
      <c r="K117" s="21" t="s">
        <v>1</v>
      </c>
      <c r="L117" s="119">
        <v>19</v>
      </c>
      <c r="M117" s="118"/>
    </row>
    <row r="118" spans="1:13" s="6" customFormat="1" ht="19.5" customHeight="1">
      <c r="A118" s="36"/>
      <c r="B118" s="2" t="s">
        <v>267</v>
      </c>
      <c r="C118" s="3" t="s">
        <v>151</v>
      </c>
      <c r="D118" s="4"/>
      <c r="E118" s="20" t="s">
        <v>0</v>
      </c>
      <c r="F118" s="105">
        <v>0</v>
      </c>
      <c r="G118" s="117"/>
      <c r="H118" s="21" t="s">
        <v>0</v>
      </c>
      <c r="I118" s="104">
        <v>0</v>
      </c>
      <c r="J118" s="117"/>
      <c r="K118" s="21" t="s">
        <v>0</v>
      </c>
      <c r="L118" s="104">
        <v>0</v>
      </c>
      <c r="M118" s="117"/>
    </row>
    <row r="119" spans="1:13" s="6" customFormat="1" ht="19.5" customHeight="1">
      <c r="A119" s="36"/>
      <c r="B119" s="7" t="s">
        <v>266</v>
      </c>
      <c r="C119" s="7"/>
      <c r="D119" s="8"/>
      <c r="E119" s="20" t="s">
        <v>1</v>
      </c>
      <c r="F119" s="5">
        <v>1</v>
      </c>
      <c r="G119" s="118"/>
      <c r="H119" s="21" t="s">
        <v>1</v>
      </c>
      <c r="I119" s="119">
        <v>0</v>
      </c>
      <c r="J119" s="118"/>
      <c r="K119" s="21" t="s">
        <v>1</v>
      </c>
      <c r="L119" s="119">
        <v>0</v>
      </c>
      <c r="M119" s="118"/>
    </row>
    <row r="120" spans="1:13" s="6" customFormat="1" ht="19.5" customHeight="1">
      <c r="A120" s="36"/>
      <c r="B120" s="2" t="s">
        <v>152</v>
      </c>
      <c r="C120" s="3" t="s">
        <v>17</v>
      </c>
      <c r="D120" s="4" t="s">
        <v>153</v>
      </c>
      <c r="E120" s="20" t="s">
        <v>0</v>
      </c>
      <c r="F120" s="105">
        <v>3</v>
      </c>
      <c r="G120" s="118" t="s">
        <v>10</v>
      </c>
      <c r="H120" s="21" t="s">
        <v>0</v>
      </c>
      <c r="I120" s="104">
        <v>1</v>
      </c>
      <c r="J120" s="118" t="s">
        <v>32</v>
      </c>
      <c r="K120" s="21" t="s">
        <v>0</v>
      </c>
      <c r="L120" s="104">
        <v>0</v>
      </c>
      <c r="M120" s="117"/>
    </row>
    <row r="121" spans="1:13" s="6" customFormat="1" ht="19.5" customHeight="1">
      <c r="A121" s="36"/>
      <c r="B121" s="7"/>
      <c r="C121" s="7"/>
      <c r="D121" s="8"/>
      <c r="E121" s="20" t="s">
        <v>1</v>
      </c>
      <c r="F121" s="5">
        <v>3</v>
      </c>
      <c r="G121" s="117" t="s">
        <v>109</v>
      </c>
      <c r="H121" s="21" t="s">
        <v>1</v>
      </c>
      <c r="I121" s="119">
        <v>0</v>
      </c>
      <c r="J121" s="118"/>
      <c r="K121" s="21" t="s">
        <v>1</v>
      </c>
      <c r="L121" s="119">
        <v>3</v>
      </c>
      <c r="M121" s="118"/>
    </row>
    <row r="122" spans="1:13" s="6" customFormat="1" ht="19.5" customHeight="1">
      <c r="A122" s="36"/>
      <c r="B122" s="2" t="s">
        <v>154</v>
      </c>
      <c r="C122" s="3" t="s">
        <v>34</v>
      </c>
      <c r="D122" s="4"/>
      <c r="E122" s="20" t="s">
        <v>0</v>
      </c>
      <c r="F122" s="105">
        <v>5</v>
      </c>
      <c r="G122" s="117" t="s">
        <v>120</v>
      </c>
      <c r="H122" s="21" t="s">
        <v>0</v>
      </c>
      <c r="I122" s="104">
        <v>0</v>
      </c>
      <c r="J122" s="117"/>
      <c r="K122" s="21" t="s">
        <v>0</v>
      </c>
      <c r="L122" s="104">
        <v>2</v>
      </c>
      <c r="M122" s="117" t="s">
        <v>66</v>
      </c>
    </row>
    <row r="123" spans="1:13" s="6" customFormat="1" ht="19.5" customHeight="1">
      <c r="A123" s="36"/>
      <c r="B123" s="7"/>
      <c r="C123" s="7"/>
      <c r="D123" s="8"/>
      <c r="E123" s="20" t="s">
        <v>1</v>
      </c>
      <c r="F123" s="5">
        <v>0</v>
      </c>
      <c r="G123" s="118"/>
      <c r="H123" s="21" t="s">
        <v>1</v>
      </c>
      <c r="I123" s="119">
        <v>0</v>
      </c>
      <c r="J123" s="118"/>
      <c r="K123" s="21" t="s">
        <v>1</v>
      </c>
      <c r="L123" s="119">
        <v>0</v>
      </c>
      <c r="M123" s="118"/>
    </row>
    <row r="124" spans="1:13" s="6" customFormat="1" ht="19.5" customHeight="1">
      <c r="A124" s="36"/>
      <c r="B124" s="2" t="s">
        <v>154</v>
      </c>
      <c r="C124" s="3" t="s">
        <v>29</v>
      </c>
      <c r="D124" s="4"/>
      <c r="E124" s="20" t="s">
        <v>0</v>
      </c>
      <c r="F124" s="105">
        <v>2</v>
      </c>
      <c r="G124" s="117" t="s">
        <v>66</v>
      </c>
      <c r="H124" s="21" t="s">
        <v>0</v>
      </c>
      <c r="I124" s="104">
        <v>2</v>
      </c>
      <c r="J124" s="117" t="s">
        <v>66</v>
      </c>
      <c r="K124" s="21" t="s">
        <v>0</v>
      </c>
      <c r="L124" s="104">
        <v>0</v>
      </c>
      <c r="M124" s="117"/>
    </row>
    <row r="125" spans="1:13" s="6" customFormat="1" ht="19.5" customHeight="1">
      <c r="A125" s="7"/>
      <c r="B125" s="7"/>
      <c r="C125" s="7"/>
      <c r="D125" s="8"/>
      <c r="E125" s="20" t="s">
        <v>1</v>
      </c>
      <c r="F125" s="5">
        <v>0</v>
      </c>
      <c r="G125" s="118"/>
      <c r="H125" s="21" t="s">
        <v>1</v>
      </c>
      <c r="I125" s="119">
        <v>0</v>
      </c>
      <c r="J125" s="118"/>
      <c r="K125" s="21" t="s">
        <v>1</v>
      </c>
      <c r="L125" s="119">
        <v>0</v>
      </c>
      <c r="M125" s="118"/>
    </row>
    <row r="126" spans="1:13" ht="19.5" customHeight="1">
      <c r="A126" s="73"/>
      <c r="B126" s="63"/>
      <c r="C126" s="63"/>
      <c r="D126" s="63"/>
      <c r="E126" s="63"/>
      <c r="F126" s="116"/>
      <c r="G126" s="88"/>
      <c r="H126" s="63"/>
      <c r="I126" s="88"/>
      <c r="J126" s="88"/>
      <c r="K126" s="63"/>
      <c r="L126" s="88"/>
      <c r="M126" s="88"/>
    </row>
    <row r="127" spans="1:13" ht="19.5" customHeight="1">
      <c r="A127" s="2" t="s">
        <v>141</v>
      </c>
      <c r="B127" s="2" t="s">
        <v>7</v>
      </c>
      <c r="C127" s="3" t="s">
        <v>155</v>
      </c>
      <c r="D127" s="4" t="s">
        <v>158</v>
      </c>
      <c r="E127" s="20" t="s">
        <v>0</v>
      </c>
      <c r="F127" s="105">
        <v>19</v>
      </c>
      <c r="G127" s="117" t="s">
        <v>117</v>
      </c>
      <c r="H127" s="21" t="s">
        <v>0</v>
      </c>
      <c r="I127" s="104">
        <v>1</v>
      </c>
      <c r="J127" s="117" t="s">
        <v>32</v>
      </c>
      <c r="K127" s="21" t="s">
        <v>0</v>
      </c>
      <c r="L127" s="104">
        <v>0</v>
      </c>
      <c r="M127" s="117"/>
    </row>
    <row r="128" spans="1:13" ht="19.5" customHeight="1">
      <c r="A128" s="36"/>
      <c r="B128" s="36"/>
      <c r="C128" s="7"/>
      <c r="D128" s="8" t="s">
        <v>159</v>
      </c>
      <c r="E128" s="20" t="s">
        <v>1</v>
      </c>
      <c r="F128" s="5">
        <v>0</v>
      </c>
      <c r="G128" s="118" t="s">
        <v>168</v>
      </c>
      <c r="H128" s="21" t="s">
        <v>1</v>
      </c>
      <c r="I128" s="119">
        <v>0</v>
      </c>
      <c r="J128" s="118"/>
      <c r="K128" s="21" t="s">
        <v>1</v>
      </c>
      <c r="L128" s="119">
        <v>0</v>
      </c>
      <c r="M128" s="118"/>
    </row>
    <row r="129" spans="1:13" ht="19.5" customHeight="1">
      <c r="A129" s="36"/>
      <c r="B129" s="36"/>
      <c r="C129" s="3" t="s">
        <v>155</v>
      </c>
      <c r="D129" s="4" t="s">
        <v>167</v>
      </c>
      <c r="E129" s="20" t="s">
        <v>0</v>
      </c>
      <c r="F129" s="105">
        <v>3</v>
      </c>
      <c r="G129" s="117" t="s">
        <v>19</v>
      </c>
      <c r="H129" s="21" t="s">
        <v>0</v>
      </c>
      <c r="I129" s="104">
        <v>0</v>
      </c>
      <c r="J129" s="117"/>
      <c r="K129" s="21" t="s">
        <v>0</v>
      </c>
      <c r="L129" s="104">
        <v>0</v>
      </c>
      <c r="M129" s="117"/>
    </row>
    <row r="130" spans="1:13" ht="19.5" customHeight="1">
      <c r="A130" s="36"/>
      <c r="B130" s="36"/>
      <c r="C130" s="7"/>
      <c r="D130" s="8"/>
      <c r="E130" s="20" t="s">
        <v>1</v>
      </c>
      <c r="F130" s="106">
        <v>0</v>
      </c>
      <c r="G130" s="118"/>
      <c r="H130" s="21" t="s">
        <v>1</v>
      </c>
      <c r="I130" s="119">
        <v>0</v>
      </c>
      <c r="J130" s="118"/>
      <c r="K130" s="21" t="s">
        <v>1</v>
      </c>
      <c r="L130" s="119">
        <v>0</v>
      </c>
      <c r="M130" s="118"/>
    </row>
    <row r="131" spans="1:13" ht="19.5" customHeight="1">
      <c r="A131" s="36"/>
      <c r="B131" s="36"/>
      <c r="C131" s="3" t="s">
        <v>156</v>
      </c>
      <c r="D131" s="4" t="s">
        <v>35</v>
      </c>
      <c r="E131" s="20" t="s">
        <v>0</v>
      </c>
      <c r="F131" s="105">
        <v>20</v>
      </c>
      <c r="G131" s="117" t="s">
        <v>165</v>
      </c>
      <c r="H131" s="21" t="s">
        <v>0</v>
      </c>
      <c r="I131" s="104">
        <v>0</v>
      </c>
      <c r="J131" s="117"/>
      <c r="K131" s="21" t="s">
        <v>0</v>
      </c>
      <c r="L131" s="104">
        <v>0</v>
      </c>
      <c r="M131" s="117"/>
    </row>
    <row r="132" spans="1:13" ht="19.5" customHeight="1">
      <c r="A132" s="36"/>
      <c r="B132" s="36"/>
      <c r="C132" s="7"/>
      <c r="D132" s="8" t="s">
        <v>160</v>
      </c>
      <c r="E132" s="20" t="s">
        <v>1</v>
      </c>
      <c r="F132" s="106">
        <v>0</v>
      </c>
      <c r="G132" s="118" t="s">
        <v>169</v>
      </c>
      <c r="H132" s="21" t="s">
        <v>1</v>
      </c>
      <c r="I132" s="119">
        <v>0</v>
      </c>
      <c r="J132" s="118"/>
      <c r="K132" s="21" t="s">
        <v>1</v>
      </c>
      <c r="L132" s="119">
        <v>0</v>
      </c>
      <c r="M132" s="118"/>
    </row>
    <row r="133" spans="1:13" ht="19.5" customHeight="1">
      <c r="A133" s="36"/>
      <c r="B133" s="36"/>
      <c r="C133" s="3" t="s">
        <v>157</v>
      </c>
      <c r="D133" s="4" t="s">
        <v>161</v>
      </c>
      <c r="E133" s="20" t="s">
        <v>0</v>
      </c>
      <c r="F133" s="105">
        <v>5</v>
      </c>
      <c r="G133" s="117" t="s">
        <v>166</v>
      </c>
      <c r="H133" s="21" t="s">
        <v>0</v>
      </c>
      <c r="I133" s="104">
        <v>0</v>
      </c>
      <c r="J133" s="117"/>
      <c r="K133" s="21" t="s">
        <v>0</v>
      </c>
      <c r="L133" s="104">
        <v>0</v>
      </c>
      <c r="M133" s="117"/>
    </row>
    <row r="134" spans="1:13" ht="19.5" customHeight="1">
      <c r="A134" s="36"/>
      <c r="B134" s="36"/>
      <c r="C134" s="7"/>
      <c r="D134" s="8"/>
      <c r="E134" s="20" t="s">
        <v>1</v>
      </c>
      <c r="F134" s="5">
        <v>0</v>
      </c>
      <c r="G134" s="117" t="s">
        <v>109</v>
      </c>
      <c r="H134" s="21" t="s">
        <v>1</v>
      </c>
      <c r="I134" s="119">
        <v>0</v>
      </c>
      <c r="J134" s="118"/>
      <c r="K134" s="21" t="s">
        <v>1</v>
      </c>
      <c r="L134" s="119">
        <v>0</v>
      </c>
      <c r="M134" s="118"/>
    </row>
    <row r="135" spans="1:13" ht="19.5" customHeight="1">
      <c r="A135" s="36"/>
      <c r="B135" s="36"/>
      <c r="C135" s="3" t="s">
        <v>162</v>
      </c>
      <c r="D135" s="4" t="s">
        <v>164</v>
      </c>
      <c r="E135" s="20" t="s">
        <v>0</v>
      </c>
      <c r="F135" s="105">
        <v>5</v>
      </c>
      <c r="G135" s="315" t="s">
        <v>174</v>
      </c>
      <c r="H135" s="21" t="s">
        <v>0</v>
      </c>
      <c r="I135" s="104">
        <v>0</v>
      </c>
      <c r="J135" s="117"/>
      <c r="K135" s="21" t="s">
        <v>0</v>
      </c>
      <c r="L135" s="104">
        <v>0</v>
      </c>
      <c r="M135" s="104"/>
    </row>
    <row r="136" spans="1:13" ht="19.5" customHeight="1">
      <c r="A136" s="36"/>
      <c r="B136" s="36"/>
      <c r="C136" s="36" t="s">
        <v>163</v>
      </c>
      <c r="D136" s="38"/>
      <c r="E136" s="20" t="s">
        <v>1</v>
      </c>
      <c r="F136" s="5">
        <v>0</v>
      </c>
      <c r="G136" s="316"/>
      <c r="H136" s="21" t="s">
        <v>1</v>
      </c>
      <c r="I136" s="119">
        <v>0</v>
      </c>
      <c r="J136" s="118"/>
      <c r="K136" s="21" t="s">
        <v>1</v>
      </c>
      <c r="L136" s="119">
        <v>0</v>
      </c>
      <c r="M136" s="118"/>
    </row>
    <row r="137" spans="1:13" ht="19.5" customHeight="1">
      <c r="A137" s="73"/>
      <c r="B137" s="63"/>
      <c r="C137" s="63"/>
      <c r="D137" s="63"/>
      <c r="E137" s="63"/>
      <c r="F137" s="116"/>
      <c r="G137" s="88"/>
      <c r="H137" s="63"/>
      <c r="I137" s="88"/>
      <c r="J137" s="88"/>
      <c r="K137" s="63"/>
      <c r="L137" s="88"/>
      <c r="M137" s="88"/>
    </row>
    <row r="138" spans="1:13" s="6" customFormat="1" ht="19.5" customHeight="1">
      <c r="A138" s="2" t="s">
        <v>136</v>
      </c>
      <c r="B138" s="2" t="s">
        <v>201</v>
      </c>
      <c r="C138" s="3" t="s">
        <v>8</v>
      </c>
      <c r="D138" s="4" t="s">
        <v>202</v>
      </c>
      <c r="E138" s="20" t="s">
        <v>0</v>
      </c>
      <c r="F138" s="105">
        <v>10</v>
      </c>
      <c r="G138" s="143" t="s">
        <v>25</v>
      </c>
      <c r="H138" s="21" t="s">
        <v>0</v>
      </c>
      <c r="I138" s="105">
        <v>0</v>
      </c>
      <c r="J138" s="143"/>
      <c r="K138" s="21" t="s">
        <v>0</v>
      </c>
      <c r="L138" s="105">
        <v>8</v>
      </c>
      <c r="M138" s="143" t="s">
        <v>203</v>
      </c>
    </row>
    <row r="139" spans="1:13" s="6" customFormat="1" ht="19.5" customHeight="1">
      <c r="A139" s="36"/>
      <c r="B139" s="7"/>
      <c r="C139" s="7"/>
      <c r="D139" s="8"/>
      <c r="E139" s="20" t="s">
        <v>1</v>
      </c>
      <c r="F139" s="106">
        <v>1</v>
      </c>
      <c r="G139" s="144"/>
      <c r="H139" s="21" t="s">
        <v>1</v>
      </c>
      <c r="I139" s="5">
        <v>0</v>
      </c>
      <c r="J139" s="144"/>
      <c r="K139" s="21" t="s">
        <v>1</v>
      </c>
      <c r="L139" s="5">
        <v>0</v>
      </c>
      <c r="M139" s="144"/>
    </row>
    <row r="140" spans="1:13" s="6" customFormat="1" ht="19.5" customHeight="1">
      <c r="A140" s="36"/>
      <c r="B140" s="2" t="s">
        <v>263</v>
      </c>
      <c r="C140" s="3" t="s">
        <v>8</v>
      </c>
      <c r="D140" s="4" t="s">
        <v>204</v>
      </c>
      <c r="E140" s="20" t="s">
        <v>0</v>
      </c>
      <c r="F140" s="105">
        <v>8</v>
      </c>
      <c r="G140" s="143" t="s">
        <v>311</v>
      </c>
      <c r="H140" s="21" t="s">
        <v>0</v>
      </c>
      <c r="I140" s="105">
        <v>0</v>
      </c>
      <c r="J140" s="143"/>
      <c r="K140" s="21" t="s">
        <v>0</v>
      </c>
      <c r="L140" s="105">
        <v>6</v>
      </c>
      <c r="M140" s="143" t="s">
        <v>285</v>
      </c>
    </row>
    <row r="141" spans="1:13" s="6" customFormat="1" ht="19.5" customHeight="1">
      <c r="A141" s="36"/>
      <c r="B141" s="7"/>
      <c r="C141" s="7"/>
      <c r="D141" s="8"/>
      <c r="E141" s="20" t="s">
        <v>1</v>
      </c>
      <c r="F141" s="5">
        <v>1</v>
      </c>
      <c r="G141" s="144"/>
      <c r="H141" s="21" t="s">
        <v>1</v>
      </c>
      <c r="I141" s="5">
        <v>0</v>
      </c>
      <c r="J141" s="144"/>
      <c r="K141" s="21" t="s">
        <v>1</v>
      </c>
      <c r="L141" s="5">
        <v>0</v>
      </c>
      <c r="M141" s="144"/>
    </row>
    <row r="142" spans="1:13" s="6" customFormat="1" ht="19.5" customHeight="1">
      <c r="A142" s="36"/>
      <c r="B142" s="2" t="s">
        <v>207</v>
      </c>
      <c r="C142" s="3" t="s">
        <v>8</v>
      </c>
      <c r="D142" s="4" t="s">
        <v>205</v>
      </c>
      <c r="E142" s="20" t="s">
        <v>0</v>
      </c>
      <c r="F142" s="105">
        <v>0</v>
      </c>
      <c r="G142" s="143"/>
      <c r="H142" s="21" t="s">
        <v>0</v>
      </c>
      <c r="I142" s="105">
        <v>0</v>
      </c>
      <c r="J142" s="143"/>
      <c r="K142" s="21" t="s">
        <v>0</v>
      </c>
      <c r="L142" s="105">
        <v>0</v>
      </c>
      <c r="M142" s="143"/>
    </row>
    <row r="143" spans="1:13" s="6" customFormat="1" ht="19.5" customHeight="1">
      <c r="A143" s="36"/>
      <c r="B143" s="7"/>
      <c r="C143" s="7"/>
      <c r="D143" s="8"/>
      <c r="E143" s="20" t="s">
        <v>1</v>
      </c>
      <c r="F143" s="5">
        <v>5</v>
      </c>
      <c r="G143" s="144"/>
      <c r="H143" s="21" t="s">
        <v>1</v>
      </c>
      <c r="I143" s="5">
        <v>0</v>
      </c>
      <c r="J143" s="144"/>
      <c r="K143" s="21" t="s">
        <v>1</v>
      </c>
      <c r="L143" s="5">
        <v>4</v>
      </c>
      <c r="M143" s="144"/>
    </row>
    <row r="144" spans="1:13" s="6" customFormat="1" ht="19.5" customHeight="1">
      <c r="A144" s="36"/>
      <c r="B144" s="2" t="s">
        <v>208</v>
      </c>
      <c r="C144" s="3" t="s">
        <v>17</v>
      </c>
      <c r="D144" s="4" t="s">
        <v>206</v>
      </c>
      <c r="E144" s="20" t="s">
        <v>0</v>
      </c>
      <c r="F144" s="105">
        <v>6</v>
      </c>
      <c r="G144" s="143" t="s">
        <v>283</v>
      </c>
      <c r="H144" s="21" t="s">
        <v>0</v>
      </c>
      <c r="I144" s="105">
        <v>0</v>
      </c>
      <c r="J144" s="143"/>
      <c r="K144" s="21" t="s">
        <v>0</v>
      </c>
      <c r="L144" s="105">
        <v>2</v>
      </c>
      <c r="M144" s="143" t="s">
        <v>286</v>
      </c>
    </row>
    <row r="145" spans="1:13" s="6" customFormat="1" ht="19.5" customHeight="1">
      <c r="A145" s="36"/>
      <c r="C145" s="145"/>
      <c r="D145" s="38" t="s">
        <v>310</v>
      </c>
      <c r="E145" s="20" t="s">
        <v>1</v>
      </c>
      <c r="F145" s="62">
        <v>0</v>
      </c>
      <c r="G145" s="144" t="s">
        <v>209</v>
      </c>
      <c r="H145" s="21" t="s">
        <v>1</v>
      </c>
      <c r="I145" s="62">
        <v>0</v>
      </c>
      <c r="J145" s="146"/>
      <c r="K145" s="21" t="s">
        <v>1</v>
      </c>
      <c r="L145" s="62">
        <v>0</v>
      </c>
      <c r="M145" s="144"/>
    </row>
    <row r="146" spans="1:13" s="6" customFormat="1" ht="19.5" customHeight="1">
      <c r="A146" s="36"/>
      <c r="B146" s="36" t="s">
        <v>263</v>
      </c>
      <c r="C146" s="145"/>
      <c r="D146" s="38" t="s">
        <v>264</v>
      </c>
      <c r="E146" s="20" t="s">
        <v>0</v>
      </c>
      <c r="F146" s="105">
        <v>6</v>
      </c>
      <c r="G146" s="146" t="s">
        <v>284</v>
      </c>
      <c r="H146" s="21" t="s">
        <v>0</v>
      </c>
      <c r="I146" s="105">
        <v>0</v>
      </c>
      <c r="J146" s="143"/>
      <c r="K146" s="21" t="s">
        <v>0</v>
      </c>
      <c r="L146" s="105">
        <v>2</v>
      </c>
      <c r="M146" s="143" t="s">
        <v>287</v>
      </c>
    </row>
    <row r="147" spans="1:13" s="6" customFormat="1" ht="19.5" customHeight="1">
      <c r="A147" s="36"/>
      <c r="B147" s="7"/>
      <c r="C147" s="7"/>
      <c r="D147" s="8"/>
      <c r="E147" s="20" t="s">
        <v>1</v>
      </c>
      <c r="F147" s="5">
        <v>0</v>
      </c>
      <c r="G147" s="144" t="s">
        <v>210</v>
      </c>
      <c r="H147" s="21" t="s">
        <v>1</v>
      </c>
      <c r="I147" s="5">
        <v>0</v>
      </c>
      <c r="J147" s="144"/>
      <c r="K147" s="21" t="s">
        <v>1</v>
      </c>
      <c r="L147" s="5">
        <v>0</v>
      </c>
      <c r="M147" s="144"/>
    </row>
    <row r="148" spans="1:13" s="6" customFormat="1" ht="19.5" customHeight="1">
      <c r="A148" s="36"/>
      <c r="B148" s="2" t="s">
        <v>208</v>
      </c>
      <c r="C148" s="3" t="s">
        <v>34</v>
      </c>
      <c r="D148" s="4" t="s">
        <v>65</v>
      </c>
      <c r="E148" s="20" t="s">
        <v>0</v>
      </c>
      <c r="F148" s="105">
        <v>3</v>
      </c>
      <c r="G148" s="143" t="s">
        <v>286</v>
      </c>
      <c r="H148" s="21" t="s">
        <v>0</v>
      </c>
      <c r="I148" s="105">
        <v>0</v>
      </c>
      <c r="J148" s="143"/>
      <c r="K148" s="21" t="s">
        <v>0</v>
      </c>
      <c r="L148" s="105">
        <v>7</v>
      </c>
      <c r="M148" s="143" t="s">
        <v>288</v>
      </c>
    </row>
    <row r="149" spans="1:13" s="6" customFormat="1" ht="19.5" customHeight="1">
      <c r="A149" s="36"/>
      <c r="C149" s="145"/>
      <c r="D149" s="38" t="s">
        <v>213</v>
      </c>
      <c r="E149" s="20" t="s">
        <v>1</v>
      </c>
      <c r="F149" s="62">
        <v>0</v>
      </c>
      <c r="G149" s="144" t="s">
        <v>209</v>
      </c>
      <c r="H149" s="21" t="s">
        <v>1</v>
      </c>
      <c r="I149" s="62">
        <v>0</v>
      </c>
      <c r="J149" s="146"/>
      <c r="K149" s="21" t="s">
        <v>1</v>
      </c>
      <c r="L149" s="62">
        <v>0</v>
      </c>
      <c r="M149" s="146"/>
    </row>
    <row r="150" spans="1:13" s="6" customFormat="1" ht="19.5" customHeight="1">
      <c r="A150" s="36"/>
      <c r="B150" s="36" t="s">
        <v>263</v>
      </c>
      <c r="C150" s="145"/>
      <c r="D150" s="38"/>
      <c r="E150" s="20" t="s">
        <v>0</v>
      </c>
      <c r="F150" s="105">
        <v>3</v>
      </c>
      <c r="G150" s="146" t="s">
        <v>287</v>
      </c>
      <c r="H150" s="21" t="s">
        <v>0</v>
      </c>
      <c r="I150" s="105">
        <v>0</v>
      </c>
      <c r="J150" s="143"/>
      <c r="K150" s="21" t="s">
        <v>0</v>
      </c>
      <c r="L150" s="105">
        <v>7</v>
      </c>
      <c r="M150" s="143" t="s">
        <v>289</v>
      </c>
    </row>
    <row r="151" spans="1:13" s="6" customFormat="1" ht="19.5" customHeight="1">
      <c r="A151" s="36"/>
      <c r="B151" s="7"/>
      <c r="C151" s="7"/>
      <c r="D151" s="8"/>
      <c r="E151" s="20" t="s">
        <v>1</v>
      </c>
      <c r="F151" s="5">
        <v>0</v>
      </c>
      <c r="G151" s="144" t="s">
        <v>210</v>
      </c>
      <c r="H151" s="21" t="s">
        <v>1</v>
      </c>
      <c r="I151" s="5">
        <v>0</v>
      </c>
      <c r="J151" s="144"/>
      <c r="K151" s="21" t="s">
        <v>1</v>
      </c>
      <c r="L151" s="5">
        <v>0</v>
      </c>
      <c r="M151" s="144"/>
    </row>
    <row r="152" spans="1:13" s="6" customFormat="1" ht="19.5" customHeight="1">
      <c r="A152" s="36"/>
      <c r="B152" s="2" t="s">
        <v>208</v>
      </c>
      <c r="C152" s="3" t="s">
        <v>29</v>
      </c>
      <c r="D152" s="4" t="s">
        <v>49</v>
      </c>
      <c r="E152" s="20" t="s">
        <v>0</v>
      </c>
      <c r="F152" s="105">
        <v>1</v>
      </c>
      <c r="G152" s="143" t="s">
        <v>211</v>
      </c>
      <c r="H152" s="21" t="s">
        <v>0</v>
      </c>
      <c r="I152" s="105">
        <v>2</v>
      </c>
      <c r="J152" s="143" t="s">
        <v>211</v>
      </c>
      <c r="K152" s="21" t="s">
        <v>0</v>
      </c>
      <c r="L152" s="105">
        <v>5</v>
      </c>
      <c r="M152" s="143" t="s">
        <v>283</v>
      </c>
    </row>
    <row r="153" spans="1:13" s="6" customFormat="1" ht="19.5" customHeight="1">
      <c r="A153" s="36"/>
      <c r="C153" s="145"/>
      <c r="D153" s="38" t="s">
        <v>213</v>
      </c>
      <c r="E153" s="20" t="s">
        <v>1</v>
      </c>
      <c r="F153" s="62">
        <v>0</v>
      </c>
      <c r="G153" s="144"/>
      <c r="H153" s="21" t="s">
        <v>1</v>
      </c>
      <c r="I153" s="62">
        <v>0</v>
      </c>
      <c r="J153" s="144" t="s">
        <v>209</v>
      </c>
      <c r="K153" s="21" t="s">
        <v>1</v>
      </c>
      <c r="L153" s="62">
        <v>0</v>
      </c>
      <c r="M153" s="146"/>
    </row>
    <row r="154" spans="1:13" s="6" customFormat="1" ht="19.5" customHeight="1">
      <c r="A154" s="36"/>
      <c r="B154" s="36" t="s">
        <v>263</v>
      </c>
      <c r="C154" s="145"/>
      <c r="D154" s="38"/>
      <c r="E154" s="20" t="s">
        <v>0</v>
      </c>
      <c r="F154" s="105">
        <v>1</v>
      </c>
      <c r="G154" s="143" t="s">
        <v>212</v>
      </c>
      <c r="H154" s="21" t="s">
        <v>0</v>
      </c>
      <c r="I154" s="105">
        <v>2</v>
      </c>
      <c r="J154" s="143" t="s">
        <v>212</v>
      </c>
      <c r="K154" s="21" t="s">
        <v>0</v>
      </c>
      <c r="L154" s="105">
        <v>5</v>
      </c>
      <c r="M154" s="143" t="s">
        <v>284</v>
      </c>
    </row>
    <row r="155" spans="1:13" s="6" customFormat="1" ht="19.5" customHeight="1">
      <c r="A155" s="7"/>
      <c r="B155" s="7"/>
      <c r="C155" s="7"/>
      <c r="D155" s="8"/>
      <c r="E155" s="20" t="s">
        <v>1</v>
      </c>
      <c r="F155" s="5">
        <v>0</v>
      </c>
      <c r="G155" s="144"/>
      <c r="H155" s="21" t="s">
        <v>1</v>
      </c>
      <c r="I155" s="5">
        <v>0</v>
      </c>
      <c r="J155" s="144" t="s">
        <v>210</v>
      </c>
      <c r="K155" s="21" t="s">
        <v>1</v>
      </c>
      <c r="L155" s="5">
        <v>0</v>
      </c>
      <c r="M155" s="144"/>
    </row>
    <row r="156" spans="1:13" ht="19.5" customHeight="1">
      <c r="A156" s="24" t="s">
        <v>282</v>
      </c>
      <c r="B156" s="184"/>
      <c r="C156" s="184"/>
      <c r="D156" s="184"/>
      <c r="E156" s="20" t="s">
        <v>0</v>
      </c>
      <c r="F156" s="144">
        <v>0</v>
      </c>
      <c r="G156" s="143"/>
      <c r="H156" s="21" t="s">
        <v>0</v>
      </c>
      <c r="I156" s="293">
        <v>0</v>
      </c>
      <c r="J156" s="74"/>
      <c r="K156" s="21" t="s">
        <v>0</v>
      </c>
      <c r="L156" s="293">
        <v>0</v>
      </c>
      <c r="M156" s="74"/>
    </row>
    <row r="157" spans="1:13" ht="19.5" customHeight="1">
      <c r="A157" s="295"/>
      <c r="B157" s="26"/>
      <c r="C157" s="26"/>
      <c r="D157" s="26"/>
      <c r="E157" s="20" t="s">
        <v>1</v>
      </c>
      <c r="F157" s="22">
        <v>23</v>
      </c>
      <c r="G157" s="292"/>
      <c r="H157" s="21" t="s">
        <v>1</v>
      </c>
      <c r="I157" s="294">
        <v>0</v>
      </c>
      <c r="J157" s="76"/>
      <c r="K157" s="21" t="s">
        <v>1</v>
      </c>
      <c r="L157" s="294">
        <v>20</v>
      </c>
      <c r="M157" s="76"/>
    </row>
    <row r="158" ht="19.5" customHeight="1">
      <c r="A158" t="s">
        <v>339</v>
      </c>
    </row>
    <row r="159" ht="19.5" customHeight="1">
      <c r="A159" t="s">
        <v>333</v>
      </c>
    </row>
    <row r="160" spans="1:3" ht="19.5" customHeight="1">
      <c r="A160" t="s">
        <v>239</v>
      </c>
      <c r="C160" s="257"/>
    </row>
    <row r="161" spans="1:3" ht="19.5" customHeight="1">
      <c r="A161" t="s">
        <v>244</v>
      </c>
      <c r="C161" s="257"/>
    </row>
    <row r="162" spans="1:3" ht="19.5" customHeight="1">
      <c r="A162" s="259" t="s">
        <v>335</v>
      </c>
      <c r="C162" s="257"/>
    </row>
    <row r="163" spans="1:3" ht="19.5" customHeight="1">
      <c r="A163" t="s">
        <v>240</v>
      </c>
      <c r="C163" s="257"/>
    </row>
    <row r="164" spans="1:3" ht="19.5" customHeight="1">
      <c r="A164" s="260" t="s">
        <v>236</v>
      </c>
      <c r="C164" s="257"/>
    </row>
    <row r="165" spans="2:3" ht="19.5" customHeight="1">
      <c r="B165" t="s">
        <v>241</v>
      </c>
      <c r="C165" s="257"/>
    </row>
    <row r="166" spans="2:3" ht="19.5" customHeight="1">
      <c r="B166" t="s">
        <v>242</v>
      </c>
      <c r="C166" s="257"/>
    </row>
    <row r="167" ht="19.5" customHeight="1">
      <c r="B167" t="s">
        <v>243</v>
      </c>
    </row>
    <row r="168" ht="19.5" customHeight="1">
      <c r="C168" s="258"/>
    </row>
    <row r="169" ht="19.5" customHeight="1">
      <c r="C169" s="258"/>
    </row>
    <row r="170" ht="19.5" customHeight="1">
      <c r="C170" s="258"/>
    </row>
    <row r="171" ht="19.5" customHeight="1">
      <c r="C171" s="257"/>
    </row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  <row r="1617" ht="19.5" customHeight="1"/>
    <row r="1618" ht="19.5" customHeight="1"/>
    <row r="1619" ht="19.5" customHeight="1"/>
    <row r="1620" ht="19.5" customHeight="1"/>
    <row r="1621" ht="19.5" customHeight="1"/>
    <row r="1622" ht="19.5" customHeight="1"/>
    <row r="1623" ht="19.5" customHeight="1"/>
    <row r="1624" ht="19.5" customHeight="1"/>
    <row r="1625" ht="19.5" customHeight="1"/>
    <row r="1626" ht="19.5" customHeight="1"/>
    <row r="1627" ht="19.5" customHeight="1"/>
    <row r="1628" ht="19.5" customHeight="1"/>
    <row r="1629" ht="19.5" customHeight="1"/>
    <row r="1630" ht="19.5" customHeight="1"/>
    <row r="1631" ht="19.5" customHeight="1"/>
    <row r="1632" ht="19.5" customHeight="1"/>
    <row r="1633" ht="19.5" customHeight="1"/>
    <row r="1634" ht="19.5" customHeight="1"/>
    <row r="1635" ht="19.5" customHeight="1"/>
    <row r="1636" ht="19.5" customHeight="1"/>
    <row r="1637" ht="19.5" customHeight="1"/>
    <row r="1638" ht="19.5" customHeight="1"/>
    <row r="1639" ht="19.5" customHeight="1"/>
    <row r="1640" ht="19.5" customHeight="1"/>
    <row r="1641" ht="19.5" customHeight="1"/>
    <row r="1642" ht="19.5" customHeight="1"/>
    <row r="1643" ht="19.5" customHeight="1"/>
    <row r="1644" ht="19.5" customHeight="1"/>
    <row r="1645" ht="19.5" customHeight="1"/>
    <row r="1646" ht="19.5" customHeight="1"/>
    <row r="1647" ht="19.5" customHeight="1"/>
    <row r="1648" ht="19.5" customHeight="1"/>
    <row r="1649" ht="19.5" customHeight="1"/>
    <row r="1650" ht="19.5" customHeight="1"/>
    <row r="1651" ht="19.5" customHeight="1"/>
    <row r="1652" ht="19.5" customHeight="1"/>
    <row r="1653" ht="19.5" customHeight="1"/>
    <row r="1654" ht="19.5" customHeight="1"/>
    <row r="1655" ht="19.5" customHeight="1"/>
    <row r="1656" ht="19.5" customHeight="1"/>
    <row r="1657" ht="19.5" customHeight="1"/>
    <row r="1658" ht="19.5" customHeight="1"/>
    <row r="1659" ht="19.5" customHeight="1"/>
    <row r="1660" ht="19.5" customHeight="1"/>
    <row r="1661" ht="19.5" customHeight="1"/>
    <row r="1662" ht="19.5" customHeight="1"/>
    <row r="1663" ht="19.5" customHeight="1"/>
    <row r="1664" ht="19.5" customHeight="1"/>
    <row r="1665" ht="19.5" customHeight="1"/>
    <row r="1666" ht="19.5" customHeight="1"/>
    <row r="1667" ht="19.5" customHeight="1"/>
    <row r="1668" ht="19.5" customHeight="1"/>
    <row r="1669" ht="19.5" customHeight="1"/>
    <row r="1670" ht="19.5" customHeight="1"/>
    <row r="1671" ht="19.5" customHeight="1"/>
    <row r="1672" ht="19.5" customHeight="1"/>
    <row r="1673" ht="19.5" customHeight="1"/>
    <row r="1674" ht="19.5" customHeight="1"/>
    <row r="1675" ht="19.5" customHeight="1"/>
    <row r="1676" ht="19.5" customHeight="1"/>
    <row r="1677" ht="19.5" customHeight="1"/>
    <row r="1678" ht="19.5" customHeight="1"/>
    <row r="1679" ht="19.5" customHeight="1"/>
    <row r="1680" ht="19.5" customHeight="1"/>
    <row r="1681" ht="19.5" customHeight="1"/>
    <row r="1682" ht="19.5" customHeight="1"/>
    <row r="1683" ht="19.5" customHeight="1"/>
    <row r="1684" ht="19.5" customHeight="1"/>
    <row r="1685" ht="19.5" customHeight="1"/>
    <row r="1686" ht="19.5" customHeight="1"/>
    <row r="1687" ht="19.5" customHeight="1"/>
  </sheetData>
  <mergeCells count="31">
    <mergeCell ref="G53:G54"/>
    <mergeCell ref="G43:G44"/>
    <mergeCell ref="J43:J44"/>
    <mergeCell ref="M47:M48"/>
    <mergeCell ref="J49:J50"/>
    <mergeCell ref="M49:M50"/>
    <mergeCell ref="G47:G48"/>
    <mergeCell ref="G41:G42"/>
    <mergeCell ref="M57:M58"/>
    <mergeCell ref="G59:G60"/>
    <mergeCell ref="M59:M60"/>
    <mergeCell ref="M43:M44"/>
    <mergeCell ref="G55:G56"/>
    <mergeCell ref="J55:J56"/>
    <mergeCell ref="G45:G46"/>
    <mergeCell ref="J45:J46"/>
    <mergeCell ref="M45:M46"/>
    <mergeCell ref="D70:D71"/>
    <mergeCell ref="D66:D67"/>
    <mergeCell ref="G57:G58"/>
    <mergeCell ref="J57:J58"/>
    <mergeCell ref="M55:M56"/>
    <mergeCell ref="G135:G136"/>
    <mergeCell ref="M51:M52"/>
    <mergeCell ref="D76:D77"/>
    <mergeCell ref="D78:D79"/>
    <mergeCell ref="J61:J62"/>
    <mergeCell ref="M61:M62"/>
    <mergeCell ref="M63:M64"/>
    <mergeCell ref="D72:D73"/>
    <mergeCell ref="D74:D75"/>
  </mergeCells>
  <printOptions/>
  <pageMargins left="0.5905511811023623" right="0.7480314960629921" top="0.984251968503937" bottom="0.984251968503937" header="0.5118110236220472" footer="0.5118110236220472"/>
  <pageSetup fitToHeight="4" fitToWidth="1" horizontalDpi="600" verticalDpi="600" orientation="landscape" paperSize="9" scale="54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4"/>
  <sheetViews>
    <sheetView workbookViewId="0" topLeftCell="A124">
      <selection activeCell="A128" sqref="A128"/>
    </sheetView>
  </sheetViews>
  <sheetFormatPr defaultColWidth="9.00390625" defaultRowHeight="12.75"/>
  <cols>
    <col min="1" max="1" width="19.75390625" style="0" customWidth="1"/>
    <col min="2" max="2" width="18.625" style="0" customWidth="1"/>
    <col min="3" max="3" width="26.625" style="0" customWidth="1"/>
    <col min="4" max="9" width="18.625" style="124" customWidth="1"/>
    <col min="10" max="10" width="18.625" style="126" customWidth="1"/>
    <col min="11" max="11" width="4.75390625" style="126" customWidth="1"/>
    <col min="14" max="14" width="26.00390625" style="0" customWidth="1"/>
    <col min="15" max="15" width="11.125" style="0" bestFit="1" customWidth="1"/>
    <col min="16" max="16" width="11.375" style="0" customWidth="1"/>
    <col min="17" max="17" width="11.25390625" style="0" customWidth="1"/>
    <col min="18" max="18" width="12.00390625" style="0" customWidth="1"/>
    <col min="19" max="19" width="11.25390625" style="0" customWidth="1"/>
    <col min="20" max="20" width="4.25390625" style="0" customWidth="1"/>
    <col min="21" max="21" width="2.625" style="0" customWidth="1"/>
    <col min="22" max="22" width="11.125" style="232" customWidth="1"/>
    <col min="25" max="25" width="18.875" style="0" customWidth="1"/>
    <col min="26" max="26" width="9.875" style="0" customWidth="1"/>
    <col min="27" max="27" width="3.875" style="0" customWidth="1"/>
    <col min="28" max="28" width="12.00390625" style="0" customWidth="1"/>
    <col min="29" max="29" width="8.875" style="0" customWidth="1"/>
  </cols>
  <sheetData>
    <row r="1" ht="12.75">
      <c r="A1" s="23" t="s">
        <v>340</v>
      </c>
    </row>
    <row r="2" spans="1:22" s="125" customFormat="1" ht="12.75">
      <c r="A2" s="125" t="s">
        <v>341</v>
      </c>
      <c r="D2" s="136"/>
      <c r="E2" s="136"/>
      <c r="F2" s="136"/>
      <c r="G2" s="136"/>
      <c r="H2" s="136"/>
      <c r="I2" s="136"/>
      <c r="J2" s="137"/>
      <c r="K2" s="137"/>
      <c r="V2" s="231"/>
    </row>
    <row r="3" spans="1:22" ht="19.5" customHeight="1">
      <c r="A3" s="329" t="s">
        <v>2</v>
      </c>
      <c r="B3" s="329" t="s">
        <v>191</v>
      </c>
      <c r="C3" s="156"/>
      <c r="D3" s="331" t="s">
        <v>327</v>
      </c>
      <c r="E3" s="331" t="s">
        <v>328</v>
      </c>
      <c r="F3" s="333" t="s">
        <v>326</v>
      </c>
      <c r="G3" s="333" t="s">
        <v>325</v>
      </c>
      <c r="H3" s="329">
        <v>2004</v>
      </c>
      <c r="I3" s="329">
        <v>2005</v>
      </c>
      <c r="J3" s="329" t="s">
        <v>175</v>
      </c>
      <c r="K3" s="248"/>
      <c r="L3" s="323" t="s">
        <v>235</v>
      </c>
      <c r="M3" s="324"/>
      <c r="N3" s="324"/>
      <c r="O3" s="324"/>
      <c r="P3" s="324"/>
      <c r="Q3" s="324"/>
      <c r="R3" s="324"/>
      <c r="S3" s="324"/>
      <c r="T3" s="324"/>
      <c r="U3" s="324"/>
      <c r="V3" s="325"/>
    </row>
    <row r="4" spans="1:22" ht="19.5" customHeight="1">
      <c r="A4" s="330"/>
      <c r="B4" s="330"/>
      <c r="C4" s="183"/>
      <c r="D4" s="332"/>
      <c r="E4" s="330"/>
      <c r="F4" s="330"/>
      <c r="G4" s="330"/>
      <c r="H4" s="330"/>
      <c r="I4" s="330"/>
      <c r="J4" s="330"/>
      <c r="K4" s="249"/>
      <c r="L4" s="326"/>
      <c r="M4" s="327"/>
      <c r="N4" s="327"/>
      <c r="O4" s="327"/>
      <c r="P4" s="327"/>
      <c r="Q4" s="327"/>
      <c r="R4" s="327"/>
      <c r="S4" s="327"/>
      <c r="T4" s="327"/>
      <c r="U4" s="327"/>
      <c r="V4" s="328"/>
    </row>
    <row r="5" spans="1:22" ht="19.5" customHeight="1">
      <c r="A5" s="184" t="s">
        <v>6</v>
      </c>
      <c r="B5" s="184" t="s">
        <v>170</v>
      </c>
      <c r="C5" s="184" t="s">
        <v>131</v>
      </c>
      <c r="D5" s="185">
        <f>'Príloha č. 1a)'!F5+'Príloha č. 1a)'!F6+'Príloha č. 1a)'!F7</f>
        <v>20</v>
      </c>
      <c r="E5" s="185">
        <f>D5+'Príloha č. 1a)'!I5+'Príloha č. 1a)'!I6+'Príloha č. 1a)'!L5+'Príloha č. 1a)'!L6</f>
        <v>28</v>
      </c>
      <c r="F5" s="185">
        <f>E5</f>
        <v>28</v>
      </c>
      <c r="G5" s="185">
        <f>F5</f>
        <v>28</v>
      </c>
      <c r="H5" s="186">
        <f>E5</f>
        <v>28</v>
      </c>
      <c r="I5" s="186">
        <f>H5</f>
        <v>28</v>
      </c>
      <c r="J5" s="187"/>
      <c r="K5" s="255"/>
      <c r="L5" s="203" t="s">
        <v>330</v>
      </c>
      <c r="M5" s="100"/>
      <c r="N5" s="100"/>
      <c r="O5" s="100"/>
      <c r="P5" s="100"/>
      <c r="Q5" s="100"/>
      <c r="R5" s="100"/>
      <c r="S5" s="100"/>
      <c r="T5" s="100"/>
      <c r="U5" s="100"/>
      <c r="V5" s="245">
        <f>'Príloha č. 1a)'!L5+'Príloha č. 1a)'!L6</f>
        <v>7</v>
      </c>
    </row>
    <row r="6" spans="1:22" ht="19.5" customHeight="1">
      <c r="A6" s="42"/>
      <c r="B6" s="42" t="s">
        <v>302</v>
      </c>
      <c r="C6" s="42" t="s">
        <v>132</v>
      </c>
      <c r="D6" s="188">
        <f>3*'Príloha č. 1c)'!E5*'Príloha č. 1b)'!D5</f>
        <v>1738800</v>
      </c>
      <c r="E6" s="188">
        <f>6*'Príloha č. 1c)'!E6*'Príloha č. 1b)'!E5</f>
        <v>7650720</v>
      </c>
      <c r="F6" s="188">
        <f>D6+E6</f>
        <v>9389520</v>
      </c>
      <c r="G6" s="188">
        <f>E6/2</f>
        <v>3825360</v>
      </c>
      <c r="H6" s="188">
        <f>F6+G6</f>
        <v>13214880</v>
      </c>
      <c r="I6" s="188">
        <f>4*G6</f>
        <v>15301440</v>
      </c>
      <c r="J6" s="189"/>
      <c r="K6" s="251"/>
      <c r="L6" s="204" t="s">
        <v>234</v>
      </c>
      <c r="M6" s="101"/>
      <c r="N6" s="101"/>
      <c r="O6" s="101"/>
      <c r="P6" s="101"/>
      <c r="Q6" s="101"/>
      <c r="R6" s="101"/>
      <c r="S6" s="101"/>
      <c r="T6" s="101"/>
      <c r="U6" s="101"/>
      <c r="V6" s="246">
        <f>H8/(12*'Príloha č. 1c)'!E6)</f>
        <v>16.318181818181817</v>
      </c>
    </row>
    <row r="7" spans="1:22" ht="19.5" customHeight="1">
      <c r="A7" s="42"/>
      <c r="B7" s="42"/>
      <c r="C7" s="42" t="s">
        <v>133</v>
      </c>
      <c r="D7" s="188">
        <f>'Príloha č. 1a)'!F5+'Príloha č. 1a)'!F7</f>
        <v>13</v>
      </c>
      <c r="E7" s="188">
        <f>D7+'Príloha č. 1a)'!I5+'Príloha č. 1a)'!L5</f>
        <v>19</v>
      </c>
      <c r="F7" s="188">
        <f>E7</f>
        <v>19</v>
      </c>
      <c r="G7" s="188">
        <f>F7</f>
        <v>19</v>
      </c>
      <c r="H7" s="188">
        <f>E7</f>
        <v>19</v>
      </c>
      <c r="I7" s="188">
        <f>H7</f>
        <v>19</v>
      </c>
      <c r="J7" s="189"/>
      <c r="K7" s="251"/>
      <c r="L7" s="204" t="s">
        <v>223</v>
      </c>
      <c r="M7" s="101"/>
      <c r="N7" s="101"/>
      <c r="O7" s="101"/>
      <c r="P7" s="101"/>
      <c r="Q7" s="101"/>
      <c r="R7" s="101"/>
      <c r="S7" s="101"/>
      <c r="T7" s="101"/>
      <c r="U7" s="101"/>
      <c r="V7" s="246"/>
    </row>
    <row r="8" spans="1:22" ht="19.5" customHeight="1">
      <c r="A8" s="42"/>
      <c r="B8" s="42"/>
      <c r="C8" s="42" t="s">
        <v>146</v>
      </c>
      <c r="D8" s="188">
        <f>3*'Príloha č. 1c)'!E5*'Príloha č. 1b)'!D7</f>
        <v>1130220</v>
      </c>
      <c r="E8" s="188">
        <f>6*'Príloha č. 1c)'!E6*'Príloha č. 1b)'!E7</f>
        <v>5191560</v>
      </c>
      <c r="F8" s="188">
        <f>D8+E8</f>
        <v>6321780</v>
      </c>
      <c r="G8" s="188">
        <f>E8/2</f>
        <v>2595780</v>
      </c>
      <c r="H8" s="188">
        <f>F8+G8</f>
        <v>8917560</v>
      </c>
      <c r="I8" s="188">
        <f>4*G8</f>
        <v>10383120</v>
      </c>
      <c r="J8" s="189"/>
      <c r="K8" s="251"/>
      <c r="L8" s="204" t="s">
        <v>193</v>
      </c>
      <c r="M8" s="235"/>
      <c r="N8" s="101"/>
      <c r="O8" s="101"/>
      <c r="P8" s="101"/>
      <c r="Q8" s="101"/>
      <c r="R8" s="101"/>
      <c r="S8" s="101"/>
      <c r="T8" s="101"/>
      <c r="U8" s="101"/>
      <c r="V8" s="246">
        <f>V6-V5</f>
        <v>9.318181818181817</v>
      </c>
    </row>
    <row r="9" spans="1:22" ht="19.5" customHeight="1">
      <c r="A9" s="42"/>
      <c r="B9" s="26"/>
      <c r="C9" s="26" t="s">
        <v>134</v>
      </c>
      <c r="D9" s="190">
        <f>0.75*D8</f>
        <v>847665</v>
      </c>
      <c r="E9" s="190">
        <f>0.75*E8</f>
        <v>3893670</v>
      </c>
      <c r="F9" s="190">
        <f>D9+E9</f>
        <v>4741335</v>
      </c>
      <c r="G9" s="190">
        <f>E9/2</f>
        <v>1946835</v>
      </c>
      <c r="H9" s="191">
        <f>F9+G9</f>
        <v>6688170</v>
      </c>
      <c r="I9" s="191">
        <f>4*G9</f>
        <v>7787340</v>
      </c>
      <c r="J9" s="210"/>
      <c r="K9" s="254"/>
      <c r="L9" s="205"/>
      <c r="M9" s="226"/>
      <c r="N9" s="226"/>
      <c r="O9" s="226"/>
      <c r="P9" s="226"/>
      <c r="Q9" s="226"/>
      <c r="R9" s="226"/>
      <c r="S9" s="226"/>
      <c r="T9" s="226"/>
      <c r="U9" s="226"/>
      <c r="V9" s="247"/>
    </row>
    <row r="10" spans="1:22" ht="19.5" customHeight="1">
      <c r="A10" s="42"/>
      <c r="B10" s="184" t="s">
        <v>173</v>
      </c>
      <c r="C10" s="184" t="s">
        <v>131</v>
      </c>
      <c r="D10" s="186">
        <f>'Príloha č. 1a)'!F9+'Príloha č. 1a)'!F10+'Príloha č. 1a)'!F11+'Príloha č. 1a)'!F12+'Príloha č. 1a)'!F13+'Príloha č. 1a)'!F14+'Príloha č. 1a)'!F15+'Príloha č. 1a)'!F16+'Príloha č. 1a)'!F17+'Príloha č. 1a)'!F18</f>
        <v>35</v>
      </c>
      <c r="E10" s="186">
        <f>D10+'Príloha č. 1a)'!I9+'Príloha č. 1a)'!I10+'Príloha č. 1a)'!I11+'Príloha č. 1a)'!I12+'Príloha č. 1a)'!I13+'Príloha č. 1a)'!I14+'Príloha č. 1a)'!I15+'Príloha č. 1a)'!I16+'Príloha č. 1a)'!I17+'Príloha č. 1a)'!I18+'Príloha č. 1a)'!L9+'Príloha č. 1a)'!L10+'Príloha č. 1a)'!L11+'Príloha č. 1a)'!L12+'Príloha č. 1a)'!L13+'Príloha č. 1a)'!L14+'Príloha č. 1a)'!L15+'Príloha č. 1a)'!L16+'Príloha č. 1a)'!L17+'Príloha č. 1a)'!L18</f>
        <v>88</v>
      </c>
      <c r="F10" s="186">
        <f>E10</f>
        <v>88</v>
      </c>
      <c r="G10" s="186">
        <f>F10</f>
        <v>88</v>
      </c>
      <c r="H10" s="186">
        <f>E10</f>
        <v>88</v>
      </c>
      <c r="I10" s="186">
        <f>H10</f>
        <v>88</v>
      </c>
      <c r="J10" s="192"/>
      <c r="K10" s="251"/>
      <c r="L10" s="203" t="s">
        <v>192</v>
      </c>
      <c r="M10" s="100"/>
      <c r="N10" s="100"/>
      <c r="O10" s="100"/>
      <c r="P10" s="100"/>
      <c r="Q10" s="100"/>
      <c r="R10" s="100"/>
      <c r="S10" s="100"/>
      <c r="T10" s="100"/>
      <c r="U10" s="100"/>
      <c r="V10" s="245">
        <f>'Príloha č. 1a)'!L9+'Príloha č. 1a)'!L10+'Príloha č. 1a)'!L11+'Príloha č. 1a)'!L12+'Príloha č. 1a)'!L13+'Príloha č. 1a)'!L14+'Príloha č. 1a)'!L15+'Príloha č. 1a)'!L16+'Príloha č. 1a)'!L17+'Príloha č. 1a)'!L18</f>
        <v>53</v>
      </c>
    </row>
    <row r="11" spans="1:22" ht="19.5" customHeight="1">
      <c r="A11" s="42"/>
      <c r="B11" s="42"/>
      <c r="C11" s="42" t="s">
        <v>132</v>
      </c>
      <c r="D11" s="188">
        <f>3*'Príloha č. 1c)'!E5*'Príloha č. 1b)'!D10</f>
        <v>3042900</v>
      </c>
      <c r="E11" s="188">
        <f>6*'Príloha č. 1c)'!E6*'Príloha č. 1b)'!E10</f>
        <v>24045120</v>
      </c>
      <c r="F11" s="188">
        <f>D11+E11</f>
        <v>27088020</v>
      </c>
      <c r="G11" s="188">
        <f>E11/2</f>
        <v>12022560</v>
      </c>
      <c r="H11" s="188">
        <f>F11+G11</f>
        <v>39110580</v>
      </c>
      <c r="I11" s="188">
        <f>4*G11</f>
        <v>48090240</v>
      </c>
      <c r="J11" s="189"/>
      <c r="K11" s="251"/>
      <c r="L11" s="204" t="s">
        <v>234</v>
      </c>
      <c r="M11" s="101"/>
      <c r="N11" s="101"/>
      <c r="O11" s="101"/>
      <c r="P11" s="101"/>
      <c r="Q11" s="101"/>
      <c r="R11" s="101"/>
      <c r="S11" s="101"/>
      <c r="T11" s="101"/>
      <c r="U11" s="101"/>
      <c r="V11" s="246">
        <f>H13/(12*'Príloha č. 1c)'!E6)</f>
        <v>70.6590909090909</v>
      </c>
    </row>
    <row r="12" spans="1:22" ht="19.5" customHeight="1">
      <c r="A12" s="42"/>
      <c r="B12" s="42"/>
      <c r="C12" s="42" t="s">
        <v>133</v>
      </c>
      <c r="D12" s="188">
        <f>'Príloha č. 1a)'!F9+'Príloha č. 1a)'!F11+'Príloha č. 1a)'!F13+'Príloha č. 1a)'!F15+'Príloha č. 1a)'!F17</f>
        <v>34</v>
      </c>
      <c r="E12" s="188">
        <f>D12+'Príloha č. 1a)'!I9+'Príloha č. 1a)'!I11+'Príloha č. 1a)'!I13+'Príloha č. 1a)'!I15+'Príloha č. 1a)'!I17+'Príloha č. 1a)'!L9+'Príloha č. 1a)'!L11+'Príloha č. 1a)'!L13+'Príloha č. 1a)'!L15+'Príloha č. 1a)'!L17</f>
        <v>87</v>
      </c>
      <c r="F12" s="188">
        <f>E12</f>
        <v>87</v>
      </c>
      <c r="G12" s="188">
        <f>F12</f>
        <v>87</v>
      </c>
      <c r="H12" s="188">
        <f>E12</f>
        <v>87</v>
      </c>
      <c r="I12" s="188">
        <f>H12</f>
        <v>87</v>
      </c>
      <c r="J12" s="189"/>
      <c r="K12" s="251"/>
      <c r="L12" s="204" t="s">
        <v>224</v>
      </c>
      <c r="M12" s="101"/>
      <c r="N12" s="101"/>
      <c r="O12" s="101"/>
      <c r="P12" s="101"/>
      <c r="Q12" s="101"/>
      <c r="R12" s="101"/>
      <c r="S12" s="101"/>
      <c r="T12" s="101"/>
      <c r="U12" s="101"/>
      <c r="V12" s="246"/>
    </row>
    <row r="13" spans="1:22" ht="19.5" customHeight="1">
      <c r="A13" s="42"/>
      <c r="B13" s="42"/>
      <c r="C13" s="42" t="s">
        <v>146</v>
      </c>
      <c r="D13" s="188">
        <f>3*'Príloha č. 1c)'!E5*'Príloha č. 1b)'!D12</f>
        <v>2955960</v>
      </c>
      <c r="E13" s="188">
        <f>6*'Príloha č. 1c)'!E6*'Príloha č. 1b)'!E12</f>
        <v>23771880</v>
      </c>
      <c r="F13" s="188">
        <f>D13+E13</f>
        <v>26727840</v>
      </c>
      <c r="G13" s="188">
        <f>E13/2</f>
        <v>11885940</v>
      </c>
      <c r="H13" s="188">
        <f>F13+G13</f>
        <v>38613780</v>
      </c>
      <c r="I13" s="188">
        <f>4*G13</f>
        <v>47543760</v>
      </c>
      <c r="J13" s="189"/>
      <c r="K13" s="251"/>
      <c r="L13" s="204" t="s">
        <v>193</v>
      </c>
      <c r="M13" s="101"/>
      <c r="N13" s="101"/>
      <c r="O13" s="101"/>
      <c r="P13" s="101"/>
      <c r="Q13" s="101"/>
      <c r="R13" s="101"/>
      <c r="S13" s="101"/>
      <c r="T13" s="101"/>
      <c r="U13" s="101"/>
      <c r="V13" s="246">
        <f>V11-V10</f>
        <v>17.659090909090907</v>
      </c>
    </row>
    <row r="14" spans="1:22" ht="19.5" customHeight="1">
      <c r="A14" s="42"/>
      <c r="B14" s="26"/>
      <c r="C14" s="26" t="s">
        <v>134</v>
      </c>
      <c r="D14" s="190">
        <f>0.75*D13</f>
        <v>2216970</v>
      </c>
      <c r="E14" s="190">
        <f>0.75*E13</f>
        <v>17828910</v>
      </c>
      <c r="F14" s="190">
        <f>D14+E14</f>
        <v>20045880</v>
      </c>
      <c r="G14" s="190">
        <f>E14/2</f>
        <v>8914455</v>
      </c>
      <c r="H14" s="191">
        <f>F14+G14</f>
        <v>28960335</v>
      </c>
      <c r="I14" s="191">
        <f>4*G14</f>
        <v>35657820</v>
      </c>
      <c r="J14" s="210"/>
      <c r="K14" s="254"/>
      <c r="L14" s="201" t="s">
        <v>253</v>
      </c>
      <c r="M14" s="226"/>
      <c r="N14" s="226"/>
      <c r="O14" s="226"/>
      <c r="P14" s="226"/>
      <c r="Q14" s="226"/>
      <c r="R14" s="226"/>
      <c r="S14" s="226"/>
      <c r="T14" s="226"/>
      <c r="U14" s="226"/>
      <c r="V14" s="247"/>
    </row>
    <row r="15" spans="1:22" ht="19.5" customHeight="1">
      <c r="A15" s="42"/>
      <c r="B15" s="184" t="s">
        <v>246</v>
      </c>
      <c r="C15" s="184" t="s">
        <v>131</v>
      </c>
      <c r="D15" s="186">
        <f>'Príloha č. 1a)'!F19+'Príloha č. 1a)'!F20</f>
        <v>5</v>
      </c>
      <c r="E15" s="186">
        <f>D15+'Príloha č. 1a)'!I19+'Príloha č. 1a)'!I20+'Príloha č. 1a)'!L19+'Príloha č. 1a)'!L20</f>
        <v>15</v>
      </c>
      <c r="F15" s="186">
        <f>E15</f>
        <v>15</v>
      </c>
      <c r="G15" s="186">
        <f>F15</f>
        <v>15</v>
      </c>
      <c r="H15" s="186">
        <f>E15</f>
        <v>15</v>
      </c>
      <c r="I15" s="186">
        <f>H15</f>
        <v>15</v>
      </c>
      <c r="J15" s="192"/>
      <c r="K15" s="251"/>
      <c r="L15" s="203" t="s">
        <v>192</v>
      </c>
      <c r="M15" s="100"/>
      <c r="N15" s="100"/>
      <c r="O15" s="100"/>
      <c r="P15" s="100"/>
      <c r="Q15" s="100"/>
      <c r="R15" s="100"/>
      <c r="S15" s="100"/>
      <c r="T15" s="100"/>
      <c r="U15" s="100"/>
      <c r="V15" s="245">
        <f>'Príloha č. 1a)'!L19+'Príloha č. 1a)'!L20</f>
        <v>10</v>
      </c>
    </row>
    <row r="16" spans="1:22" ht="19.5" customHeight="1">
      <c r="A16" s="42"/>
      <c r="B16" s="42"/>
      <c r="C16" s="42" t="s">
        <v>132</v>
      </c>
      <c r="D16" s="188">
        <f>3*'Príloha č. 1c)'!E5*'Príloha č. 1b)'!D15</f>
        <v>434700</v>
      </c>
      <c r="E16" s="188">
        <f>6*'Príloha č. 1c)'!E6*'Príloha č. 1b)'!E15</f>
        <v>4098600</v>
      </c>
      <c r="F16" s="188">
        <f>D16+E16</f>
        <v>4533300</v>
      </c>
      <c r="G16" s="188">
        <f>E16/2</f>
        <v>2049300</v>
      </c>
      <c r="H16" s="188">
        <f>F16+G16</f>
        <v>6582600</v>
      </c>
      <c r="I16" s="188">
        <f>4*G16</f>
        <v>8197200</v>
      </c>
      <c r="J16" s="189"/>
      <c r="K16" s="251"/>
      <c r="L16" s="204" t="s">
        <v>234</v>
      </c>
      <c r="M16" s="101"/>
      <c r="N16" s="101"/>
      <c r="O16" s="101"/>
      <c r="P16" s="101"/>
      <c r="Q16" s="101"/>
      <c r="R16" s="101"/>
      <c r="S16" s="101"/>
      <c r="T16" s="101"/>
      <c r="U16" s="101"/>
      <c r="V16" s="246">
        <f>H18/(12*'Príloha č. 1c)'!E6)</f>
        <v>12.045454545454545</v>
      </c>
    </row>
    <row r="17" spans="1:22" ht="19.5" customHeight="1">
      <c r="A17" s="42"/>
      <c r="B17" s="42"/>
      <c r="C17" s="42" t="s">
        <v>133</v>
      </c>
      <c r="D17" s="188">
        <f>'Príloha č. 1a)'!F19</f>
        <v>5</v>
      </c>
      <c r="E17" s="188">
        <f>D17+'Príloha č. 1a)'!I19+'Príloha č. 1a)'!L19</f>
        <v>15</v>
      </c>
      <c r="F17" s="188">
        <f>E17</f>
        <v>15</v>
      </c>
      <c r="G17" s="188">
        <f>F17</f>
        <v>15</v>
      </c>
      <c r="H17" s="188">
        <f>E17</f>
        <v>15</v>
      </c>
      <c r="I17" s="188">
        <f>H17</f>
        <v>15</v>
      </c>
      <c r="J17" s="189"/>
      <c r="K17" s="251"/>
      <c r="L17" s="204" t="s">
        <v>224</v>
      </c>
      <c r="M17" s="101"/>
      <c r="N17" s="101"/>
      <c r="O17" s="101"/>
      <c r="P17" s="101"/>
      <c r="Q17" s="101"/>
      <c r="R17" s="101"/>
      <c r="S17" s="101"/>
      <c r="T17" s="101"/>
      <c r="U17" s="101"/>
      <c r="V17" s="246"/>
    </row>
    <row r="18" spans="1:22" ht="19.5" customHeight="1">
      <c r="A18" s="42"/>
      <c r="B18" s="42"/>
      <c r="C18" s="42" t="s">
        <v>146</v>
      </c>
      <c r="D18" s="188">
        <f>3*'Príloha č. 1c)'!E5*'Príloha č. 1b)'!D17</f>
        <v>434700</v>
      </c>
      <c r="E18" s="188">
        <f>6*'Príloha č. 1c)'!E6*'Príloha č. 1b)'!E17</f>
        <v>4098600</v>
      </c>
      <c r="F18" s="188">
        <f>D18+E18</f>
        <v>4533300</v>
      </c>
      <c r="G18" s="188">
        <f>E18/2</f>
        <v>2049300</v>
      </c>
      <c r="H18" s="188">
        <f>F18+G18</f>
        <v>6582600</v>
      </c>
      <c r="I18" s="188">
        <f>4*G18</f>
        <v>8197200</v>
      </c>
      <c r="J18" s="189"/>
      <c r="K18" s="251"/>
      <c r="L18" s="204" t="s">
        <v>193</v>
      </c>
      <c r="M18" s="101"/>
      <c r="N18" s="101"/>
      <c r="O18" s="101"/>
      <c r="P18" s="101"/>
      <c r="Q18" s="101"/>
      <c r="R18" s="101"/>
      <c r="S18" s="101"/>
      <c r="T18" s="101"/>
      <c r="U18" s="101"/>
      <c r="V18" s="246">
        <f>V16-V15</f>
        <v>2.045454545454545</v>
      </c>
    </row>
    <row r="19" spans="1:23" ht="19.5" customHeight="1">
      <c r="A19" s="42"/>
      <c r="B19" s="26"/>
      <c r="C19" s="26" t="s">
        <v>134</v>
      </c>
      <c r="D19" s="190">
        <f>0.75*D18</f>
        <v>326025</v>
      </c>
      <c r="E19" s="190">
        <f>0.75*E18</f>
        <v>3073950</v>
      </c>
      <c r="F19" s="190">
        <f>D19+E19</f>
        <v>3399975</v>
      </c>
      <c r="G19" s="190">
        <f>E19/2</f>
        <v>1536975</v>
      </c>
      <c r="H19" s="193">
        <f>F19+G19</f>
        <v>4936950</v>
      </c>
      <c r="I19" s="193">
        <f>4*G19</f>
        <v>6147900</v>
      </c>
      <c r="J19" s="213"/>
      <c r="K19" s="254"/>
      <c r="L19" s="201" t="s">
        <v>253</v>
      </c>
      <c r="M19" s="226"/>
      <c r="N19" s="226"/>
      <c r="O19" s="226"/>
      <c r="P19" s="226"/>
      <c r="Q19" s="226"/>
      <c r="R19" s="226"/>
      <c r="S19" s="226"/>
      <c r="T19" s="226"/>
      <c r="U19" s="226"/>
      <c r="V19" s="247"/>
      <c r="W19" s="263"/>
    </row>
    <row r="20" spans="1:22" ht="19.5" customHeight="1">
      <c r="A20" s="42"/>
      <c r="B20" s="184" t="s">
        <v>262</v>
      </c>
      <c r="C20" s="184" t="s">
        <v>131</v>
      </c>
      <c r="D20" s="186">
        <f>'Príloha č. 1a)'!F21+'Príloha č. 1a)'!F22+'Príloha č. 1a)'!F23+'Príloha č. 1a)'!F7</f>
        <v>9</v>
      </c>
      <c r="E20" s="186">
        <f>D20+'Príloha č. 1a)'!I21+'Príloha č. 1a)'!I22+'Príloha č. 1a)'!I23+'Príloha č. 1a)'!I7+'Príloha č. 1a)'!L21+'Príloha č. 1a)'!L22+'Príloha č. 1a)'!L23+'Príloha č. 1a)'!L7</f>
        <v>29</v>
      </c>
      <c r="F20" s="186">
        <f>E20</f>
        <v>29</v>
      </c>
      <c r="G20" s="186">
        <f>F20</f>
        <v>29</v>
      </c>
      <c r="H20" s="186">
        <f>E20</f>
        <v>29</v>
      </c>
      <c r="I20" s="186">
        <f>H20</f>
        <v>29</v>
      </c>
      <c r="J20" s="192"/>
      <c r="K20" s="251"/>
      <c r="L20" s="203" t="s">
        <v>192</v>
      </c>
      <c r="M20" s="100"/>
      <c r="N20" s="100"/>
      <c r="O20" s="100"/>
      <c r="P20" s="100"/>
      <c r="Q20" s="100"/>
      <c r="R20" s="100"/>
      <c r="S20" s="100"/>
      <c r="T20" s="100"/>
      <c r="U20" s="100"/>
      <c r="V20" s="245">
        <f>'Príloha č. 1a)'!L21+'Príloha č. 1a)'!L22+'Príloha č. 1a)'!L23+'Príloha č. 1a)'!L7</f>
        <v>19</v>
      </c>
    </row>
    <row r="21" spans="1:22" ht="19.5" customHeight="1">
      <c r="A21" s="42"/>
      <c r="B21" s="42"/>
      <c r="C21" s="42" t="s">
        <v>132</v>
      </c>
      <c r="D21" s="188">
        <f>3*'Príloha č. 1c)'!E5*'Príloha č. 1b)'!D20</f>
        <v>782460</v>
      </c>
      <c r="E21" s="188">
        <f>6*'Príloha č. 1c)'!E6*'Príloha č. 1b)'!E20</f>
        <v>7923960</v>
      </c>
      <c r="F21" s="188">
        <f>D21+E21</f>
        <v>8706420</v>
      </c>
      <c r="G21" s="188">
        <f>E21/2</f>
        <v>3961980</v>
      </c>
      <c r="H21" s="188">
        <f>F21+G21</f>
        <v>12668400</v>
      </c>
      <c r="I21" s="188">
        <f>4*G21</f>
        <v>15847920</v>
      </c>
      <c r="J21" s="189"/>
      <c r="K21" s="251"/>
      <c r="L21" s="204" t="s">
        <v>234</v>
      </c>
      <c r="M21" s="101"/>
      <c r="N21" s="101"/>
      <c r="O21" s="101"/>
      <c r="P21" s="101"/>
      <c r="Q21" s="101"/>
      <c r="R21" s="101"/>
      <c r="S21" s="101"/>
      <c r="T21" s="101"/>
      <c r="U21" s="101"/>
      <c r="V21" s="246">
        <f>H23/(12*'Príloha č. 1c)'!E6)</f>
        <v>22.863636363636363</v>
      </c>
    </row>
    <row r="22" spans="1:22" ht="19.5" customHeight="1">
      <c r="A22" s="42"/>
      <c r="B22" s="42"/>
      <c r="C22" s="42" t="s">
        <v>133</v>
      </c>
      <c r="D22" s="188">
        <f>'Príloha č. 1a)'!F21+'Príloha č. 1a)'!F23</f>
        <v>7</v>
      </c>
      <c r="E22" s="188">
        <f>D20+'Príloha č. 1a)'!I21+'Príloha č. 1a)'!I23+'Príloha č. 1a)'!L21+'Príloha č. 1a)'!L23</f>
        <v>29</v>
      </c>
      <c r="F22" s="188">
        <f>E22</f>
        <v>29</v>
      </c>
      <c r="G22" s="188">
        <f>F22</f>
        <v>29</v>
      </c>
      <c r="H22" s="188">
        <f>E22</f>
        <v>29</v>
      </c>
      <c r="I22" s="188">
        <f>H22</f>
        <v>29</v>
      </c>
      <c r="J22" s="189"/>
      <c r="K22" s="251"/>
      <c r="L22" s="204" t="s">
        <v>224</v>
      </c>
      <c r="M22" s="101"/>
      <c r="N22" s="101"/>
      <c r="O22" s="101"/>
      <c r="P22" s="101"/>
      <c r="Q22" s="101"/>
      <c r="R22" s="101"/>
      <c r="S22" s="101"/>
      <c r="T22" s="101"/>
      <c r="U22" s="101"/>
      <c r="V22" s="246"/>
    </row>
    <row r="23" spans="1:22" ht="19.5" customHeight="1">
      <c r="A23" s="42"/>
      <c r="B23" s="42"/>
      <c r="C23" s="42" t="s">
        <v>146</v>
      </c>
      <c r="D23" s="188">
        <f>3*'Príloha č. 1c)'!E5*'Príloha č. 1b)'!D22</f>
        <v>608580</v>
      </c>
      <c r="E23" s="188">
        <f>6*'Príloha č. 1c)'!E6*'Príloha č. 1b)'!E22</f>
        <v>7923960</v>
      </c>
      <c r="F23" s="188">
        <f>D23+E23</f>
        <v>8532540</v>
      </c>
      <c r="G23" s="188">
        <f>E23/2</f>
        <v>3961980</v>
      </c>
      <c r="H23" s="188">
        <f>F23+G23</f>
        <v>12494520</v>
      </c>
      <c r="I23" s="188">
        <f>4*G23</f>
        <v>15847920</v>
      </c>
      <c r="J23" s="189"/>
      <c r="K23" s="251"/>
      <c r="L23" s="204" t="s">
        <v>193</v>
      </c>
      <c r="M23" s="101"/>
      <c r="N23" s="101"/>
      <c r="O23" s="101"/>
      <c r="P23" s="101"/>
      <c r="Q23" s="101"/>
      <c r="R23" s="101"/>
      <c r="S23" s="101"/>
      <c r="T23" s="101"/>
      <c r="U23" s="101"/>
      <c r="V23" s="246">
        <f>V21-V20</f>
        <v>3.8636363636363633</v>
      </c>
    </row>
    <row r="24" spans="1:22" ht="19.5" customHeight="1">
      <c r="A24" s="42"/>
      <c r="B24" s="26"/>
      <c r="C24" s="26" t="s">
        <v>134</v>
      </c>
      <c r="D24" s="190">
        <f>0.5*D23</f>
        <v>304290</v>
      </c>
      <c r="E24" s="190">
        <f>0.5*E23</f>
        <v>3961980</v>
      </c>
      <c r="F24" s="190">
        <f>D24+E24</f>
        <v>4266270</v>
      </c>
      <c r="G24" s="190">
        <f>E24/2</f>
        <v>1980990</v>
      </c>
      <c r="H24" s="193">
        <f>F24+G24</f>
        <v>6247260</v>
      </c>
      <c r="I24" s="193">
        <f>4*G24</f>
        <v>7923960</v>
      </c>
      <c r="J24" s="213"/>
      <c r="K24" s="254"/>
      <c r="L24" s="205"/>
      <c r="M24" s="226"/>
      <c r="N24" s="226"/>
      <c r="O24" s="226"/>
      <c r="P24" s="226"/>
      <c r="Q24" s="226"/>
      <c r="R24" s="226"/>
      <c r="S24" s="226"/>
      <c r="T24" s="226"/>
      <c r="U24" s="226"/>
      <c r="V24" s="247"/>
    </row>
    <row r="25" spans="1:22" ht="19.5" customHeight="1">
      <c r="A25" s="175"/>
      <c r="B25" s="184" t="s">
        <v>139</v>
      </c>
      <c r="C25" s="184" t="s">
        <v>131</v>
      </c>
      <c r="D25" s="186">
        <f aca="true" t="shared" si="0" ref="D25:E29">D5+D10+D15+D20</f>
        <v>69</v>
      </c>
      <c r="E25" s="186">
        <f t="shared" si="0"/>
        <v>160</v>
      </c>
      <c r="F25" s="186">
        <f>E25</f>
        <v>160</v>
      </c>
      <c r="G25" s="186">
        <f>F25</f>
        <v>160</v>
      </c>
      <c r="H25" s="186">
        <f>E25</f>
        <v>160</v>
      </c>
      <c r="I25" s="186">
        <f>H25</f>
        <v>160</v>
      </c>
      <c r="J25" s="192"/>
      <c r="K25" s="251"/>
      <c r="L25" s="203" t="s">
        <v>192</v>
      </c>
      <c r="M25" s="100"/>
      <c r="N25" s="100"/>
      <c r="O25" s="100"/>
      <c r="P25" s="100"/>
      <c r="Q25" s="100"/>
      <c r="R25" s="100"/>
      <c r="S25" s="100"/>
      <c r="T25" s="100"/>
      <c r="U25" s="100"/>
      <c r="V25" s="245">
        <f>V5+V10+V15+V20</f>
        <v>89</v>
      </c>
    </row>
    <row r="26" spans="1:22" ht="19.5" customHeight="1">
      <c r="A26" s="42"/>
      <c r="B26" s="42"/>
      <c r="C26" s="42" t="s">
        <v>132</v>
      </c>
      <c r="D26" s="188">
        <f t="shared" si="0"/>
        <v>5998860</v>
      </c>
      <c r="E26" s="188">
        <f t="shared" si="0"/>
        <v>43718400</v>
      </c>
      <c r="F26" s="188">
        <f>D26+E26</f>
        <v>49717260</v>
      </c>
      <c r="G26" s="188">
        <f>E26/2</f>
        <v>21859200</v>
      </c>
      <c r="H26" s="188">
        <f>F26+G26</f>
        <v>71576460</v>
      </c>
      <c r="I26" s="188">
        <f>4*G26</f>
        <v>87436800</v>
      </c>
      <c r="J26" s="189"/>
      <c r="K26" s="251"/>
      <c r="L26" s="204" t="s">
        <v>234</v>
      </c>
      <c r="M26" s="101"/>
      <c r="N26" s="101"/>
      <c r="O26" s="101"/>
      <c r="P26" s="101"/>
      <c r="Q26" s="101"/>
      <c r="R26" s="101"/>
      <c r="S26" s="101"/>
      <c r="T26" s="101"/>
      <c r="U26" s="101"/>
      <c r="V26" s="246">
        <f>V6+V11+O132+V21</f>
        <v>109.84090909090908</v>
      </c>
    </row>
    <row r="27" spans="1:22" ht="19.5" customHeight="1">
      <c r="A27" s="42"/>
      <c r="B27" s="42"/>
      <c r="C27" s="42" t="s">
        <v>133</v>
      </c>
      <c r="D27" s="188">
        <f t="shared" si="0"/>
        <v>59</v>
      </c>
      <c r="E27" s="188">
        <f t="shared" si="0"/>
        <v>150</v>
      </c>
      <c r="F27" s="188">
        <f>E27</f>
        <v>150</v>
      </c>
      <c r="G27" s="188">
        <f>F27</f>
        <v>150</v>
      </c>
      <c r="H27" s="188">
        <f>E27</f>
        <v>150</v>
      </c>
      <c r="I27" s="188">
        <f>H27</f>
        <v>150</v>
      </c>
      <c r="J27" s="189"/>
      <c r="K27" s="251"/>
      <c r="L27" s="204" t="s">
        <v>194</v>
      </c>
      <c r="M27" s="101"/>
      <c r="N27" s="101"/>
      <c r="O27" s="101"/>
      <c r="P27" s="101"/>
      <c r="Q27" s="101"/>
      <c r="R27" s="101"/>
      <c r="S27" s="101"/>
      <c r="T27" s="101"/>
      <c r="U27" s="101"/>
      <c r="V27" s="246"/>
    </row>
    <row r="28" spans="1:22" ht="19.5" customHeight="1">
      <c r="A28" s="42"/>
      <c r="B28" s="42"/>
      <c r="C28" s="42" t="s">
        <v>146</v>
      </c>
      <c r="D28" s="188">
        <f t="shared" si="0"/>
        <v>5129460</v>
      </c>
      <c r="E28" s="188">
        <f t="shared" si="0"/>
        <v>40986000</v>
      </c>
      <c r="F28" s="188">
        <f>D28+E28</f>
        <v>46115460</v>
      </c>
      <c r="G28" s="188">
        <f>E28/2</f>
        <v>20493000</v>
      </c>
      <c r="H28" s="188">
        <f>F28+G28</f>
        <v>66608460</v>
      </c>
      <c r="I28" s="188">
        <f>4*G28</f>
        <v>81972000</v>
      </c>
      <c r="J28" s="189"/>
      <c r="K28" s="251"/>
      <c r="L28" s="204" t="s">
        <v>193</v>
      </c>
      <c r="M28" s="101"/>
      <c r="N28" s="101"/>
      <c r="O28" s="101"/>
      <c r="P28" s="101"/>
      <c r="Q28" s="101"/>
      <c r="R28" s="101"/>
      <c r="S28" s="101"/>
      <c r="T28" s="101"/>
      <c r="U28" s="101"/>
      <c r="V28" s="246">
        <f>V26-V25</f>
        <v>20.84090909090908</v>
      </c>
    </row>
    <row r="29" spans="1:22" ht="19.5" customHeight="1">
      <c r="A29" s="42"/>
      <c r="B29" s="42"/>
      <c r="C29" s="42" t="s">
        <v>134</v>
      </c>
      <c r="D29" s="194">
        <f t="shared" si="0"/>
        <v>3694950</v>
      </c>
      <c r="E29" s="194">
        <f t="shared" si="0"/>
        <v>28758510</v>
      </c>
      <c r="F29" s="194">
        <f>D29+E29</f>
        <v>32453460</v>
      </c>
      <c r="G29" s="194">
        <f>E29/2</f>
        <v>14379255</v>
      </c>
      <c r="H29" s="195">
        <f>F29+G29</f>
        <v>46832715</v>
      </c>
      <c r="I29" s="195">
        <f>4*G29</f>
        <v>57517020</v>
      </c>
      <c r="J29" s="198"/>
      <c r="K29" s="251"/>
      <c r="L29" s="204"/>
      <c r="M29" s="101"/>
      <c r="N29" s="101"/>
      <c r="O29" s="101"/>
      <c r="P29" s="101"/>
      <c r="Q29" s="101"/>
      <c r="R29" s="101"/>
      <c r="S29" s="101"/>
      <c r="T29" s="101"/>
      <c r="U29" s="101"/>
      <c r="V29" s="246"/>
    </row>
    <row r="30" spans="1:22" ht="19.5" customHeight="1">
      <c r="A30" s="26"/>
      <c r="B30" s="26"/>
      <c r="C30" s="26"/>
      <c r="D30" s="196"/>
      <c r="E30" s="196"/>
      <c r="F30" s="196"/>
      <c r="G30" s="196"/>
      <c r="H30" s="197"/>
      <c r="I30" s="197"/>
      <c r="J30" s="199"/>
      <c r="K30" s="251"/>
      <c r="L30" s="204"/>
      <c r="M30" s="101"/>
      <c r="N30" s="101"/>
      <c r="O30" s="101"/>
      <c r="P30" s="101"/>
      <c r="Q30" s="101"/>
      <c r="R30" s="101"/>
      <c r="S30" s="101"/>
      <c r="T30" s="101"/>
      <c r="U30" s="101"/>
      <c r="V30" s="247"/>
    </row>
    <row r="31" spans="1:22" ht="19.5" customHeight="1">
      <c r="A31" s="222"/>
      <c r="B31" s="223"/>
      <c r="C31" s="223"/>
      <c r="D31" s="224"/>
      <c r="E31" s="224"/>
      <c r="F31" s="224"/>
      <c r="G31" s="224"/>
      <c r="H31" s="224"/>
      <c r="I31" s="224"/>
      <c r="J31" s="237"/>
      <c r="K31" s="252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38"/>
    </row>
    <row r="32" spans="1:22" ht="19.5" customHeight="1">
      <c r="A32" s="184" t="s">
        <v>73</v>
      </c>
      <c r="B32" s="184" t="s">
        <v>183</v>
      </c>
      <c r="C32" s="184" t="s">
        <v>131</v>
      </c>
      <c r="D32" s="186">
        <f>'Príloha č. 1a)'!F66+'Príloha č. 1a)'!F67+'Príloha č. 1a)'!F68+'Príloha č. 1a)'!F69+'Príloha č. 1a)'!F70+'Príloha č. 1a)'!F71+'Príloha č. 1a)'!F72+'Príloha č. 1a)'!F73+'Príloha č. 1a)'!F74+'Príloha č. 1a)'!F75+'Príloha č. 1a)'!F76+'Príloha č. 1a)'!F77+'Príloha č. 1a)'!F78+'Príloha č. 1a)'!F79+'Príloha č. 1a)'!F80+'Príloha č. 1a)'!F81+'Príloha č. 1a)'!F82+'Príloha č. 1a)'!F83+'Príloha č. 1a)'!F84+'Príloha č. 1a)'!F85+'Príloha č. 1a)'!F86+'Príloha č. 1a)'!F87</f>
        <v>62</v>
      </c>
      <c r="E32" s="186">
        <f>D32+'Príloha č. 1a)'!I66+'Príloha č. 1a)'!I67+'Príloha č. 1a)'!I68+'Príloha č. 1a)'!I69+'Príloha č. 1a)'!I70+'Príloha č. 1a)'!I71+'Príloha č. 1a)'!I72+'Príloha č. 1a)'!I73+'Príloha č. 1a)'!I74+'Príloha č. 1a)'!I75+'Príloha č. 1a)'!I76+'Príloha č. 1a)'!I77+'Príloha č. 1a)'!I78+'Príloha č. 1a)'!I79+'Príloha č. 1a)'!I80+'Príloha č. 1a)'!I81+'Príloha č. 1a)'!I82+'Príloha č. 1a)'!I83+'Príloha č. 1a)'!I84+'Príloha č. 1a)'!I85+'Príloha č. 1a)'!I86+'Príloha č. 1a)'!I87+'Príloha č. 1a)'!L66+'Príloha č. 1a)'!L67+'Príloha č. 1a)'!L68+'Príloha č. 1a)'!L69+'Príloha č. 1a)'!L70+'Príloha č. 1a)'!L71+'Príloha č. 1a)'!L72+'Príloha č. 1a)'!L73+'Príloha č. 1a)'!L74+'Príloha č. 1a)'!L75+'Príloha č. 1a)'!L76+'Príloha č. 1a)'!L77+'Príloha č. 1a)'!L78+'Príloha č. 1a)'!L79+'Príloha č. 1a)'!L80+'Príloha č. 1a)'!L81+'Príloha č. 1a)'!L82+'Príloha č. 1a)'!L83+'Príloha č. 1a)'!L84+'Príloha č. 1a)'!L85+'Príloha č. 1a)'!L86+'Príloha č. 1a)'!L87</f>
        <v>76</v>
      </c>
      <c r="F32" s="186">
        <f>E32</f>
        <v>76</v>
      </c>
      <c r="G32" s="186">
        <f>E32</f>
        <v>76</v>
      </c>
      <c r="H32" s="186">
        <f>E32</f>
        <v>76</v>
      </c>
      <c r="I32" s="186">
        <f>H32</f>
        <v>76</v>
      </c>
      <c r="J32" s="192"/>
      <c r="K32" s="251"/>
      <c r="L32" s="203" t="s">
        <v>192</v>
      </c>
      <c r="M32" s="100"/>
      <c r="N32" s="100"/>
      <c r="O32" s="100"/>
      <c r="P32" s="100"/>
      <c r="Q32" s="100"/>
      <c r="R32" s="100"/>
      <c r="S32" s="100"/>
      <c r="T32" s="100"/>
      <c r="U32" s="100"/>
      <c r="V32" s="245">
        <f>'Príloha č. 1a)'!L66++'Príloha č. 1a)'!L67+'Príloha č. 1a)'!L68+'Príloha č. 1a)'!L69+'Príloha č. 1a)'!L70+'Príloha č. 1a)'!L71+'Príloha č. 1a)'!L72+'Príloha č. 1a)'!L73+'Príloha č. 1a)'!L74+'Príloha č. 1a)'!L75+'Príloha č. 1a)'!L76+'Príloha č. 1a)'!L77+'Príloha č. 1a)'!L78+'Príloha č. 1a)'!L79+'Príloha č. 1a)'!L80+'Príloha č. 1a)'!L81+'Príloha č. 1a)'!L82+'Príloha č. 1a)'!L83+'Príloha č. 1a)'!L84+'Príloha č. 1a)'!L85+'Príloha č. 1a)'!L86+'Príloha č. 1a)'!L87</f>
        <v>5</v>
      </c>
    </row>
    <row r="33" spans="1:22" ht="19.5" customHeight="1">
      <c r="A33" s="42"/>
      <c r="B33" s="42"/>
      <c r="C33" s="42" t="s">
        <v>132</v>
      </c>
      <c r="D33" s="188">
        <f>3*D32*'Príloha č. 1c)'!E5</f>
        <v>5390280</v>
      </c>
      <c r="E33" s="188">
        <f>6*'Príloha č. 1c)'!E6*'Príloha č. 1b)'!E32</f>
        <v>20766240</v>
      </c>
      <c r="F33" s="188">
        <f>D33+E33</f>
        <v>26156520</v>
      </c>
      <c r="G33" s="188">
        <f>E33/2</f>
        <v>10383120</v>
      </c>
      <c r="H33" s="188">
        <f>F33+G33</f>
        <v>36539640</v>
      </c>
      <c r="I33" s="188">
        <f>4*G33</f>
        <v>41532480</v>
      </c>
      <c r="J33" s="189"/>
      <c r="K33" s="251"/>
      <c r="L33" s="204" t="s">
        <v>234</v>
      </c>
      <c r="M33" s="101"/>
      <c r="N33" s="101"/>
      <c r="O33" s="101"/>
      <c r="P33" s="101"/>
      <c r="Q33" s="101"/>
      <c r="R33" s="101"/>
      <c r="S33" s="101"/>
      <c r="T33" s="101"/>
      <c r="U33" s="101"/>
      <c r="V33" s="246">
        <f>H35/(12*'Príloha č. 1c)'!E6)</f>
        <v>39.35227272727273</v>
      </c>
    </row>
    <row r="34" spans="1:22" ht="19.5" customHeight="1">
      <c r="A34" s="42"/>
      <c r="B34" s="42"/>
      <c r="C34" s="42" t="s">
        <v>133</v>
      </c>
      <c r="D34" s="188">
        <f>'Príloha č. 1a)'!F66+'Príloha č. 1a)'!F68+'Príloha č. 1a)'!F70+'Príloha č. 1a)'!F72+'Príloha č. 1a)'!F74+'Príloha č. 1a)'!F76+'Príloha č. 1a)'!F78+'Príloha č. 1a)'!F80+'Príloha č. 1a)'!F82+'Príloha č. 1a)'!F84+'Príloha č. 1a)'!F86</f>
        <v>62</v>
      </c>
      <c r="E34" s="188">
        <f>D34+'Príloha č. 1a)'!I66+'Príloha č. 1a)'!I68+'Príloha č. 1a)'!I70+'Príloha č. 1a)'!I72+'Príloha č. 1a)'!I74+'Príloha č. 1a)'!I76+'Príloha č. 1a)'!I78+'Príloha č. 1a)'!I80+'Príloha č. 1a)'!I82+'Príloha č. 1a)'!I84+'Príloha č. 1a)'!I86+'Príloha č. 1a)'!L66+'Príloha č. 1a)'!L68+'Príloha č. 1a)'!L70+'Príloha č. 1a)'!L72+'Príloha č. 1a)'!L74+'Príloha č. 1a)'!L76+'Príloha č. 1a)'!L78+'Príloha č. 1a)'!L80+'Príloha č. 1a)'!L82+'Príloha č. 1a)'!L84+'Príloha č. 1a)'!L86</f>
        <v>76</v>
      </c>
      <c r="F34" s="188">
        <f>E34</f>
        <v>76</v>
      </c>
      <c r="G34" s="188">
        <f>F34</f>
        <v>76</v>
      </c>
      <c r="H34" s="188">
        <f>E34</f>
        <v>76</v>
      </c>
      <c r="I34" s="188">
        <f>H34</f>
        <v>76</v>
      </c>
      <c r="J34" s="189"/>
      <c r="K34" s="251"/>
      <c r="L34" s="204" t="s">
        <v>224</v>
      </c>
      <c r="M34" s="101"/>
      <c r="N34" s="101"/>
      <c r="O34" s="101"/>
      <c r="P34" s="101"/>
      <c r="Q34" s="101"/>
      <c r="R34" s="101"/>
      <c r="S34" s="101"/>
      <c r="T34" s="101"/>
      <c r="U34" s="101"/>
      <c r="V34" s="246"/>
    </row>
    <row r="35" spans="1:22" ht="19.5" customHeight="1">
      <c r="A35" s="42"/>
      <c r="B35" s="42"/>
      <c r="C35" s="42" t="s">
        <v>146</v>
      </c>
      <c r="D35" s="188">
        <f>3*'Príloha č. 1c)'!E5*(6+2)+5*0.5*'Príloha č. 1c)'!E5*(8+4+4+1+5+3+2+13+14)</f>
        <v>4607820</v>
      </c>
      <c r="E35" s="188">
        <f>2*D35+6*'Príloha č. 1c)'!E6+6*0.5*'Príloha č. 1c)'!E6*(1+2+2+3+2+3)</f>
        <v>11264940</v>
      </c>
      <c r="F35" s="188">
        <f>D35+E35</f>
        <v>15872760</v>
      </c>
      <c r="G35" s="188">
        <f>E35/2</f>
        <v>5632470</v>
      </c>
      <c r="H35" s="188">
        <f>F35+G35</f>
        <v>21505230</v>
      </c>
      <c r="I35" s="188">
        <f>4*G35</f>
        <v>22529880</v>
      </c>
      <c r="J35" s="189"/>
      <c r="K35" s="251"/>
      <c r="L35" s="204" t="s">
        <v>193</v>
      </c>
      <c r="M35" s="101"/>
      <c r="N35" s="101"/>
      <c r="O35" s="101"/>
      <c r="P35" s="101"/>
      <c r="Q35" s="101"/>
      <c r="R35" s="101"/>
      <c r="S35" s="101"/>
      <c r="T35" s="101"/>
      <c r="U35" s="101"/>
      <c r="V35" s="246">
        <f>V33-V32</f>
        <v>34.35227272727273</v>
      </c>
    </row>
    <row r="36" spans="1:22" ht="19.5" customHeight="1">
      <c r="A36" s="42"/>
      <c r="B36" s="42"/>
      <c r="C36" s="42" t="s">
        <v>134</v>
      </c>
      <c r="D36" s="206">
        <f>0.75*D35</f>
        <v>3455865</v>
      </c>
      <c r="E36" s="206">
        <f>0.75*E35</f>
        <v>8448705</v>
      </c>
      <c r="F36" s="206">
        <f>D36+E36</f>
        <v>11904570</v>
      </c>
      <c r="G36" s="206">
        <f>E36/2</f>
        <v>4224352.5</v>
      </c>
      <c r="H36" s="207">
        <f>F36+G36</f>
        <v>16128922.5</v>
      </c>
      <c r="I36" s="207">
        <f>4*G36</f>
        <v>16897410</v>
      </c>
      <c r="J36" s="208"/>
      <c r="K36" s="251"/>
      <c r="L36" s="204"/>
      <c r="M36" s="101"/>
      <c r="N36" s="101"/>
      <c r="O36" s="101"/>
      <c r="P36" s="101"/>
      <c r="Q36" s="101"/>
      <c r="R36" s="101"/>
      <c r="S36" s="101"/>
      <c r="T36" s="101"/>
      <c r="U36" s="101"/>
      <c r="V36" s="246"/>
    </row>
    <row r="37" spans="1:22" ht="19.5" customHeight="1">
      <c r="A37" s="26"/>
      <c r="B37" s="26"/>
      <c r="C37" s="26"/>
      <c r="D37" s="196"/>
      <c r="E37" s="196"/>
      <c r="F37" s="196"/>
      <c r="G37" s="196"/>
      <c r="H37" s="197"/>
      <c r="I37" s="197"/>
      <c r="J37" s="199"/>
      <c r="K37" s="251"/>
      <c r="L37" s="204"/>
      <c r="M37" s="101"/>
      <c r="N37" s="101"/>
      <c r="O37" s="101"/>
      <c r="P37" s="101"/>
      <c r="Q37" s="101"/>
      <c r="R37" s="101"/>
      <c r="S37" s="101"/>
      <c r="T37" s="101"/>
      <c r="U37" s="101"/>
      <c r="V37" s="246"/>
    </row>
    <row r="38" spans="1:22" ht="19.5" customHeight="1">
      <c r="A38" s="222"/>
      <c r="B38" s="223"/>
      <c r="C38" s="223"/>
      <c r="D38" s="224"/>
      <c r="E38" s="224"/>
      <c r="F38" s="224"/>
      <c r="G38" s="224"/>
      <c r="H38" s="224"/>
      <c r="I38" s="224"/>
      <c r="J38" s="237"/>
      <c r="K38" s="252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38"/>
    </row>
    <row r="39" spans="1:22" ht="19.5" customHeight="1">
      <c r="A39" s="184" t="s">
        <v>138</v>
      </c>
      <c r="B39" s="184" t="s">
        <v>183</v>
      </c>
      <c r="C39" s="184" t="s">
        <v>131</v>
      </c>
      <c r="D39" s="186">
        <f>'Príloha č. 1a)'!F114+'Príloha č. 1a)'!F115+'Príloha č. 1a)'!F120+'Príloha č. 1a)'!F122+'Príloha č. 1a)'!F124</f>
        <v>31</v>
      </c>
      <c r="E39" s="186">
        <f>D39+'Príloha č. 1a)'!I114+'Príloha č. 1a)'!I115+'Príloha č. 1a)'!I120+'Príloha č. 1a)'!I121+'Príloha č. 1a)'!I122+'Príloha č. 1a)'!I124+'Príloha č. 1a)'!L114+'Príloha č. 1a)'!L115+'Príloha č. 1a)'!L116+'Príloha č. 1a)'!L122</f>
        <v>60</v>
      </c>
      <c r="F39" s="186">
        <f>E39</f>
        <v>60</v>
      </c>
      <c r="G39" s="186">
        <f>F39</f>
        <v>60</v>
      </c>
      <c r="H39" s="186">
        <f>E39</f>
        <v>60</v>
      </c>
      <c r="I39" s="186">
        <f>H39</f>
        <v>60</v>
      </c>
      <c r="J39" s="192"/>
      <c r="K39" s="251"/>
      <c r="L39" s="203" t="s">
        <v>314</v>
      </c>
      <c r="M39" s="100"/>
      <c r="N39" s="100"/>
      <c r="O39" s="100"/>
      <c r="P39" s="100"/>
      <c r="Q39" s="100"/>
      <c r="R39" s="100"/>
      <c r="S39" s="100"/>
      <c r="T39" s="100"/>
      <c r="U39" s="100"/>
      <c r="V39" s="245">
        <f>'Príloha č. 1a)'!L114+'Príloha č. 1a)'!L115+'Príloha č. 1a)'!L116+'Príloha č. 1a)'!L117+'Príloha č. 1a)'!L118+'Príloha č. 1a)'!L119+'Príloha č. 1a)'!L120+'Príloha č. 1a)'!L121+'Príloha č. 1a)'!L122+'Príloha č. 1a)'!L123+'Príloha č. 1a)'!L124+'Príloha č. 1a)'!L125</f>
        <v>42</v>
      </c>
    </row>
    <row r="40" spans="1:22" ht="19.5" customHeight="1">
      <c r="A40" s="42"/>
      <c r="B40" s="42"/>
      <c r="C40" s="42" t="s">
        <v>132</v>
      </c>
      <c r="D40" s="188">
        <f>3*'Príloha č. 1c)'!E5*'Príloha č. 1b)'!D39</f>
        <v>2695140</v>
      </c>
      <c r="E40" s="188">
        <f>6*'Príloha č. 1c)'!E6*'Príloha č. 1b)'!E39</f>
        <v>16394400</v>
      </c>
      <c r="F40" s="188">
        <f>D40+E40</f>
        <v>19089540</v>
      </c>
      <c r="G40" s="188">
        <f>E40/2</f>
        <v>8197200</v>
      </c>
      <c r="H40" s="188">
        <f>F40+G40</f>
        <v>27286740</v>
      </c>
      <c r="I40" s="188">
        <f>4*G40</f>
        <v>32788800</v>
      </c>
      <c r="J40" s="189"/>
      <c r="K40" s="251"/>
      <c r="L40" s="204" t="s">
        <v>234</v>
      </c>
      <c r="M40" s="101"/>
      <c r="N40" s="101"/>
      <c r="O40" s="101"/>
      <c r="P40" s="101"/>
      <c r="Q40" s="101"/>
      <c r="R40" s="101"/>
      <c r="S40" s="101"/>
      <c r="T40" s="101"/>
      <c r="U40" s="101"/>
      <c r="V40" s="246">
        <f>H42/(12*'Príloha č. 1c)'!E6)</f>
        <v>49.27272727272727</v>
      </c>
    </row>
    <row r="41" spans="1:22" ht="19.5" customHeight="1">
      <c r="A41" s="42"/>
      <c r="B41" s="42"/>
      <c r="C41" s="42" t="s">
        <v>133</v>
      </c>
      <c r="D41" s="188">
        <f>'Príloha č. 1a)'!F114+'Príloha č. 1a)'!F116+'Príloha č. 1a)'!F118+'Príloha č. 1a)'!F120+'Príloha č. 1a)'!F122+'Príloha č. 1a)'!F124</f>
        <v>31</v>
      </c>
      <c r="E41" s="188">
        <f>D41+'Príloha č. 1a)'!I114+'Príloha č. 1a)'!I120+'Príloha č. 1a)'!I122+'Príloha č. 1a)'!I124+'Príloha č. 1a)'!L114+'Príloha č. 1a)'!L120+'Príloha č. 1a)'!L122+'Príloha č. 1a)'!L124+'Príloha č. 1a)'!L116</f>
        <v>60</v>
      </c>
      <c r="F41" s="188">
        <f>E41</f>
        <v>60</v>
      </c>
      <c r="G41" s="188">
        <f>F41</f>
        <v>60</v>
      </c>
      <c r="H41" s="188">
        <f>E41</f>
        <v>60</v>
      </c>
      <c r="I41" s="188">
        <f>H41</f>
        <v>60</v>
      </c>
      <c r="J41" s="189"/>
      <c r="K41" s="251"/>
      <c r="L41" s="204" t="s">
        <v>224</v>
      </c>
      <c r="M41" s="101"/>
      <c r="N41" s="101"/>
      <c r="O41" s="101"/>
      <c r="P41" s="101"/>
      <c r="Q41" s="101"/>
      <c r="R41" s="101"/>
      <c r="S41" s="101"/>
      <c r="T41" s="101"/>
      <c r="U41" s="101"/>
      <c r="V41" s="246"/>
    </row>
    <row r="42" spans="1:22" ht="19.5" customHeight="1">
      <c r="A42" s="42"/>
      <c r="B42" s="42"/>
      <c r="C42" s="42" t="s">
        <v>146</v>
      </c>
      <c r="D42" s="188">
        <f>3*'Príloha č. 1c)'!E5*(16+2)+3*0.5*'Príloha č. 1c)'!E5*(5+1+5+2)</f>
        <v>2130030</v>
      </c>
      <c r="E42" s="188">
        <f>6*'Príloha č. 1c)'!E6*(6+2)+6*0.5*'Príloha č. 1c)'!E6*(8+4+4+1+5+3+2+13+14)+6*'Príloha č. 1c)'!E6*(5+1+16)+6*0.5*'Príloha č. 1c)'!E6*(1+2+1+1+2)</f>
        <v>16531020</v>
      </c>
      <c r="F42" s="188">
        <f>D42+E42</f>
        <v>18661050</v>
      </c>
      <c r="G42" s="188">
        <f>E42/2</f>
        <v>8265510</v>
      </c>
      <c r="H42" s="188">
        <f>F42+G42</f>
        <v>26926560</v>
      </c>
      <c r="I42" s="188">
        <f>4*G42</f>
        <v>33062040</v>
      </c>
      <c r="J42" s="189"/>
      <c r="K42" s="251"/>
      <c r="L42" s="204" t="s">
        <v>193</v>
      </c>
      <c r="M42" s="101"/>
      <c r="N42" s="101"/>
      <c r="O42" s="101"/>
      <c r="P42" s="101"/>
      <c r="Q42" s="101"/>
      <c r="R42" s="101"/>
      <c r="S42" s="101"/>
      <c r="T42" s="101"/>
      <c r="U42" s="101"/>
      <c r="V42" s="312">
        <f>V40-V39</f>
        <v>7.272727272727273</v>
      </c>
    </row>
    <row r="43" spans="1:22" ht="19.5" customHeight="1">
      <c r="A43" s="42"/>
      <c r="B43" s="42"/>
      <c r="C43" s="42" t="s">
        <v>134</v>
      </c>
      <c r="D43" s="206">
        <f>0.75*D42</f>
        <v>1597522.5</v>
      </c>
      <c r="E43" s="206">
        <f>0.75*E42</f>
        <v>12398265</v>
      </c>
      <c r="F43" s="206">
        <f>D43+E43</f>
        <v>13995787.5</v>
      </c>
      <c r="G43" s="206">
        <f>E43/2</f>
        <v>6199132.5</v>
      </c>
      <c r="H43" s="207">
        <f>F43+G43</f>
        <v>20194920</v>
      </c>
      <c r="I43" s="207">
        <f>4*G43</f>
        <v>24796530</v>
      </c>
      <c r="J43" s="208"/>
      <c r="K43" s="251"/>
      <c r="L43" s="204"/>
      <c r="M43" s="101"/>
      <c r="N43" s="101"/>
      <c r="O43" s="101"/>
      <c r="P43" s="101"/>
      <c r="Q43" s="101"/>
      <c r="R43" s="101"/>
      <c r="S43" s="101"/>
      <c r="T43" s="101"/>
      <c r="U43" s="101"/>
      <c r="V43" s="246"/>
    </row>
    <row r="44" spans="1:22" ht="19.5" customHeight="1">
      <c r="A44" s="26"/>
      <c r="B44" s="26"/>
      <c r="C44" s="26"/>
      <c r="D44" s="196"/>
      <c r="E44" s="196"/>
      <c r="F44" s="196"/>
      <c r="G44" s="196"/>
      <c r="H44" s="197"/>
      <c r="I44" s="197"/>
      <c r="J44" s="199"/>
      <c r="K44" s="251"/>
      <c r="L44" s="204"/>
      <c r="M44" s="101"/>
      <c r="N44" s="101"/>
      <c r="O44" s="101"/>
      <c r="P44" s="101"/>
      <c r="Q44" s="101"/>
      <c r="R44" s="101"/>
      <c r="S44" s="101"/>
      <c r="T44" s="101"/>
      <c r="U44" s="101"/>
      <c r="V44" s="246"/>
    </row>
    <row r="45" spans="1:22" ht="19.5" customHeight="1">
      <c r="A45" s="222"/>
      <c r="B45" s="223"/>
      <c r="C45" s="223"/>
      <c r="D45" s="224"/>
      <c r="E45" s="224"/>
      <c r="F45" s="224"/>
      <c r="G45" s="224"/>
      <c r="H45" s="224"/>
      <c r="I45" s="224"/>
      <c r="J45" s="237"/>
      <c r="K45" s="252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38"/>
    </row>
    <row r="46" spans="1:22" ht="19.5" customHeight="1">
      <c r="A46" s="184" t="s">
        <v>141</v>
      </c>
      <c r="B46" s="184" t="s">
        <v>183</v>
      </c>
      <c r="C46" s="184" t="s">
        <v>131</v>
      </c>
      <c r="D46" s="186">
        <f>'Príloha č. 1a)'!F127+'Príloha č. 1a)'!F128+'Príloha č. 1a)'!F129+'Príloha č. 1a)'!F130+'Príloha č. 1a)'!F131+'Príloha č. 1a)'!F132+'Príloha č. 1a)'!F133+'Príloha č. 1a)'!F134+'Príloha č. 1a)'!F135+'Príloha č. 1a)'!F136</f>
        <v>52</v>
      </c>
      <c r="E46" s="186">
        <f>'Príloha č. 1b)'!D46+'Príloha č. 1a)'!I127+'Príloha č. 1a)'!I128+'Príloha č. 1a)'!I129+'Príloha č. 1a)'!I130+'Príloha č. 1a)'!I131+'Príloha č. 1a)'!I132+'Príloha č. 1a)'!I133+'Príloha č. 1a)'!I134+'Príloha č. 1a)'!I135+'Príloha č. 1a)'!I136+'Príloha č. 1a)'!L127+'Príloha č. 1a)'!L128+'Príloha č. 1a)'!L129+'Príloha č. 1a)'!L130+'Príloha č. 1a)'!L131+'Príloha č. 1a)'!L132+'Príloha č. 1a)'!L133+'Príloha č. 1a)'!L134+'Príloha č. 1a)'!L135</f>
        <v>53</v>
      </c>
      <c r="F46" s="186">
        <f>E46</f>
        <v>53</v>
      </c>
      <c r="G46" s="186">
        <f>F46</f>
        <v>53</v>
      </c>
      <c r="H46" s="186">
        <f>E46</f>
        <v>53</v>
      </c>
      <c r="I46" s="186">
        <f>H46</f>
        <v>53</v>
      </c>
      <c r="J46" s="192"/>
      <c r="K46" s="251"/>
      <c r="L46" s="203" t="s">
        <v>192</v>
      </c>
      <c r="M46" s="100"/>
      <c r="N46" s="100"/>
      <c r="O46" s="100"/>
      <c r="P46" s="100"/>
      <c r="Q46" s="100"/>
      <c r="R46" s="100"/>
      <c r="S46" s="100"/>
      <c r="T46" s="100"/>
      <c r="U46" s="100"/>
      <c r="V46" s="245">
        <f>'Príloha č. 1a)'!L127+'Príloha č. 1a)'!L128+'Príloha č. 1a)'!L129+'Príloha č. 1a)'!L130+'Príloha č. 1a)'!L131+'Príloha č. 1a)'!L132+'Príloha č. 1a)'!L133+'Príloha č. 1a)'!L134+'Príloha č. 1a)'!L135+'Príloha č. 1a)'!L136</f>
        <v>0</v>
      </c>
    </row>
    <row r="47" spans="1:22" ht="19.5" customHeight="1">
      <c r="A47" s="42"/>
      <c r="B47" s="42"/>
      <c r="C47" s="42" t="s">
        <v>132</v>
      </c>
      <c r="D47" s="188">
        <f>3*'Príloha č. 1c)'!E5*'Príloha č. 1b)'!D46</f>
        <v>4520880</v>
      </c>
      <c r="E47" s="188">
        <f>6*'Príloha č. 1c)'!E6*'Príloha č. 1b)'!E46</f>
        <v>14481720</v>
      </c>
      <c r="F47" s="188">
        <f>D47+E47</f>
        <v>19002600</v>
      </c>
      <c r="G47" s="188">
        <f>E47/2</f>
        <v>7240860</v>
      </c>
      <c r="H47" s="188">
        <f>F47+G47</f>
        <v>26243460</v>
      </c>
      <c r="I47" s="188">
        <f>4*G47</f>
        <v>28963440</v>
      </c>
      <c r="J47" s="189"/>
      <c r="K47" s="251"/>
      <c r="L47" s="204" t="s">
        <v>234</v>
      </c>
      <c r="M47" s="101"/>
      <c r="N47" s="101"/>
      <c r="O47" s="101"/>
      <c r="P47" s="101"/>
      <c r="Q47" s="101"/>
      <c r="R47" s="101"/>
      <c r="S47" s="101"/>
      <c r="T47" s="101"/>
      <c r="U47" s="101"/>
      <c r="V47" s="246">
        <f>H49/(12*'Príloha č. 1c)'!E6)</f>
        <v>29.977272727272727</v>
      </c>
    </row>
    <row r="48" spans="1:22" ht="19.5" customHeight="1">
      <c r="A48" s="42"/>
      <c r="B48" s="42"/>
      <c r="C48" s="42" t="s">
        <v>133</v>
      </c>
      <c r="D48" s="188">
        <f>'Príloha č. 1a)'!F127+'Príloha č. 1a)'!F129+'Príloha č. 1a)'!F131+'Príloha č. 1a)'!F133+'Príloha č. 1a)'!F135</f>
        <v>52</v>
      </c>
      <c r="E48" s="188">
        <f>D48+'Príloha č. 1a)'!I127+'Príloha č. 1a)'!I129+'Príloha č. 1a)'!I131+'Príloha č. 1a)'!I133+'Príloha č. 1a)'!I135+'Príloha č. 1a)'!L127+'Príloha č. 1a)'!L129+'Príloha č. 1a)'!L131+'Príloha č. 1a)'!L133+'Príloha č. 1a)'!L135</f>
        <v>53</v>
      </c>
      <c r="F48" s="188">
        <f>E48</f>
        <v>53</v>
      </c>
      <c r="G48" s="188">
        <f>F48</f>
        <v>53</v>
      </c>
      <c r="H48" s="188">
        <f>E48</f>
        <v>53</v>
      </c>
      <c r="I48" s="188">
        <f>H48</f>
        <v>53</v>
      </c>
      <c r="J48" s="189"/>
      <c r="K48" s="251"/>
      <c r="L48" s="204" t="s">
        <v>224</v>
      </c>
      <c r="M48" s="101"/>
      <c r="N48" s="101"/>
      <c r="O48" s="101"/>
      <c r="P48" s="101"/>
      <c r="Q48" s="101"/>
      <c r="R48" s="101"/>
      <c r="S48" s="101"/>
      <c r="T48" s="101"/>
      <c r="U48" s="101"/>
      <c r="V48" s="246"/>
    </row>
    <row r="49" spans="1:22" ht="19.5" customHeight="1">
      <c r="A49" s="42"/>
      <c r="B49" s="42"/>
      <c r="C49" s="42" t="s">
        <v>146</v>
      </c>
      <c r="D49" s="188">
        <f>3*'Príloha č. 1c)'!E5*(18+3+3)+3*0.95*'Príloha č. 1c)'!E5+3*0.5*'Príloha č. 1c)'!E5+3*0.35*'Príloha č. 1c)'!E5+3*0.3*'Príloha č. 1c)'!E5*(1+4)+3*0.25*'Príloha č. 1c)'!E5*19+3*0.1*'Príloha č. 1c)'!E5</f>
        <v>2795121</v>
      </c>
      <c r="E49" s="188">
        <f>6*'Príloha č. 1c)'!E6*(18+3+3)+6*0.95*'Príloha č. 1c)'!E6+6*0.5*'Príloha č. 1c)'!E6+6*0.35*'Príloha č. 1c)'!E6+6*0.3*'Príloha č. 1c)'!E6*(1+4)+6*0.25*'Príloha č. 1c)'!E6*19+6*0.1*'Príloha č. 1c)'!E6+6*'Príloha č. 1c)'!E6</f>
        <v>9057906</v>
      </c>
      <c r="F49" s="188">
        <f>D49+E49</f>
        <v>11853027</v>
      </c>
      <c r="G49" s="188">
        <f>E49/2</f>
        <v>4528953</v>
      </c>
      <c r="H49" s="188">
        <f>F49+G49</f>
        <v>16381980</v>
      </c>
      <c r="I49" s="188">
        <f>4*G49</f>
        <v>18115812</v>
      </c>
      <c r="J49" s="189"/>
      <c r="K49" s="251"/>
      <c r="L49" s="204" t="s">
        <v>193</v>
      </c>
      <c r="M49" s="101"/>
      <c r="N49" s="101"/>
      <c r="O49" s="101"/>
      <c r="P49" s="101"/>
      <c r="Q49" s="101"/>
      <c r="R49" s="101"/>
      <c r="S49" s="101"/>
      <c r="T49" s="101"/>
      <c r="U49" s="101"/>
      <c r="V49" s="246">
        <f>V47-V46</f>
        <v>29.977272727272727</v>
      </c>
    </row>
    <row r="50" spans="1:22" ht="19.5" customHeight="1">
      <c r="A50" s="42"/>
      <c r="B50" s="42"/>
      <c r="C50" s="42" t="s">
        <v>134</v>
      </c>
      <c r="D50" s="206">
        <f>0.75*D49</f>
        <v>2096340.75</v>
      </c>
      <c r="E50" s="206">
        <f>0.75*E49</f>
        <v>6793429.5</v>
      </c>
      <c r="F50" s="206">
        <f>D50+E50</f>
        <v>8889770.25</v>
      </c>
      <c r="G50" s="206">
        <f>E50/2</f>
        <v>3396714.75</v>
      </c>
      <c r="H50" s="207">
        <f>F50+G50</f>
        <v>12286485</v>
      </c>
      <c r="I50" s="207">
        <f>4*G50</f>
        <v>13586859</v>
      </c>
      <c r="J50" s="208"/>
      <c r="K50" s="251"/>
      <c r="L50" s="204"/>
      <c r="M50" s="101"/>
      <c r="N50" s="101"/>
      <c r="O50" s="101"/>
      <c r="P50" s="101"/>
      <c r="Q50" s="101"/>
      <c r="R50" s="101"/>
      <c r="S50" s="101"/>
      <c r="T50" s="101"/>
      <c r="U50" s="101"/>
      <c r="V50" s="246"/>
    </row>
    <row r="51" spans="1:22" ht="19.5" customHeight="1">
      <c r="A51" s="26"/>
      <c r="B51" s="26"/>
      <c r="C51" s="26"/>
      <c r="D51" s="196"/>
      <c r="E51" s="196"/>
      <c r="F51" s="196"/>
      <c r="G51" s="196"/>
      <c r="H51" s="197"/>
      <c r="I51" s="197"/>
      <c r="J51" s="199"/>
      <c r="K51" s="251"/>
      <c r="L51" s="204"/>
      <c r="M51" s="101"/>
      <c r="N51" s="101"/>
      <c r="O51" s="101"/>
      <c r="P51" s="101"/>
      <c r="Q51" s="101"/>
      <c r="R51" s="101"/>
      <c r="S51" s="101"/>
      <c r="T51" s="101"/>
      <c r="U51" s="101"/>
      <c r="V51" s="247"/>
    </row>
    <row r="52" spans="1:22" ht="19.5" customHeight="1">
      <c r="A52" s="222"/>
      <c r="B52" s="223"/>
      <c r="C52" s="223"/>
      <c r="D52" s="224"/>
      <c r="E52" s="224"/>
      <c r="F52" s="224"/>
      <c r="G52" s="224"/>
      <c r="H52" s="224"/>
      <c r="I52" s="224"/>
      <c r="J52" s="237"/>
      <c r="K52" s="252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38"/>
    </row>
    <row r="53" spans="1:22" ht="19.5" customHeight="1">
      <c r="A53" s="320" t="s">
        <v>171</v>
      </c>
      <c r="B53" s="184" t="s">
        <v>170</v>
      </c>
      <c r="C53" s="184" t="s">
        <v>131</v>
      </c>
      <c r="D53" s="185">
        <f aca="true" t="shared" si="1" ref="D53:E57">D5+D46</f>
        <v>72</v>
      </c>
      <c r="E53" s="186">
        <f t="shared" si="1"/>
        <v>81</v>
      </c>
      <c r="F53" s="185">
        <f>E53</f>
        <v>81</v>
      </c>
      <c r="G53" s="185">
        <f>F53</f>
        <v>81</v>
      </c>
      <c r="H53" s="186">
        <f>E53</f>
        <v>81</v>
      </c>
      <c r="I53" s="186">
        <f>H53</f>
        <v>81</v>
      </c>
      <c r="J53" s="192"/>
      <c r="K53" s="251"/>
      <c r="L53" s="203"/>
      <c r="M53" s="100"/>
      <c r="N53" s="100"/>
      <c r="O53" s="100"/>
      <c r="P53" s="100"/>
      <c r="Q53" s="100"/>
      <c r="R53" s="100"/>
      <c r="S53" s="100"/>
      <c r="T53" s="100"/>
      <c r="U53" s="100"/>
      <c r="V53" s="233"/>
    </row>
    <row r="54" spans="1:22" ht="19.5" customHeight="1">
      <c r="A54" s="321"/>
      <c r="B54" s="42"/>
      <c r="C54" s="42" t="s">
        <v>132</v>
      </c>
      <c r="D54" s="209">
        <f t="shared" si="1"/>
        <v>6259680</v>
      </c>
      <c r="E54" s="188">
        <f t="shared" si="1"/>
        <v>22132440</v>
      </c>
      <c r="F54" s="209">
        <f>D54+E54</f>
        <v>28392120</v>
      </c>
      <c r="G54" s="209">
        <f>E54/2</f>
        <v>11066220</v>
      </c>
      <c r="H54" s="188">
        <f>F54+G54</f>
        <v>39458340</v>
      </c>
      <c r="I54" s="188">
        <f>4*G54</f>
        <v>44264880</v>
      </c>
      <c r="J54" s="189"/>
      <c r="K54" s="251"/>
      <c r="L54" s="204"/>
      <c r="M54" s="101"/>
      <c r="N54" s="101"/>
      <c r="O54" s="101"/>
      <c r="P54" s="101"/>
      <c r="Q54" s="101"/>
      <c r="R54" s="101"/>
      <c r="S54" s="101"/>
      <c r="T54" s="101"/>
      <c r="U54" s="101"/>
      <c r="V54" s="234"/>
    </row>
    <row r="55" spans="1:22" ht="19.5" customHeight="1">
      <c r="A55" s="42"/>
      <c r="B55" s="42"/>
      <c r="C55" s="42" t="s">
        <v>133</v>
      </c>
      <c r="D55" s="209">
        <f t="shared" si="1"/>
        <v>65</v>
      </c>
      <c r="E55" s="188">
        <f t="shared" si="1"/>
        <v>72</v>
      </c>
      <c r="F55" s="209">
        <f>E55</f>
        <v>72</v>
      </c>
      <c r="G55" s="209">
        <f>F55</f>
        <v>72</v>
      </c>
      <c r="H55" s="188">
        <f>E55</f>
        <v>72</v>
      </c>
      <c r="I55" s="188">
        <f>H55</f>
        <v>72</v>
      </c>
      <c r="J55" s="189"/>
      <c r="K55" s="251"/>
      <c r="L55" s="204"/>
      <c r="M55" s="101"/>
      <c r="N55" s="101"/>
      <c r="O55" s="101"/>
      <c r="P55" s="101"/>
      <c r="Q55" s="101"/>
      <c r="R55" s="101"/>
      <c r="S55" s="101"/>
      <c r="T55" s="101"/>
      <c r="U55" s="101"/>
      <c r="V55" s="234"/>
    </row>
    <row r="56" spans="1:22" ht="19.5" customHeight="1">
      <c r="A56" s="42"/>
      <c r="B56" s="42"/>
      <c r="C56" s="42" t="s">
        <v>146</v>
      </c>
      <c r="D56" s="209">
        <f t="shared" si="1"/>
        <v>3925341</v>
      </c>
      <c r="E56" s="188">
        <f t="shared" si="1"/>
        <v>14249466</v>
      </c>
      <c r="F56" s="209">
        <f>D56+E56</f>
        <v>18174807</v>
      </c>
      <c r="G56" s="209">
        <f>E56/2</f>
        <v>7124733</v>
      </c>
      <c r="H56" s="188">
        <f>F56+G56</f>
        <v>25299540</v>
      </c>
      <c r="I56" s="188">
        <f>4*G56</f>
        <v>28498932</v>
      </c>
      <c r="J56" s="189"/>
      <c r="K56" s="251"/>
      <c r="L56" s="204"/>
      <c r="M56" s="101"/>
      <c r="N56" s="101"/>
      <c r="O56" s="101"/>
      <c r="P56" s="101"/>
      <c r="Q56" s="101"/>
      <c r="R56" s="101"/>
      <c r="S56" s="101"/>
      <c r="T56" s="101"/>
      <c r="U56" s="101"/>
      <c r="V56" s="234"/>
    </row>
    <row r="57" spans="1:22" ht="19.5" customHeight="1">
      <c r="A57" s="26"/>
      <c r="B57" s="26"/>
      <c r="C57" s="26" t="s">
        <v>134</v>
      </c>
      <c r="D57" s="190">
        <f t="shared" si="1"/>
        <v>2944005.75</v>
      </c>
      <c r="E57" s="190">
        <f t="shared" si="1"/>
        <v>10687099.5</v>
      </c>
      <c r="F57" s="190">
        <f>D57+E57</f>
        <v>13631105.25</v>
      </c>
      <c r="G57" s="190">
        <f>E57/2</f>
        <v>5343549.75</v>
      </c>
      <c r="H57" s="191">
        <f>F57+G57</f>
        <v>18974655</v>
      </c>
      <c r="I57" s="191">
        <f>4*G57</f>
        <v>21374199</v>
      </c>
      <c r="J57" s="210"/>
      <c r="K57" s="251"/>
      <c r="L57" s="204"/>
      <c r="M57" s="101"/>
      <c r="N57" s="101"/>
      <c r="O57" s="101"/>
      <c r="P57" s="101"/>
      <c r="Q57" s="101"/>
      <c r="R57" s="101"/>
      <c r="S57" s="101"/>
      <c r="T57" s="101"/>
      <c r="U57" s="101"/>
      <c r="V57" s="234"/>
    </row>
    <row r="58" spans="1:22" ht="19.5" customHeight="1">
      <c r="A58" s="222"/>
      <c r="B58" s="223"/>
      <c r="C58" s="223"/>
      <c r="D58" s="224"/>
      <c r="E58" s="224"/>
      <c r="F58" s="224"/>
      <c r="G58" s="224"/>
      <c r="H58" s="224"/>
      <c r="I58" s="224"/>
      <c r="J58" s="225"/>
      <c r="K58" s="251"/>
      <c r="L58" s="204"/>
      <c r="M58" s="101"/>
      <c r="N58" s="101"/>
      <c r="O58" s="101"/>
      <c r="P58" s="101"/>
      <c r="Q58" s="101"/>
      <c r="R58" s="101"/>
      <c r="S58" s="101"/>
      <c r="T58" s="101"/>
      <c r="U58" s="101"/>
      <c r="V58" s="234"/>
    </row>
    <row r="59" spans="1:22" ht="19.5" customHeight="1">
      <c r="A59" s="320" t="s">
        <v>142</v>
      </c>
      <c r="B59" s="184" t="s">
        <v>140</v>
      </c>
      <c r="C59" s="184" t="s">
        <v>131</v>
      </c>
      <c r="D59" s="186">
        <f aca="true" t="shared" si="2" ref="D59:E63">D5+D10+D32+D39+D46</f>
        <v>200</v>
      </c>
      <c r="E59" s="186">
        <f t="shared" si="2"/>
        <v>305</v>
      </c>
      <c r="F59" s="186">
        <f>E59</f>
        <v>305</v>
      </c>
      <c r="G59" s="186">
        <f>F59</f>
        <v>305</v>
      </c>
      <c r="H59" s="186">
        <f>E59</f>
        <v>305</v>
      </c>
      <c r="I59" s="186">
        <f>H59</f>
        <v>305</v>
      </c>
      <c r="J59" s="192"/>
      <c r="K59" s="251"/>
      <c r="L59" s="204"/>
      <c r="M59" s="101"/>
      <c r="N59" s="101"/>
      <c r="O59" s="101"/>
      <c r="P59" s="101"/>
      <c r="Q59" s="101"/>
      <c r="R59" s="101"/>
      <c r="S59" s="101"/>
      <c r="T59" s="101"/>
      <c r="U59" s="101"/>
      <c r="V59" s="234"/>
    </row>
    <row r="60" spans="1:22" ht="19.5" customHeight="1">
      <c r="A60" s="321"/>
      <c r="B60" s="42"/>
      <c r="C60" s="42" t="s">
        <v>132</v>
      </c>
      <c r="D60" s="188">
        <f t="shared" si="2"/>
        <v>17388000</v>
      </c>
      <c r="E60" s="188">
        <f t="shared" si="2"/>
        <v>83338200</v>
      </c>
      <c r="F60" s="188">
        <f>D60+E60</f>
        <v>100726200</v>
      </c>
      <c r="G60" s="188">
        <f>E60/2</f>
        <v>41669100</v>
      </c>
      <c r="H60" s="188">
        <f>F60+G60</f>
        <v>142395300</v>
      </c>
      <c r="I60" s="188">
        <f>4*G60</f>
        <v>166676400</v>
      </c>
      <c r="J60" s="189"/>
      <c r="K60" s="251"/>
      <c r="L60" s="204"/>
      <c r="M60" s="101"/>
      <c r="N60" s="101"/>
      <c r="O60" s="101"/>
      <c r="P60" s="101"/>
      <c r="Q60" s="101"/>
      <c r="R60" s="101"/>
      <c r="S60" s="101"/>
      <c r="T60" s="101"/>
      <c r="U60" s="101"/>
      <c r="V60" s="234"/>
    </row>
    <row r="61" spans="1:22" ht="19.5" customHeight="1">
      <c r="A61" s="321"/>
      <c r="B61" s="42"/>
      <c r="C61" s="42" t="s">
        <v>133</v>
      </c>
      <c r="D61" s="188">
        <f t="shared" si="2"/>
        <v>192</v>
      </c>
      <c r="E61" s="188">
        <f t="shared" si="2"/>
        <v>295</v>
      </c>
      <c r="F61" s="188">
        <f>E61</f>
        <v>295</v>
      </c>
      <c r="G61" s="188">
        <f>F61</f>
        <v>295</v>
      </c>
      <c r="H61" s="188">
        <f>E61</f>
        <v>295</v>
      </c>
      <c r="I61" s="188">
        <f>H61</f>
        <v>295</v>
      </c>
      <c r="J61" s="189"/>
      <c r="K61" s="251"/>
      <c r="L61" s="204"/>
      <c r="M61" s="101"/>
      <c r="N61" s="101"/>
      <c r="O61" s="101"/>
      <c r="P61" s="101"/>
      <c r="Q61" s="101"/>
      <c r="R61" s="101"/>
      <c r="S61" s="101"/>
      <c r="T61" s="101"/>
      <c r="U61" s="101"/>
      <c r="V61" s="234"/>
    </row>
    <row r="62" spans="1:22" ht="19.5" customHeight="1">
      <c r="A62" s="321"/>
      <c r="B62" s="42"/>
      <c r="C62" s="42" t="s">
        <v>146</v>
      </c>
      <c r="D62" s="188">
        <f t="shared" si="2"/>
        <v>13619151</v>
      </c>
      <c r="E62" s="188">
        <f t="shared" si="2"/>
        <v>65817306</v>
      </c>
      <c r="F62" s="188">
        <f>D62+E62</f>
        <v>79436457</v>
      </c>
      <c r="G62" s="188">
        <f>E62/2</f>
        <v>32908653</v>
      </c>
      <c r="H62" s="188">
        <f>F62+G62</f>
        <v>112345110</v>
      </c>
      <c r="I62" s="188">
        <f>4*G62</f>
        <v>131634612</v>
      </c>
      <c r="J62" s="189"/>
      <c r="K62" s="251"/>
      <c r="L62" s="204"/>
      <c r="M62" s="101"/>
      <c r="N62" s="101"/>
      <c r="O62" s="101"/>
      <c r="P62" s="101"/>
      <c r="Q62" s="101"/>
      <c r="R62" s="101"/>
      <c r="S62" s="101"/>
      <c r="T62" s="101"/>
      <c r="U62" s="101"/>
      <c r="V62" s="234"/>
    </row>
    <row r="63" spans="1:22" ht="19.5" customHeight="1">
      <c r="A63" s="322"/>
      <c r="B63" s="26"/>
      <c r="C63" s="26" t="s">
        <v>134</v>
      </c>
      <c r="D63" s="190">
        <f t="shared" si="2"/>
        <v>10214363.25</v>
      </c>
      <c r="E63" s="190">
        <f t="shared" si="2"/>
        <v>49362979.5</v>
      </c>
      <c r="F63" s="190">
        <f>D63+E63</f>
        <v>59577342.75</v>
      </c>
      <c r="G63" s="190">
        <f>E63/2</f>
        <v>24681489.75</v>
      </c>
      <c r="H63" s="193">
        <f>F63+G63</f>
        <v>84258832.5</v>
      </c>
      <c r="I63" s="193">
        <f>4*G63</f>
        <v>98725959</v>
      </c>
      <c r="J63" s="213"/>
      <c r="K63" s="251"/>
      <c r="L63" s="204"/>
      <c r="M63" s="101"/>
      <c r="N63" s="101"/>
      <c r="O63" s="101"/>
      <c r="P63" s="101"/>
      <c r="Q63" s="101"/>
      <c r="R63" s="101"/>
      <c r="S63" s="101"/>
      <c r="T63" s="101"/>
      <c r="U63" s="101"/>
      <c r="V63" s="234"/>
    </row>
    <row r="64" spans="1:22" ht="19.5" customHeight="1">
      <c r="A64" s="222"/>
      <c r="B64" s="223"/>
      <c r="C64" s="223"/>
      <c r="D64" s="224"/>
      <c r="E64" s="224"/>
      <c r="F64" s="224"/>
      <c r="G64" s="224"/>
      <c r="H64" s="224"/>
      <c r="I64" s="224"/>
      <c r="J64" s="237"/>
      <c r="K64" s="252"/>
      <c r="L64" s="223"/>
      <c r="M64" s="223"/>
      <c r="N64" s="223"/>
      <c r="O64" s="223"/>
      <c r="P64" s="223"/>
      <c r="Q64" s="223"/>
      <c r="R64" s="223"/>
      <c r="S64" s="223"/>
      <c r="T64" s="223"/>
      <c r="U64" s="223"/>
      <c r="V64" s="238"/>
    </row>
    <row r="65" spans="1:22" ht="19.5" customHeight="1">
      <c r="A65" s="184" t="s">
        <v>135</v>
      </c>
      <c r="B65" s="184" t="s">
        <v>28</v>
      </c>
      <c r="C65" s="184" t="s">
        <v>131</v>
      </c>
      <c r="D65" s="186">
        <f>'Príloha č. 1a)'!F26+'Príloha č. 1a)'!F27+'Príloha č. 1a)'!F28+'Príloha č. 1a)'!F29+'Príloha č. 1a)'!F30+'Príloha č. 1a)'!F31+'Príloha č. 1a)'!F32+'Príloha č. 1a)'!F33+'Príloha č. 1a)'!F34+'Príloha č. 1a)'!F35+'Príloha č. 1a)'!F36+'Príloha č. 1a)'!F37+'Príloha č. 1a)'!F38+'Príloha č. 1a)'!F39</f>
        <v>116</v>
      </c>
      <c r="E65" s="186">
        <f>D65+'Príloha č. 1a)'!I26+'Príloha č. 1a)'!I27+'Príloha č. 1a)'!I28+'Príloha č. 1a)'!I29+'Príloha č. 1a)'!I30+'Príloha č. 1a)'!I31+'Príloha č. 1a)'!I32+'Príloha č. 1a)'!I33+'Príloha č. 1a)'!I34+'Príloha č. 1a)'!I35+'Príloha č. 1a)'!I36+'Príloha č. 1a)'!I37+'Príloha č. 1a)'!I38+'Príloha č. 1a)'!I39+'Príloha č. 1a)'!L26+'Príloha č. 1a)'!L27+'Príloha č. 1a)'!L28+'Príloha č. 1a)'!L29+'Príloha č. 1a)'!L30+'Príloha č. 1a)'!L31+'Príloha č. 1a)'!L32+'Príloha č. 1a)'!L33+'Príloha č. 1a)'!L34+'Príloha č. 1a)'!L35+'Príloha č. 1a)'!L36+'Príloha č. 1a)'!L37+'Príloha č. 1a)'!L38+'Príloha č. 1a)'!L39</f>
        <v>165</v>
      </c>
      <c r="F65" s="186">
        <f>E65</f>
        <v>165</v>
      </c>
      <c r="G65" s="186">
        <f>F65</f>
        <v>165</v>
      </c>
      <c r="H65" s="186">
        <f>E65</f>
        <v>165</v>
      </c>
      <c r="I65" s="186">
        <f>H65</f>
        <v>165</v>
      </c>
      <c r="J65" s="192"/>
      <c r="K65" s="251"/>
      <c r="L65" s="203" t="s">
        <v>192</v>
      </c>
      <c r="M65" s="100"/>
      <c r="N65" s="100"/>
      <c r="O65" s="100"/>
      <c r="P65" s="100"/>
      <c r="Q65" s="100"/>
      <c r="R65" s="100"/>
      <c r="S65" s="100"/>
      <c r="T65" s="100"/>
      <c r="U65" s="100"/>
      <c r="V65" s="245">
        <f>'Príloha č. 1a)'!L26+'Príloha č. 1a)'!L27+'Príloha č. 1a)'!L28+'Príloha č. 1a)'!L29+'Príloha č. 1a)'!L30+'Príloha č. 1a)'!L31+'Príloha č. 1a)'!L32+'Príloha č. 1a)'!L33+'Príloha č. 1a)'!L34+'Príloha č. 1a)'!L35+'Príloha č. 1a)'!L36+'Príloha č. 1a)'!L37+'Príloha č. 1a)'!L38+'Príloha č. 1a)'!L39</f>
        <v>44</v>
      </c>
    </row>
    <row r="66" spans="1:22" ht="19.5" customHeight="1">
      <c r="A66" s="42"/>
      <c r="B66" s="42"/>
      <c r="C66" s="42" t="s">
        <v>132</v>
      </c>
      <c r="D66" s="188">
        <f>3*'Príloha č. 1c)'!E5*D65</f>
        <v>10085040</v>
      </c>
      <c r="E66" s="188">
        <f>6*'Príloha č. 1c)'!E6*E65</f>
        <v>45084600</v>
      </c>
      <c r="F66" s="188">
        <f>D66+E66</f>
        <v>55169640</v>
      </c>
      <c r="G66" s="188">
        <f>E66/2</f>
        <v>22542300</v>
      </c>
      <c r="H66" s="188">
        <f>F66+G66</f>
        <v>77711940</v>
      </c>
      <c r="I66" s="188">
        <f>4*G66</f>
        <v>90169200</v>
      </c>
      <c r="J66" s="189"/>
      <c r="K66" s="251"/>
      <c r="L66" s="204" t="s">
        <v>234</v>
      </c>
      <c r="M66" s="101"/>
      <c r="N66" s="101"/>
      <c r="O66" s="101"/>
      <c r="P66" s="101"/>
      <c r="Q66" s="101"/>
      <c r="R66" s="101"/>
      <c r="S66" s="101"/>
      <c r="T66" s="101"/>
      <c r="U66" s="101"/>
      <c r="V66" s="246">
        <f>H68/(12*'Príloha č. 1c)'!E6)</f>
        <v>141.29545454545453</v>
      </c>
    </row>
    <row r="67" spans="1:22" ht="19.5" customHeight="1">
      <c r="A67" s="42"/>
      <c r="B67" s="42"/>
      <c r="C67" s="42" t="s">
        <v>133</v>
      </c>
      <c r="D67" s="188">
        <f>'Príloha č. 1a)'!F26+'Príloha č. 1a)'!F28+'Príloha č. 1a)'!F30+'Príloha č. 1a)'!F32+'Príloha č. 1a)'!F34+'Príloha č. 1a)'!F36+'Príloha č. 1a)'!F38</f>
        <v>115</v>
      </c>
      <c r="E67" s="188">
        <f>D67+'Príloha č. 1a)'!I26+'Príloha č. 1a)'!I28+'Príloha č. 1a)'!I30+'Príloha č. 1a)'!I32+'Príloha č. 1a)'!I34+'Príloha č. 1a)'!I36+'Príloha č. 1a)'!I38+'Príloha č. 1a)'!L26+'Príloha č. 1a)'!L28+'Príloha č. 1a)'!L30+'Príloha č. 1a)'!L32+'Príloha č. 1a)'!L34+'Príloha č. 1a)'!L36+'Príloha č. 1a)'!L38</f>
        <v>164</v>
      </c>
      <c r="F67" s="188">
        <f>E67</f>
        <v>164</v>
      </c>
      <c r="G67" s="188">
        <f>F67</f>
        <v>164</v>
      </c>
      <c r="H67" s="188">
        <f>E67</f>
        <v>164</v>
      </c>
      <c r="I67" s="188">
        <f>H67</f>
        <v>164</v>
      </c>
      <c r="J67" s="189"/>
      <c r="K67" s="251"/>
      <c r="L67" s="204" t="s">
        <v>224</v>
      </c>
      <c r="M67" s="101"/>
      <c r="N67" s="101"/>
      <c r="O67" s="101"/>
      <c r="P67" s="101"/>
      <c r="Q67" s="101"/>
      <c r="R67" s="101"/>
      <c r="S67" s="101"/>
      <c r="T67" s="101"/>
      <c r="U67" s="101"/>
      <c r="V67" s="246"/>
    </row>
    <row r="68" spans="1:22" ht="19.5" customHeight="1">
      <c r="A68" s="42"/>
      <c r="B68" s="42"/>
      <c r="C68" s="42" t="s">
        <v>146</v>
      </c>
      <c r="D68" s="188">
        <f>3*'Príloha č. 1c)'!E5*D67</f>
        <v>9998100</v>
      </c>
      <c r="E68" s="188">
        <f>6*'Príloha č. 1c)'!E6*E67</f>
        <v>44811360</v>
      </c>
      <c r="F68" s="188">
        <f>D68+E68</f>
        <v>54809460</v>
      </c>
      <c r="G68" s="188">
        <f>E68/2</f>
        <v>22405680</v>
      </c>
      <c r="H68" s="188">
        <f>F68+G68</f>
        <v>77215140</v>
      </c>
      <c r="I68" s="188">
        <f>4*G68</f>
        <v>89622720</v>
      </c>
      <c r="J68" s="189"/>
      <c r="K68" s="251"/>
      <c r="L68" s="204" t="s">
        <v>193</v>
      </c>
      <c r="M68" s="101"/>
      <c r="N68" s="101"/>
      <c r="O68" s="101"/>
      <c r="P68" s="101"/>
      <c r="Q68" s="101"/>
      <c r="R68" s="101"/>
      <c r="S68" s="101"/>
      <c r="T68" s="101"/>
      <c r="U68" s="101"/>
      <c r="V68" s="246">
        <f>V66-V65</f>
        <v>97.29545454545453</v>
      </c>
    </row>
    <row r="69" spans="1:22" ht="19.5" customHeight="1">
      <c r="A69" s="42"/>
      <c r="B69" s="42"/>
      <c r="C69" s="42" t="s">
        <v>134</v>
      </c>
      <c r="D69" s="206">
        <f>0.75*D68</f>
        <v>7498575</v>
      </c>
      <c r="E69" s="206">
        <f>0.75*E68</f>
        <v>33608520</v>
      </c>
      <c r="F69" s="206">
        <f>D69+E69</f>
        <v>41107095</v>
      </c>
      <c r="G69" s="206">
        <f>E69/2</f>
        <v>16804260</v>
      </c>
      <c r="H69" s="211">
        <f>F69+G69</f>
        <v>57911355</v>
      </c>
      <c r="I69" s="211">
        <f>4*G69</f>
        <v>67217040</v>
      </c>
      <c r="J69" s="212"/>
      <c r="K69" s="251"/>
      <c r="L69" s="201" t="s">
        <v>253</v>
      </c>
      <c r="M69" s="101"/>
      <c r="N69" s="101"/>
      <c r="O69" s="101"/>
      <c r="P69" s="101"/>
      <c r="Q69" s="101"/>
      <c r="R69" s="101"/>
      <c r="S69" s="101"/>
      <c r="T69" s="101"/>
      <c r="U69" s="101"/>
      <c r="V69" s="246"/>
    </row>
    <row r="70" spans="1:22" ht="19.5" customHeight="1">
      <c r="A70" s="26"/>
      <c r="B70" s="26"/>
      <c r="C70" s="26"/>
      <c r="D70" s="196"/>
      <c r="E70" s="196"/>
      <c r="F70" s="196"/>
      <c r="G70" s="196"/>
      <c r="H70" s="197"/>
      <c r="I70" s="197"/>
      <c r="J70" s="199"/>
      <c r="K70" s="251"/>
      <c r="L70" s="204"/>
      <c r="M70" s="101"/>
      <c r="N70" s="101"/>
      <c r="O70" s="101"/>
      <c r="P70" s="101"/>
      <c r="Q70" s="101"/>
      <c r="R70" s="101"/>
      <c r="S70" s="101"/>
      <c r="T70" s="101"/>
      <c r="U70" s="101"/>
      <c r="V70" s="247"/>
    </row>
    <row r="71" spans="1:22" ht="19.5" customHeight="1">
      <c r="A71" s="222"/>
      <c r="B71" s="223"/>
      <c r="C71" s="223"/>
      <c r="D71" s="224"/>
      <c r="E71" s="224"/>
      <c r="F71" s="224"/>
      <c r="G71" s="224"/>
      <c r="H71" s="224"/>
      <c r="I71" s="224"/>
      <c r="J71" s="237"/>
      <c r="K71" s="252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38"/>
    </row>
    <row r="72" spans="1:22" ht="19.5" customHeight="1">
      <c r="A72" s="184" t="s">
        <v>136</v>
      </c>
      <c r="B72" s="184" t="s">
        <v>137</v>
      </c>
      <c r="C72" s="184" t="s">
        <v>131</v>
      </c>
      <c r="D72" s="186">
        <f>'Príloha č. 1a)'!F138+'Príloha č. 1a)'!F139+'Príloha č. 1a)'!F144+'Príloha č. 1a)'!F145+'Príloha č. 1a)'!F148+'Príloha č. 1a)'!F149+'Príloha č. 1a)'!F152+'Príloha č. 1a)'!F153</f>
        <v>21</v>
      </c>
      <c r="E72" s="186">
        <f>D72+'Príloha č. 1a)'!I138+'Príloha č. 1a)'!I139+'Príloha č. 1a)'!I144+'Príloha č. 1a)'!I145+'Príloha č. 1a)'!I148+'Príloha č. 1a)'!I149+'Príloha č. 1a)'!I152+'Príloha č. 1a)'!I153+'Príloha č. 1a)'!L138+'Príloha č. 1a)'!L139+'Príloha č. 1a)'!L144+'Príloha č. 1a)'!L145+'Príloha č. 1a)'!L148+'Príloha č. 1a)'!L149+'Príloha č. 1a)'!L152+'Príloha č. 1a)'!L153</f>
        <v>45</v>
      </c>
      <c r="F72" s="186">
        <f>E72</f>
        <v>45</v>
      </c>
      <c r="G72" s="186">
        <f>F72</f>
        <v>45</v>
      </c>
      <c r="H72" s="186">
        <f>E72</f>
        <v>45</v>
      </c>
      <c r="I72" s="186">
        <f>H72</f>
        <v>45</v>
      </c>
      <c r="J72" s="192"/>
      <c r="K72" s="251"/>
      <c r="L72" s="203" t="s">
        <v>192</v>
      </c>
      <c r="M72" s="100"/>
      <c r="N72" s="100"/>
      <c r="O72" s="100"/>
      <c r="P72" s="100"/>
      <c r="Q72" s="100"/>
      <c r="R72" s="100"/>
      <c r="S72" s="100"/>
      <c r="T72" s="100"/>
      <c r="U72" s="100"/>
      <c r="V72" s="245">
        <f>'Príloha č. 1a)'!L138+'Príloha č. 1a)'!L139+'Príloha č. 1a)'!L144+'Príloha č. 1a)'!L145+'Príloha č. 1a)'!L148+'Príloha č. 1a)'!L149+'Príloha č. 1a)'!L152+'Príloha č. 1a)'!L153</f>
        <v>22</v>
      </c>
    </row>
    <row r="73" spans="1:22" ht="19.5" customHeight="1">
      <c r="A73" s="42"/>
      <c r="B73" s="42"/>
      <c r="C73" s="42" t="s">
        <v>132</v>
      </c>
      <c r="D73" s="188">
        <f>3*'Príloha č. 1c)'!E5*'Príloha č. 1b)'!D72</f>
        <v>1825740</v>
      </c>
      <c r="E73" s="188">
        <f>6*'Príloha č. 1c)'!E6*'Príloha č. 1b)'!E72</f>
        <v>12295800</v>
      </c>
      <c r="F73" s="188">
        <f>D73+E73</f>
        <v>14121540</v>
      </c>
      <c r="G73" s="188">
        <f>E73/2</f>
        <v>6147900</v>
      </c>
      <c r="H73" s="188">
        <f>F73+G73</f>
        <v>20269440</v>
      </c>
      <c r="I73" s="188">
        <f>4*G73</f>
        <v>24591600</v>
      </c>
      <c r="J73" s="189"/>
      <c r="K73" s="251"/>
      <c r="L73" s="204" t="s">
        <v>234</v>
      </c>
      <c r="M73" s="101"/>
      <c r="N73" s="101"/>
      <c r="O73" s="101"/>
      <c r="P73" s="101"/>
      <c r="Q73" s="101"/>
      <c r="R73" s="101"/>
      <c r="S73" s="101"/>
      <c r="T73" s="101"/>
      <c r="U73" s="101"/>
      <c r="V73" s="246">
        <f>H75/(12*'Príloha č. 1c)'!E6)</f>
        <v>31.13443181818182</v>
      </c>
    </row>
    <row r="74" spans="1:22" ht="19.5" customHeight="1">
      <c r="A74" s="42"/>
      <c r="B74" s="42"/>
      <c r="C74" s="42" t="s">
        <v>133</v>
      </c>
      <c r="D74" s="188">
        <f>'Príloha č. 1a)'!F138+'Príloha č. 1a)'!F144+'Príloha č. 1a)'!F148+'Príloha č. 1a)'!F152</f>
        <v>20</v>
      </c>
      <c r="E74" s="188">
        <f>D74+'Príloha č. 1a)'!I138+'Príloha č. 1a)'!I144+'Príloha č. 1a)'!I148+'Príloha č. 1a)'!I152+'Príloha č. 1a)'!L138+'Príloha č. 1a)'!L144+'Príloha č. 1a)'!L148+'Príloha č. 1a)'!L152</f>
        <v>44</v>
      </c>
      <c r="F74" s="188">
        <f>E74</f>
        <v>44</v>
      </c>
      <c r="G74" s="188">
        <f>F74</f>
        <v>44</v>
      </c>
      <c r="H74" s="188">
        <f>E74</f>
        <v>44</v>
      </c>
      <c r="I74" s="188">
        <f>H74</f>
        <v>44</v>
      </c>
      <c r="J74" s="189"/>
      <c r="K74" s="251"/>
      <c r="L74" s="204" t="s">
        <v>224</v>
      </c>
      <c r="M74" s="101"/>
      <c r="N74" s="101"/>
      <c r="O74" s="101"/>
      <c r="P74" s="101"/>
      <c r="Q74" s="101"/>
      <c r="R74" s="101"/>
      <c r="S74" s="101"/>
      <c r="T74" s="101"/>
      <c r="U74" s="101"/>
      <c r="V74" s="246"/>
    </row>
    <row r="75" spans="1:22" ht="19.5" customHeight="1">
      <c r="A75" s="42"/>
      <c r="B75" s="42"/>
      <c r="C75" s="42" t="s">
        <v>146</v>
      </c>
      <c r="D75" s="188">
        <f>3*'Príloha č. 1c)'!E5*10+3*0.81*'Príloha č. 1c)'!E5*(5+2+1)+3*0.405*'Príloha č. 1c)'!E5*(1+1)</f>
        <v>1503192.6</v>
      </c>
      <c r="E75" s="188">
        <f>6*'Príloha č. 1c)'!E6*10+6*0.81*'Príloha č. 1c)'!E6*(5+2+1)+6*0.405*'Príloha č. 1c)'!E6*(1+1)+6*'Príloha č. 1c)'!E6*8+6*0.81*'Príloha č. 1c)'!E6*(1+2+7+5)+6*0.405*'Príloha č. 1c)'!E6</f>
        <v>10340767.8</v>
      </c>
      <c r="F75" s="188">
        <f>D75+E75</f>
        <v>11843960.4</v>
      </c>
      <c r="G75" s="188">
        <f>E75/2</f>
        <v>5170383.9</v>
      </c>
      <c r="H75" s="188">
        <f>F75+G75</f>
        <v>17014344.3</v>
      </c>
      <c r="I75" s="188">
        <f>4*G75</f>
        <v>20681535.6</v>
      </c>
      <c r="J75" s="189"/>
      <c r="K75" s="251"/>
      <c r="L75" s="204" t="s">
        <v>193</v>
      </c>
      <c r="M75" s="101"/>
      <c r="N75" s="101"/>
      <c r="O75" s="101"/>
      <c r="P75" s="101"/>
      <c r="Q75" s="101"/>
      <c r="R75" s="101"/>
      <c r="S75" s="101"/>
      <c r="T75" s="101"/>
      <c r="U75" s="101"/>
      <c r="V75" s="246">
        <f>V73-V72</f>
        <v>9.13443181818182</v>
      </c>
    </row>
    <row r="76" spans="1:22" ht="19.5" customHeight="1">
      <c r="A76" s="42"/>
      <c r="B76" s="26"/>
      <c r="C76" s="26" t="s">
        <v>134</v>
      </c>
      <c r="D76" s="190">
        <f>0.75*D75</f>
        <v>1127394.4500000002</v>
      </c>
      <c r="E76" s="190">
        <f>0.75*E75</f>
        <v>7755575.850000001</v>
      </c>
      <c r="F76" s="190">
        <f>D76+E76</f>
        <v>8882970.3</v>
      </c>
      <c r="G76" s="190">
        <f>E76/2</f>
        <v>3877787.9250000003</v>
      </c>
      <c r="H76" s="191">
        <f>F76+G76</f>
        <v>12760758.225000001</v>
      </c>
      <c r="I76" s="191">
        <f>4*G76</f>
        <v>15511151.700000001</v>
      </c>
      <c r="J76" s="210"/>
      <c r="K76" s="254"/>
      <c r="L76" s="205"/>
      <c r="M76" s="226"/>
      <c r="N76" s="226"/>
      <c r="O76" s="226"/>
      <c r="P76" s="226"/>
      <c r="Q76" s="226"/>
      <c r="R76" s="226"/>
      <c r="S76" s="226"/>
      <c r="T76" s="226"/>
      <c r="U76" s="226"/>
      <c r="V76" s="247"/>
    </row>
    <row r="77" spans="1:22" ht="19.5" customHeight="1">
      <c r="A77" s="42"/>
      <c r="B77" s="184" t="s">
        <v>263</v>
      </c>
      <c r="C77" s="184" t="s">
        <v>131</v>
      </c>
      <c r="D77" s="186">
        <f>'Príloha č. 1a)'!F140+'Príloha č. 1a)'!F141+'Príloha č. 1a)'!F146+'Príloha č. 1a)'!F147+'Príloha č. 1a)'!F150+'Príloha č. 1a)'!F151+'Príloha č. 1a)'!F154+'Príloha č. 1a)'!F155</f>
        <v>19</v>
      </c>
      <c r="E77" s="186">
        <f>D77+'Príloha č. 1a)'!I140+'Príloha č. 1a)'!I141+'Príloha č. 1a)'!I146+'Príloha č. 1a)'!I147+'Príloha č. 1a)'!I150+'Príloha č. 1a)'!I151+'Príloha č. 1a)'!I154+'Príloha č. 1a)'!I155+'Príloha č. 1a)'!L140+'Príloha č. 1a)'!L141+'Príloha č. 1a)'!L146+'Príloha č. 1a)'!L147+'Príloha č. 1a)'!L150+'Príloha č. 1a)'!L151+'Príloha č. 1a)'!L154+'Príloha č. 1a)'!L155</f>
        <v>41</v>
      </c>
      <c r="F77" s="186">
        <f>E77</f>
        <v>41</v>
      </c>
      <c r="G77" s="186">
        <f>F77</f>
        <v>41</v>
      </c>
      <c r="H77" s="186">
        <f>E77</f>
        <v>41</v>
      </c>
      <c r="I77" s="186">
        <f>H77</f>
        <v>41</v>
      </c>
      <c r="J77" s="192"/>
      <c r="K77" s="251"/>
      <c r="L77" s="203" t="s">
        <v>192</v>
      </c>
      <c r="M77" s="100"/>
      <c r="N77" s="100"/>
      <c r="O77" s="100"/>
      <c r="P77" s="100"/>
      <c r="Q77" s="100"/>
      <c r="R77" s="100"/>
      <c r="S77" s="100"/>
      <c r="T77" s="100"/>
      <c r="U77" s="100"/>
      <c r="V77" s="245">
        <f>'Príloha č. 1a)'!L140+'Príloha č. 1a)'!L141+'Príloha č. 1a)'!L146+'Príloha č. 1a)'!L147+'Príloha č. 1a)'!L150+'Príloha č. 1a)'!L151+'Príloha č. 1a)'!L154+'Príloha č. 1a)'!L155</f>
        <v>20</v>
      </c>
    </row>
    <row r="78" spans="1:22" ht="19.5" customHeight="1">
      <c r="A78" s="42"/>
      <c r="B78" s="42"/>
      <c r="C78" s="42" t="s">
        <v>132</v>
      </c>
      <c r="D78" s="188">
        <f>3*'Príloha č. 1c)'!E5*'Príloha č. 1b)'!D77</f>
        <v>1651860</v>
      </c>
      <c r="E78" s="188">
        <f>6*'Príloha č. 1c)'!E6*'Príloha č. 1b)'!E77</f>
        <v>11202840</v>
      </c>
      <c r="F78" s="188">
        <f>D78+E78</f>
        <v>12854700</v>
      </c>
      <c r="G78" s="188">
        <f>E78/2</f>
        <v>5601420</v>
      </c>
      <c r="H78" s="188">
        <f>F78+G78</f>
        <v>18456120</v>
      </c>
      <c r="I78" s="188">
        <f>4*G78</f>
        <v>22405680</v>
      </c>
      <c r="J78" s="189"/>
      <c r="K78" s="251"/>
      <c r="L78" s="204" t="s">
        <v>234</v>
      </c>
      <c r="M78" s="101"/>
      <c r="N78" s="101"/>
      <c r="O78" s="101"/>
      <c r="P78" s="101"/>
      <c r="Q78" s="101"/>
      <c r="R78" s="101"/>
      <c r="S78" s="101"/>
      <c r="T78" s="101"/>
      <c r="U78" s="101"/>
      <c r="V78" s="246">
        <f>H80/(12*'Príloha č. 1c)'!E6)</f>
        <v>14.347613636363636</v>
      </c>
    </row>
    <row r="79" spans="1:22" ht="19.5" customHeight="1">
      <c r="A79" s="42"/>
      <c r="B79" s="42"/>
      <c r="C79" s="42" t="s">
        <v>133</v>
      </c>
      <c r="D79" s="188">
        <f>'Príloha č. 1a)'!F140+'Príloha č. 1a)'!F146+'Príloha č. 1a)'!F150+'Príloha č. 1a)'!F154</f>
        <v>18</v>
      </c>
      <c r="E79" s="188">
        <f>D79+'Príloha č. 1a)'!I140+'Príloha č. 1a)'!I146+'Príloha č. 1a)'!I150+'Príloha č. 1a)'!I154+'Príloha č. 1a)'!L140+'Príloha č. 1a)'!L146+'Príloha č. 1a)'!L150+'Príloha č. 1a)'!L154</f>
        <v>40</v>
      </c>
      <c r="F79" s="188">
        <f>E79</f>
        <v>40</v>
      </c>
      <c r="G79" s="188">
        <f>F79</f>
        <v>40</v>
      </c>
      <c r="H79" s="188">
        <f>E79</f>
        <v>40</v>
      </c>
      <c r="I79" s="188">
        <f>H79</f>
        <v>40</v>
      </c>
      <c r="J79" s="189"/>
      <c r="K79" s="251"/>
      <c r="L79" s="204" t="s">
        <v>224</v>
      </c>
      <c r="M79" s="101"/>
      <c r="N79" s="101"/>
      <c r="O79" s="101"/>
      <c r="P79" s="101"/>
      <c r="Q79" s="101"/>
      <c r="R79" s="101"/>
      <c r="S79" s="101"/>
      <c r="T79" s="101"/>
      <c r="U79" s="101"/>
      <c r="V79" s="246"/>
    </row>
    <row r="80" spans="1:22" ht="19.5" customHeight="1">
      <c r="A80" s="42"/>
      <c r="B80" s="42"/>
      <c r="C80" s="42" t="s">
        <v>146</v>
      </c>
      <c r="D80" s="188">
        <f>3*'Príloha č. 1c)'!E5*8+3*0.13*'Príloha č. 1c)'!E5*(5+2+1)+3*0.065*'Príloha č. 1c)'!E5*(1+1)</f>
        <v>797239.7999999999</v>
      </c>
      <c r="E80" s="188">
        <f>6*'Príloha č. 1c)'!E6*8+6*0.13*'Príloha č. 1c)'!E6*(5+2+1)+6*0.065*'Príloha č. 1c)'!E6*(1+1)+6*'Príloha č. 1c)'!E6*6+6*0.13*'Príloha č. 1c)'!E6*(1+2+7+5)+6*0.065*'Príloha č. 1c)'!E6</f>
        <v>4695629.4</v>
      </c>
      <c r="F80" s="188">
        <f>D80+E80</f>
        <v>5492869.2</v>
      </c>
      <c r="G80" s="188">
        <f>E80/2</f>
        <v>2347814.7</v>
      </c>
      <c r="H80" s="188">
        <f>F80+G80</f>
        <v>7840683.9</v>
      </c>
      <c r="I80" s="188">
        <f>4*G80</f>
        <v>9391258.8</v>
      </c>
      <c r="J80" s="189"/>
      <c r="K80" s="251"/>
      <c r="L80" s="204" t="s">
        <v>193</v>
      </c>
      <c r="M80" s="101"/>
      <c r="N80" s="101"/>
      <c r="O80" s="101"/>
      <c r="P80" s="101"/>
      <c r="Q80" s="101"/>
      <c r="R80" s="101"/>
      <c r="S80" s="101"/>
      <c r="T80" s="101"/>
      <c r="U80" s="101"/>
      <c r="V80" s="297">
        <f>V78-V77</f>
        <v>-5.652386363636364</v>
      </c>
    </row>
    <row r="81" spans="1:22" ht="19.5" customHeight="1">
      <c r="A81" s="42"/>
      <c r="B81" s="26"/>
      <c r="C81" s="26" t="s">
        <v>134</v>
      </c>
      <c r="D81" s="190">
        <f>0.5*D80</f>
        <v>398619.89999999997</v>
      </c>
      <c r="E81" s="190">
        <f>0.5*E80</f>
        <v>2347814.7</v>
      </c>
      <c r="F81" s="190">
        <f>D81+E81</f>
        <v>2746434.6</v>
      </c>
      <c r="G81" s="190">
        <f>E81/2</f>
        <v>1173907.35</v>
      </c>
      <c r="H81" s="191">
        <f>F81+G81</f>
        <v>3920341.95</v>
      </c>
      <c r="I81" s="191">
        <f>4*G81</f>
        <v>4695629.4</v>
      </c>
      <c r="J81" s="210"/>
      <c r="K81" s="254"/>
      <c r="L81" s="205"/>
      <c r="M81" s="226"/>
      <c r="N81" s="226"/>
      <c r="O81" s="226"/>
      <c r="P81" s="226"/>
      <c r="Q81" s="226"/>
      <c r="R81" s="226"/>
      <c r="S81" s="226"/>
      <c r="T81" s="226"/>
      <c r="U81" s="226"/>
      <c r="V81" s="247"/>
    </row>
    <row r="82" spans="1:22" ht="19.5" customHeight="1">
      <c r="A82" s="42"/>
      <c r="B82" s="296" t="s">
        <v>291</v>
      </c>
      <c r="C82" s="184" t="s">
        <v>131</v>
      </c>
      <c r="D82" s="214">
        <v>30</v>
      </c>
      <c r="E82" s="214">
        <f>32+28</f>
        <v>60</v>
      </c>
      <c r="F82" s="214">
        <f>E82</f>
        <v>60</v>
      </c>
      <c r="G82" s="214">
        <f>F82</f>
        <v>60</v>
      </c>
      <c r="H82" s="214">
        <f>E82</f>
        <v>60</v>
      </c>
      <c r="I82" s="214">
        <f>H82</f>
        <v>60</v>
      </c>
      <c r="J82" s="192"/>
      <c r="K82" s="251"/>
      <c r="L82" s="203" t="s">
        <v>313</v>
      </c>
      <c r="M82" s="100"/>
      <c r="N82" s="100"/>
      <c r="O82" s="100"/>
      <c r="P82" s="100"/>
      <c r="Q82" s="100"/>
      <c r="R82" s="100"/>
      <c r="S82" s="100"/>
      <c r="T82" s="100"/>
      <c r="U82" s="100"/>
      <c r="V82" s="245">
        <v>52</v>
      </c>
    </row>
    <row r="83" spans="1:22" ht="19.5" customHeight="1">
      <c r="A83" s="42"/>
      <c r="B83" s="42" t="s">
        <v>290</v>
      </c>
      <c r="C83" s="42" t="s">
        <v>132</v>
      </c>
      <c r="D83" s="215" t="s">
        <v>147</v>
      </c>
      <c r="E83" s="215" t="s">
        <v>147</v>
      </c>
      <c r="F83" s="215" t="s">
        <v>147</v>
      </c>
      <c r="G83" s="215" t="s">
        <v>147</v>
      </c>
      <c r="H83" s="215" t="s">
        <v>147</v>
      </c>
      <c r="I83" s="215" t="s">
        <v>147</v>
      </c>
      <c r="J83" s="189"/>
      <c r="K83" s="251"/>
      <c r="L83" s="204" t="s">
        <v>234</v>
      </c>
      <c r="M83" s="101"/>
      <c r="N83" s="101"/>
      <c r="O83" s="101"/>
      <c r="P83" s="101"/>
      <c r="Q83" s="101"/>
      <c r="R83" s="101"/>
      <c r="S83" s="101"/>
      <c r="T83" s="101"/>
      <c r="U83" s="101"/>
      <c r="V83" s="246">
        <f>H85/(12*'Príloha č. 1c)'!E6)</f>
        <v>45.48204545454546</v>
      </c>
    </row>
    <row r="84" spans="1:22" ht="19.5" customHeight="1">
      <c r="A84" s="42"/>
      <c r="B84" s="42" t="s">
        <v>312</v>
      </c>
      <c r="C84" s="42" t="s">
        <v>133</v>
      </c>
      <c r="D84" s="215" t="s">
        <v>147</v>
      </c>
      <c r="E84" s="215" t="s">
        <v>147</v>
      </c>
      <c r="F84" s="215" t="s">
        <v>147</v>
      </c>
      <c r="G84" s="215" t="s">
        <v>147</v>
      </c>
      <c r="H84" s="215" t="s">
        <v>147</v>
      </c>
      <c r="I84" s="215" t="s">
        <v>147</v>
      </c>
      <c r="J84" s="189"/>
      <c r="K84" s="251"/>
      <c r="L84" s="204" t="s">
        <v>195</v>
      </c>
      <c r="M84" s="101"/>
      <c r="N84" s="101"/>
      <c r="O84" s="101"/>
      <c r="P84" s="101"/>
      <c r="Q84" s="101"/>
      <c r="R84" s="101"/>
      <c r="S84" s="101"/>
      <c r="T84" s="101"/>
      <c r="U84" s="101"/>
      <c r="V84" s="297">
        <f>V83-V82</f>
        <v>-6.517954545454543</v>
      </c>
    </row>
    <row r="85" spans="1:22" ht="19.5" customHeight="1">
      <c r="A85" s="42"/>
      <c r="B85" s="42"/>
      <c r="C85" s="42" t="s">
        <v>146</v>
      </c>
      <c r="D85" s="188">
        <f>D75+D80</f>
        <v>2300432.4</v>
      </c>
      <c r="E85" s="188">
        <f>E75+E80</f>
        <v>15036397.200000001</v>
      </c>
      <c r="F85" s="188">
        <f>D85+E85</f>
        <v>17336829.6</v>
      </c>
      <c r="G85" s="188">
        <f>E85/2</f>
        <v>7518198.600000001</v>
      </c>
      <c r="H85" s="188">
        <f>F85+G85</f>
        <v>24855028.200000003</v>
      </c>
      <c r="I85" s="188">
        <f>4*G85</f>
        <v>30072794.400000002</v>
      </c>
      <c r="J85" s="189"/>
      <c r="K85" s="251"/>
      <c r="L85" s="204" t="s">
        <v>193</v>
      </c>
      <c r="M85" s="101"/>
      <c r="N85" s="101"/>
      <c r="O85" s="101"/>
      <c r="P85" s="101"/>
      <c r="Q85" s="101"/>
      <c r="R85" s="101"/>
      <c r="S85" s="101"/>
      <c r="T85" s="101"/>
      <c r="U85" s="101"/>
      <c r="V85" s="246"/>
    </row>
    <row r="86" spans="1:22" ht="19.5" customHeight="1">
      <c r="A86" s="42"/>
      <c r="B86" s="42"/>
      <c r="C86" s="42" t="s">
        <v>134</v>
      </c>
      <c r="D86" s="194">
        <f>D76+D81</f>
        <v>1526014.35</v>
      </c>
      <c r="E86" s="194">
        <f>E76+E81</f>
        <v>10103390.55</v>
      </c>
      <c r="F86" s="194">
        <f>D86+E86</f>
        <v>11629404.9</v>
      </c>
      <c r="G86" s="194">
        <f>E86/2</f>
        <v>5051695.275</v>
      </c>
      <c r="H86" s="195">
        <f>F86+G86</f>
        <v>16681100.175</v>
      </c>
      <c r="I86" s="195">
        <f>4*G86</f>
        <v>20206781.1</v>
      </c>
      <c r="J86" s="198"/>
      <c r="K86" s="251"/>
      <c r="L86" s="204" t="s">
        <v>268</v>
      </c>
      <c r="M86" s="101"/>
      <c r="N86" s="101"/>
      <c r="O86" s="101"/>
      <c r="P86" s="101"/>
      <c r="Q86" s="101"/>
      <c r="R86" s="101"/>
      <c r="S86" s="101"/>
      <c r="T86" s="101"/>
      <c r="U86" s="101"/>
      <c r="V86" s="246"/>
    </row>
    <row r="87" spans="1:22" ht="19.5" customHeight="1">
      <c r="A87" s="26"/>
      <c r="B87" s="26"/>
      <c r="C87" s="26"/>
      <c r="D87" s="196"/>
      <c r="E87" s="196"/>
      <c r="F87" s="196"/>
      <c r="G87" s="196"/>
      <c r="H87" s="197"/>
      <c r="I87" s="197"/>
      <c r="J87" s="199"/>
      <c r="K87" s="251"/>
      <c r="L87" s="204"/>
      <c r="M87" s="101"/>
      <c r="N87" s="101"/>
      <c r="O87" s="101"/>
      <c r="P87" s="101"/>
      <c r="Q87" s="101"/>
      <c r="R87" s="101"/>
      <c r="S87" s="101"/>
      <c r="T87" s="101"/>
      <c r="U87" s="101"/>
      <c r="V87" s="247"/>
    </row>
    <row r="88" spans="1:22" ht="19.5" customHeight="1">
      <c r="A88" s="222"/>
      <c r="B88" s="223"/>
      <c r="C88" s="223"/>
      <c r="D88" s="224"/>
      <c r="E88" s="224"/>
      <c r="F88" s="224"/>
      <c r="G88" s="224"/>
      <c r="H88" s="224"/>
      <c r="I88" s="224"/>
      <c r="J88" s="237"/>
      <c r="K88" s="252"/>
      <c r="L88" s="223"/>
      <c r="M88" s="223"/>
      <c r="N88" s="223"/>
      <c r="O88" s="223"/>
      <c r="P88" s="223"/>
      <c r="Q88" s="223"/>
      <c r="R88" s="223"/>
      <c r="S88" s="223"/>
      <c r="T88" s="223"/>
      <c r="U88" s="223"/>
      <c r="V88" s="238"/>
    </row>
    <row r="89" spans="1:22" ht="19.5" customHeight="1">
      <c r="A89" s="184" t="s">
        <v>51</v>
      </c>
      <c r="B89" s="184" t="s">
        <v>52</v>
      </c>
      <c r="C89" s="184" t="s">
        <v>131</v>
      </c>
      <c r="D89" s="186">
        <f>'Príloha č. 1a)'!F41+'Príloha č. 1a)'!F42+'Príloha č. 1a)'!F43+'Príloha č. 1a)'!F44+'Príloha č. 1a)'!F45+'Príloha č. 1a)'!F46+'Príloha č. 1a)'!F47+'Príloha č. 1a)'!F48+'Príloha č. 1a)'!F49+'Príloha č. 1a)'!F50+'Príloha č. 1a)'!F51+'Príloha č. 1a)'!F52</f>
        <v>13</v>
      </c>
      <c r="E89" s="186">
        <f>D89+'Príloha č. 1a)'!I41+'Príloha č. 1a)'!I42+'Príloha č. 1a)'!I43+'Príloha č. 1a)'!I44+'Príloha č. 1a)'!I45+'Príloha č. 1a)'!I46+'Príloha č. 1a)'!I47+'Príloha č. 1a)'!I48+'Príloha č. 1a)'!I49+'Príloha č. 1a)'!I50+'Príloha č. 1a)'!I51+'Príloha č. 1a)'!I52+'Príloha č. 1a)'!L41+'Príloha č. 1a)'!L42+'Príloha č. 1a)'!L43+'Príloha č. 1a)'!L44+'Príloha č. 1a)'!L45+'Príloha č. 1a)'!L46+'Príloha č. 1a)'!L47+'Príloha č. 1a)'!L48+'Príloha č. 1a)'!L49+'Príloha č. 1a)'!L50+'Príloha č. 1a)'!L51+'Príloha č. 1a)'!L52</f>
        <v>46</v>
      </c>
      <c r="F89" s="186">
        <f>E89</f>
        <v>46</v>
      </c>
      <c r="G89" s="186">
        <f>F89</f>
        <v>46</v>
      </c>
      <c r="H89" s="186">
        <f>E89</f>
        <v>46</v>
      </c>
      <c r="I89" s="186">
        <f>H89</f>
        <v>46</v>
      </c>
      <c r="J89" s="187"/>
      <c r="K89" s="250"/>
      <c r="L89" s="203" t="s">
        <v>192</v>
      </c>
      <c r="M89" s="100"/>
      <c r="N89" s="100"/>
      <c r="O89" s="100"/>
      <c r="P89" s="100"/>
      <c r="Q89" s="100"/>
      <c r="R89" s="100"/>
      <c r="S89" s="100"/>
      <c r="T89" s="100"/>
      <c r="U89" s="100"/>
      <c r="V89" s="245">
        <f>'Príloha č. 1a)'!L41+'Príloha č. 1a)'!L42+'Príloha č. 1a)'!L43+'Príloha č. 1a)'!L44+'Príloha č. 1a)'!L45+'Príloha č. 1a)'!L46+'Príloha č. 1a)'!L47+'Príloha č. 1a)'!L48+'Príloha č. 1a)'!L49+'Príloha č. 1a)'!L50+'Príloha č. 1a)'!L51+'Príloha č. 1a)'!L52</f>
        <v>26</v>
      </c>
    </row>
    <row r="90" spans="1:22" ht="19.5" customHeight="1">
      <c r="A90" s="42"/>
      <c r="B90" s="42"/>
      <c r="C90" s="42" t="s">
        <v>132</v>
      </c>
      <c r="D90" s="188">
        <f>3*'Príloha č. 1c)'!E5*'Príloha č. 1b)'!D89</f>
        <v>1130220</v>
      </c>
      <c r="E90" s="188">
        <f>6*'Príloha č. 1c)'!E6*E89</f>
        <v>12569040</v>
      </c>
      <c r="F90" s="188">
        <f>D90+E90</f>
        <v>13699260</v>
      </c>
      <c r="G90" s="188">
        <f>E90/2</f>
        <v>6284520</v>
      </c>
      <c r="H90" s="188">
        <f>F90+G90</f>
        <v>19983780</v>
      </c>
      <c r="I90" s="188">
        <f>4*G90</f>
        <v>25138080</v>
      </c>
      <c r="J90" s="216"/>
      <c r="K90" s="250"/>
      <c r="L90" s="204" t="s">
        <v>234</v>
      </c>
      <c r="M90" s="101"/>
      <c r="N90" s="101"/>
      <c r="O90" s="101"/>
      <c r="P90" s="101"/>
      <c r="Q90" s="101"/>
      <c r="R90" s="101"/>
      <c r="S90" s="101"/>
      <c r="T90" s="101"/>
      <c r="U90" s="101"/>
      <c r="V90" s="246">
        <f>H92/(12*'Príloha č. 1c)'!E6)</f>
        <v>28.48181818181818</v>
      </c>
    </row>
    <row r="91" spans="1:22" ht="19.5" customHeight="1">
      <c r="A91" s="42"/>
      <c r="B91" s="42"/>
      <c r="C91" s="42" t="s">
        <v>133</v>
      </c>
      <c r="D91" s="188">
        <f>'Príloha č. 1a)'!F41+'Príloha č. 1a)'!F43+'Príloha č. 1a)'!F45+'Príloha č. 1a)'!F47+'Príloha č. 1a)'!F49+'Príloha č. 1a)'!F51</f>
        <v>13</v>
      </c>
      <c r="E91" s="188">
        <f>D91+'Príloha č. 1a)'!I41+'Príloha č. 1a)'!I43+'Príloha č. 1a)'!I45+'Príloha č. 1a)'!I47+'Príloha č. 1a)'!I49+'Príloha č. 1a)'!I51+'Príloha č. 1a)'!L41+'Príloha č. 1a)'!L43+'Príloha č. 1a)'!L45+'Príloha č. 1a)'!L47+'Príloha č. 1a)'!L49+'Príloha č. 1a)'!L51</f>
        <v>43</v>
      </c>
      <c r="F91" s="188">
        <f>E91</f>
        <v>43</v>
      </c>
      <c r="G91" s="188">
        <f>F91</f>
        <v>43</v>
      </c>
      <c r="H91" s="188">
        <f>E91</f>
        <v>43</v>
      </c>
      <c r="I91" s="188">
        <f>E91</f>
        <v>43</v>
      </c>
      <c r="J91" s="216"/>
      <c r="K91" s="250"/>
      <c r="L91" s="204" t="s">
        <v>224</v>
      </c>
      <c r="M91" s="101"/>
      <c r="N91" s="101"/>
      <c r="O91" s="101"/>
      <c r="P91" s="101"/>
      <c r="Q91" s="101"/>
      <c r="R91" s="101"/>
      <c r="S91" s="101"/>
      <c r="T91" s="101"/>
      <c r="U91" s="101"/>
      <c r="V91" s="246"/>
    </row>
    <row r="92" spans="1:22" ht="19.5" customHeight="1">
      <c r="A92" s="42"/>
      <c r="B92" s="42"/>
      <c r="C92" s="42" t="s">
        <v>146</v>
      </c>
      <c r="D92" s="188">
        <f>3*'Príloha č. 1c)'!E5*4+3*0.8*'Príloha č. 1c)'!E5*(1+2)+3*0.6*'Príloha č. 1c)'!E5+3*0.55*'Príloha č. 1c)'!E5+3*0.5*'Príloha č. 1c)'!E5*(1+1+2)</f>
        <v>830277</v>
      </c>
      <c r="E92" s="188">
        <f>6*'Príloha č. 1c)'!E6*4+6*0.8*'Príloha č. 1c)'!E6*(1+2)+6*0.6*'Príloha č. 1c)'!E6+6*0.55*'Príloha č. 1c)'!E6+6*0.5*'Príloha č. 1c)'!E6*(1+1+2)+6*'Príloha č. 1c)'!E6*(3+2+14)+6*0.8*'Príloha č. 1c)'!E6*(1+3+2+1)+6*0.5*'Príloha č. 1c)'!E6*(1+1)+6*0.4*'Príloha č. 1c)'!E6*(1+1)</f>
        <v>9822978</v>
      </c>
      <c r="F92" s="188">
        <f>D92+E92</f>
        <v>10653255</v>
      </c>
      <c r="G92" s="188">
        <f>E92/2</f>
        <v>4911489</v>
      </c>
      <c r="H92" s="188">
        <f>F92+G92</f>
        <v>15564744</v>
      </c>
      <c r="I92" s="188">
        <f>4*G92</f>
        <v>19645956</v>
      </c>
      <c r="J92" s="216"/>
      <c r="K92" s="250"/>
      <c r="L92" s="204" t="s">
        <v>197</v>
      </c>
      <c r="M92" s="101"/>
      <c r="N92" s="101"/>
      <c r="O92" s="101"/>
      <c r="P92" s="101"/>
      <c r="Q92" s="101"/>
      <c r="R92" s="101"/>
      <c r="S92" s="101"/>
      <c r="T92" s="101"/>
      <c r="U92" s="101"/>
      <c r="V92" s="313">
        <f>V90-V89</f>
        <v>2.4818181818181806</v>
      </c>
    </row>
    <row r="93" spans="1:22" ht="19.5" customHeight="1">
      <c r="A93" s="42"/>
      <c r="B93" s="26"/>
      <c r="C93" s="26" t="s">
        <v>134</v>
      </c>
      <c r="D93" s="190">
        <f>0.75*D92</f>
        <v>622707.75</v>
      </c>
      <c r="E93" s="190">
        <f>0.75*E92</f>
        <v>7367233.5</v>
      </c>
      <c r="F93" s="190">
        <f>D93+E93</f>
        <v>7989941.25</v>
      </c>
      <c r="G93" s="190">
        <f>E93/2</f>
        <v>3683616.75</v>
      </c>
      <c r="H93" s="191">
        <f>F93+G93</f>
        <v>11673558</v>
      </c>
      <c r="I93" s="191">
        <f>4*G93</f>
        <v>14734467</v>
      </c>
      <c r="J93" s="218"/>
      <c r="K93" s="256"/>
      <c r="L93" s="205"/>
      <c r="M93" s="226"/>
      <c r="N93" s="226"/>
      <c r="O93" s="226"/>
      <c r="P93" s="226"/>
      <c r="Q93" s="226"/>
      <c r="R93" s="226"/>
      <c r="S93" s="226"/>
      <c r="T93" s="226"/>
      <c r="U93" s="226"/>
      <c r="V93" s="247"/>
    </row>
    <row r="94" spans="1:22" ht="19.5" customHeight="1">
      <c r="A94" s="42"/>
      <c r="B94" s="42" t="s">
        <v>263</v>
      </c>
      <c r="C94" s="42" t="s">
        <v>131</v>
      </c>
      <c r="D94" s="188">
        <f>'Príloha č. 1a)'!F53+'Príloha č. 1a)'!F54+'Príloha č. 1a)'!F55+'Príloha č. 1a)'!F56+'Príloha č. 1a)'!F57+'Príloha č. 1a)'!F58+'Príloha č. 1a)'!F59+'Príloha č. 1a)'!F60+'Príloha č. 1a)'!F61+'Príloha č. 1a)'!F62+'Príloha č. 1a)'!F63+'Príloha č. 1a)'!F64</f>
        <v>12</v>
      </c>
      <c r="E94" s="188">
        <f>D94+'Príloha č. 1a)'!I53+'Príloha č. 1a)'!I54+'Príloha č. 1a)'!I55+'Príloha č. 1a)'!I56+'Príloha č. 1a)'!I57+'Príloha č. 1a)'!I58+'Príloha č. 1a)'!I59+'Príloha č. 1a)'!I60+'Príloha č. 1a)'!I61+'Príloha č. 1a)'!I62+'Príloha č. 1a)'!I63+'Príloha č. 1a)'!I64+'Príloha č. 1a)'!L53+'Príloha č. 1a)'!L54+'Príloha č. 1a)'!L55+'Príloha č. 1a)'!L56+'Príloha č. 1a)'!L57+'Príloha č. 1a)'!L58+'Príloha č. 1a)'!L59+'Príloha č. 1a)'!L60+'Príloha č. 1a)'!L61+'Príloha č. 1a)'!L62+'Príloha č. 1a)'!L63+'Príloha č. 1a)'!L64</f>
        <v>25</v>
      </c>
      <c r="F94" s="188">
        <f>E94</f>
        <v>25</v>
      </c>
      <c r="G94" s="188">
        <f>F94</f>
        <v>25</v>
      </c>
      <c r="H94" s="188">
        <f>E94</f>
        <v>25</v>
      </c>
      <c r="I94" s="188">
        <f>H94</f>
        <v>25</v>
      </c>
      <c r="J94" s="216"/>
      <c r="K94" s="250"/>
      <c r="L94" s="203" t="s">
        <v>192</v>
      </c>
      <c r="M94" s="100"/>
      <c r="N94" s="100"/>
      <c r="O94" s="100"/>
      <c r="P94" s="100"/>
      <c r="Q94" s="100"/>
      <c r="R94" s="100"/>
      <c r="S94" s="100"/>
      <c r="T94" s="100"/>
      <c r="U94" s="100"/>
      <c r="V94" s="245">
        <f>'Príloha č. 1a)'!L53+'Príloha č. 1a)'!L54+'Príloha č. 1a)'!L57+'Príloha č. 1a)'!L58+'Príloha č. 1a)'!L59+'Príloha č. 1a)'!L60+'Príloha č. 1a)'!L61+'Príloha č. 1a)'!L62+'Príloha č. 1a)'!L63+'Príloha č. 1a)'!L64</f>
        <v>9</v>
      </c>
    </row>
    <row r="95" spans="1:22" ht="19.5" customHeight="1">
      <c r="A95" s="42"/>
      <c r="B95" s="42"/>
      <c r="C95" s="42" t="s">
        <v>132</v>
      </c>
      <c r="D95" s="188">
        <f>3*'Príloha č. 1c)'!E5*'Príloha č. 1b)'!D94</f>
        <v>1043280</v>
      </c>
      <c r="E95" s="188">
        <f>6*'Príloha č. 1c)'!E6*E94</f>
        <v>6831000</v>
      </c>
      <c r="F95" s="188">
        <f>D95+E95</f>
        <v>7874280</v>
      </c>
      <c r="G95" s="188">
        <f>E95/2</f>
        <v>3415500</v>
      </c>
      <c r="H95" s="188">
        <f>F95+G95</f>
        <v>11289780</v>
      </c>
      <c r="I95" s="188">
        <f>4*G95</f>
        <v>13662000</v>
      </c>
      <c r="J95" s="216"/>
      <c r="K95" s="250"/>
      <c r="L95" s="204" t="s">
        <v>234</v>
      </c>
      <c r="M95" s="101"/>
      <c r="N95" s="101"/>
      <c r="O95" s="101"/>
      <c r="P95" s="101"/>
      <c r="Q95" s="101"/>
      <c r="R95" s="101"/>
      <c r="S95" s="101"/>
      <c r="T95" s="101"/>
      <c r="U95" s="101"/>
      <c r="V95" s="246">
        <f>H97/(12*'Príloha č. 1c)'!E6)</f>
        <v>7.7681818181818185</v>
      </c>
    </row>
    <row r="96" spans="1:22" ht="19.5" customHeight="1">
      <c r="A96" s="42"/>
      <c r="B96" s="42"/>
      <c r="C96" s="42" t="s">
        <v>133</v>
      </c>
      <c r="D96" s="188">
        <f>'Príloha č. 1a)'!F53+'Príloha č. 1a)'!F55+'Príloha č. 1a)'!F57+'Príloha č. 1a)'!F59+'Príloha č. 1a)'!F61+'Príloha č. 1a)'!F63</f>
        <v>12</v>
      </c>
      <c r="E96" s="188">
        <f>D96+'Príloha č. 1a)'!I53+'Príloha č. 1a)'!I55+'Príloha č. 1a)'!I57+'Príloha č. 1a)'!I59+'Príloha č. 1a)'!I61+'Príloha č. 1a)'!I63+'Príloha č. 1a)'!L53+'Príloha č. 1a)'!L55+'Príloha č. 1a)'!L57+'Príloha č. 1a)'!L59+'Príloha č. 1a)'!L61+'Príloha č. 1a)'!L63</f>
        <v>24</v>
      </c>
      <c r="F96" s="188">
        <f>E96</f>
        <v>24</v>
      </c>
      <c r="G96" s="188">
        <f>F96</f>
        <v>24</v>
      </c>
      <c r="H96" s="188">
        <f>E96</f>
        <v>24</v>
      </c>
      <c r="I96" s="188">
        <f>H96</f>
        <v>24</v>
      </c>
      <c r="J96" s="216"/>
      <c r="K96" s="250"/>
      <c r="L96" s="204" t="s">
        <v>224</v>
      </c>
      <c r="M96" s="101"/>
      <c r="N96" s="101"/>
      <c r="O96" s="101"/>
      <c r="P96" s="101"/>
      <c r="Q96" s="101"/>
      <c r="R96" s="101"/>
      <c r="S96" s="101"/>
      <c r="T96" s="101"/>
      <c r="U96" s="101"/>
      <c r="V96" s="246"/>
    </row>
    <row r="97" spans="1:22" ht="19.5" customHeight="1">
      <c r="A97" s="42"/>
      <c r="B97" s="42"/>
      <c r="C97" s="42" t="s">
        <v>146</v>
      </c>
      <c r="D97" s="188">
        <f>3*'Príloha č. 1c)'!E5*3+3*0.5*'Príloha č. 1c)'!E5+3*0.2*'Príloha č. 1c)'!E5*(1+2+1)+3*0.15*'Príloha č. 1c)'!E5+3*0.1*'Príloha č. 1c)'!E5*(1+2)</f>
        <v>412965</v>
      </c>
      <c r="E97" s="188">
        <f>6*'Príloha č. 1c)'!E6*3+6*0.5*'Príloha č. 1c)'!E6+6*0.2*'Príloha č. 1c)'!E6*(1+2+1)+6*0.15*'Príloha č. 1c)'!E6+6*0.1*'Príloha č. 1c)'!E6*(1+2)+6*'Príloha č. 1c)'!E6*3+6*0.2*'Príloha č. 1c)'!E6*(1+3+2+1)+6*0.1*'Príloha č. 1c)'!E6*(1+1)</f>
        <v>2554794</v>
      </c>
      <c r="F97" s="188">
        <f>D97+E97</f>
        <v>2967759</v>
      </c>
      <c r="G97" s="188">
        <f>E97/2</f>
        <v>1277397</v>
      </c>
      <c r="H97" s="188">
        <f>F97+G97</f>
        <v>4245156</v>
      </c>
      <c r="I97" s="188">
        <f>4*G97</f>
        <v>5109588</v>
      </c>
      <c r="J97" s="216"/>
      <c r="K97" s="250"/>
      <c r="L97" s="204" t="s">
        <v>197</v>
      </c>
      <c r="M97" s="101"/>
      <c r="N97" s="101"/>
      <c r="O97" s="101"/>
      <c r="P97" s="101"/>
      <c r="Q97" s="101"/>
      <c r="R97" s="101"/>
      <c r="S97" s="101"/>
      <c r="T97" s="101"/>
      <c r="U97" s="101"/>
      <c r="V97" s="297">
        <f>V95-V94</f>
        <v>-1.2318181818181815</v>
      </c>
    </row>
    <row r="98" spans="1:22" ht="19.5" customHeight="1">
      <c r="A98" s="42"/>
      <c r="B98" s="26"/>
      <c r="C98" s="26" t="s">
        <v>134</v>
      </c>
      <c r="D98" s="190">
        <f>0.5*D97</f>
        <v>206482.5</v>
      </c>
      <c r="E98" s="190">
        <f>0.5*E97</f>
        <v>1277397</v>
      </c>
      <c r="F98" s="190">
        <f>D98+E98</f>
        <v>1483879.5</v>
      </c>
      <c r="G98" s="190">
        <f>E98/2</f>
        <v>638698.5</v>
      </c>
      <c r="H98" s="191">
        <f>F98+G98</f>
        <v>2122578</v>
      </c>
      <c r="I98" s="191">
        <f>4*G98</f>
        <v>2554794</v>
      </c>
      <c r="J98" s="218"/>
      <c r="K98" s="256"/>
      <c r="L98" s="205"/>
      <c r="M98" s="226"/>
      <c r="N98" s="226"/>
      <c r="O98" s="226"/>
      <c r="P98" s="226"/>
      <c r="Q98" s="226"/>
      <c r="R98" s="226"/>
      <c r="S98" s="226"/>
      <c r="T98" s="226"/>
      <c r="U98" s="226"/>
      <c r="V98" s="247"/>
    </row>
    <row r="99" spans="1:22" ht="19.5" customHeight="1">
      <c r="A99" s="42"/>
      <c r="B99" s="42" t="s">
        <v>143</v>
      </c>
      <c r="C99" s="42" t="s">
        <v>131</v>
      </c>
      <c r="D99" s="217">
        <v>16</v>
      </c>
      <c r="E99" s="215">
        <f>16+6+29</f>
        <v>51</v>
      </c>
      <c r="F99" s="217">
        <f>E99</f>
        <v>51</v>
      </c>
      <c r="G99" s="217">
        <f>F99</f>
        <v>51</v>
      </c>
      <c r="H99" s="215">
        <f>E99</f>
        <v>51</v>
      </c>
      <c r="I99" s="215">
        <f>H99</f>
        <v>51</v>
      </c>
      <c r="J99" s="189"/>
      <c r="K99" s="251"/>
      <c r="L99" s="203" t="s">
        <v>192</v>
      </c>
      <c r="M99" s="100"/>
      <c r="N99" s="100"/>
      <c r="O99" s="100"/>
      <c r="P99" s="100"/>
      <c r="Q99" s="100"/>
      <c r="R99" s="100"/>
      <c r="S99" s="100"/>
      <c r="T99" s="100"/>
      <c r="U99" s="100"/>
      <c r="V99" s="245">
        <v>29</v>
      </c>
    </row>
    <row r="100" spans="1:22" ht="19.5" customHeight="1">
      <c r="A100" s="42"/>
      <c r="B100" s="42"/>
      <c r="C100" s="42" t="s">
        <v>132</v>
      </c>
      <c r="D100" s="217" t="s">
        <v>147</v>
      </c>
      <c r="E100" s="215" t="s">
        <v>147</v>
      </c>
      <c r="F100" s="215" t="s">
        <v>147</v>
      </c>
      <c r="G100" s="215" t="s">
        <v>147</v>
      </c>
      <c r="H100" s="215" t="s">
        <v>147</v>
      </c>
      <c r="I100" s="215" t="s">
        <v>147</v>
      </c>
      <c r="J100" s="189"/>
      <c r="K100" s="251"/>
      <c r="L100" s="204" t="s">
        <v>234</v>
      </c>
      <c r="M100" s="101"/>
      <c r="N100" s="101"/>
      <c r="O100" s="101"/>
      <c r="P100" s="101"/>
      <c r="Q100" s="101"/>
      <c r="R100" s="101"/>
      <c r="S100" s="101"/>
      <c r="T100" s="101"/>
      <c r="U100" s="101"/>
      <c r="V100" s="246">
        <f>V90+V95</f>
        <v>36.25</v>
      </c>
    </row>
    <row r="101" spans="1:22" ht="19.5" customHeight="1">
      <c r="A101" s="42"/>
      <c r="B101" s="42"/>
      <c r="C101" s="42" t="s">
        <v>133</v>
      </c>
      <c r="D101" s="217" t="s">
        <v>147</v>
      </c>
      <c r="E101" s="215" t="s">
        <v>147</v>
      </c>
      <c r="F101" s="215" t="s">
        <v>147</v>
      </c>
      <c r="G101" s="215" t="s">
        <v>147</v>
      </c>
      <c r="H101" s="215" t="s">
        <v>147</v>
      </c>
      <c r="I101" s="215" t="s">
        <v>147</v>
      </c>
      <c r="J101" s="189"/>
      <c r="K101" s="251"/>
      <c r="L101" s="204" t="s">
        <v>196</v>
      </c>
      <c r="M101" s="101"/>
      <c r="N101" s="101"/>
      <c r="O101" s="101"/>
      <c r="P101" s="101"/>
      <c r="Q101" s="101"/>
      <c r="R101" s="101"/>
      <c r="S101" s="101"/>
      <c r="T101" s="101"/>
      <c r="U101" s="101"/>
      <c r="V101" s="246"/>
    </row>
    <row r="102" spans="1:22" ht="19.5" customHeight="1">
      <c r="A102" s="42"/>
      <c r="B102" s="42"/>
      <c r="C102" s="42" t="s">
        <v>146</v>
      </c>
      <c r="D102" s="188">
        <f>D92+D97</f>
        <v>1243242</v>
      </c>
      <c r="E102" s="188">
        <f>E92+E97</f>
        <v>12377772</v>
      </c>
      <c r="F102" s="188">
        <f>D102+E102</f>
        <v>13621014</v>
      </c>
      <c r="G102" s="188">
        <f>E102/2</f>
        <v>6188886</v>
      </c>
      <c r="H102" s="188">
        <f>F102+G102</f>
        <v>19809900</v>
      </c>
      <c r="I102" s="188">
        <f>4*G102</f>
        <v>24755544</v>
      </c>
      <c r="J102" s="189"/>
      <c r="K102" s="251"/>
      <c r="L102" s="204" t="s">
        <v>193</v>
      </c>
      <c r="M102" s="101"/>
      <c r="N102" s="101"/>
      <c r="O102" s="101"/>
      <c r="P102" s="101"/>
      <c r="Q102" s="101"/>
      <c r="R102" s="101"/>
      <c r="S102" s="101"/>
      <c r="T102" s="101"/>
      <c r="U102" s="101"/>
      <c r="V102" s="246">
        <f>V100-V99</f>
        <v>7.25</v>
      </c>
    </row>
    <row r="103" spans="1:22" ht="19.5" customHeight="1">
      <c r="A103" s="42"/>
      <c r="B103" s="42"/>
      <c r="C103" s="42" t="s">
        <v>134</v>
      </c>
      <c r="D103" s="194">
        <f>D93+D98</f>
        <v>829190.25</v>
      </c>
      <c r="E103" s="194">
        <f>E93+E98</f>
        <v>8644630.5</v>
      </c>
      <c r="F103" s="194">
        <f>D103+E103</f>
        <v>9473820.75</v>
      </c>
      <c r="G103" s="194">
        <f>E103/2</f>
        <v>4322315.25</v>
      </c>
      <c r="H103" s="195">
        <f>F103+G103</f>
        <v>13796136</v>
      </c>
      <c r="I103" s="195">
        <f>4*G103</f>
        <v>17289261</v>
      </c>
      <c r="J103" s="198"/>
      <c r="K103" s="251"/>
      <c r="L103" s="204" t="s">
        <v>269</v>
      </c>
      <c r="M103" s="101"/>
      <c r="N103" s="101"/>
      <c r="O103" s="101"/>
      <c r="P103" s="101"/>
      <c r="Q103" s="101"/>
      <c r="R103" s="101"/>
      <c r="S103" s="101"/>
      <c r="T103" s="101"/>
      <c r="U103" s="101"/>
      <c r="V103" s="246"/>
    </row>
    <row r="104" spans="1:22" ht="19.5" customHeight="1">
      <c r="A104" s="26"/>
      <c r="B104" s="26"/>
      <c r="C104" s="26"/>
      <c r="D104" s="196"/>
      <c r="E104" s="196"/>
      <c r="F104" s="196"/>
      <c r="G104" s="196"/>
      <c r="H104" s="197"/>
      <c r="I104" s="197"/>
      <c r="J104" s="199"/>
      <c r="K104" s="251"/>
      <c r="L104" s="204"/>
      <c r="M104" s="101"/>
      <c r="N104" s="101"/>
      <c r="O104" s="101"/>
      <c r="P104" s="101"/>
      <c r="Q104" s="101"/>
      <c r="R104" s="101"/>
      <c r="S104" s="101"/>
      <c r="T104" s="101"/>
      <c r="U104" s="101"/>
      <c r="V104" s="247"/>
    </row>
    <row r="105" spans="1:22" ht="19.5" customHeight="1">
      <c r="A105" s="222"/>
      <c r="B105" s="223"/>
      <c r="C105" s="223"/>
      <c r="D105" s="224"/>
      <c r="E105" s="224"/>
      <c r="F105" s="224"/>
      <c r="G105" s="224"/>
      <c r="H105" s="224"/>
      <c r="I105" s="224"/>
      <c r="J105" s="237"/>
      <c r="K105" s="252"/>
      <c r="L105" s="223"/>
      <c r="M105" s="223"/>
      <c r="N105" s="223"/>
      <c r="O105" s="223"/>
      <c r="P105" s="223"/>
      <c r="Q105" s="223"/>
      <c r="R105" s="223"/>
      <c r="S105" s="223"/>
      <c r="T105" s="223"/>
      <c r="U105" s="223"/>
      <c r="V105" s="238"/>
    </row>
    <row r="106" spans="1:22" ht="19.5" customHeight="1">
      <c r="A106" s="184" t="s">
        <v>144</v>
      </c>
      <c r="B106" s="184" t="s">
        <v>145</v>
      </c>
      <c r="C106" s="184" t="s">
        <v>131</v>
      </c>
      <c r="D106" s="186">
        <f aca="true" t="shared" si="3" ref="D106:D115">D89+D72</f>
        <v>34</v>
      </c>
      <c r="E106" s="186">
        <f aca="true" t="shared" si="4" ref="E106:E115">E89+E72</f>
        <v>91</v>
      </c>
      <c r="F106" s="186">
        <f>E106</f>
        <v>91</v>
      </c>
      <c r="G106" s="186">
        <f>F106</f>
        <v>91</v>
      </c>
      <c r="H106" s="186">
        <f>E106</f>
        <v>91</v>
      </c>
      <c r="I106" s="186">
        <f>H106</f>
        <v>91</v>
      </c>
      <c r="J106" s="192"/>
      <c r="K106" s="251"/>
      <c r="L106" s="203"/>
      <c r="M106" s="100"/>
      <c r="N106" s="100"/>
      <c r="O106" s="100"/>
      <c r="P106" s="100"/>
      <c r="Q106" s="100"/>
      <c r="R106" s="100"/>
      <c r="S106" s="100"/>
      <c r="T106" s="100"/>
      <c r="U106" s="100"/>
      <c r="V106" s="233"/>
    </row>
    <row r="107" spans="1:22" ht="19.5" customHeight="1">
      <c r="A107" s="42"/>
      <c r="B107" s="42"/>
      <c r="C107" s="42" t="s">
        <v>132</v>
      </c>
      <c r="D107" s="188">
        <f t="shared" si="3"/>
        <v>2955960</v>
      </c>
      <c r="E107" s="188">
        <f t="shared" si="4"/>
        <v>24864840</v>
      </c>
      <c r="F107" s="188">
        <f>D107+E107</f>
        <v>27820800</v>
      </c>
      <c r="G107" s="188">
        <f>E107/2</f>
        <v>12432420</v>
      </c>
      <c r="H107" s="188">
        <f>F107+G107</f>
        <v>40253220</v>
      </c>
      <c r="I107" s="188">
        <f>4*G107</f>
        <v>49729680</v>
      </c>
      <c r="J107" s="189"/>
      <c r="K107" s="251"/>
      <c r="L107" s="204"/>
      <c r="M107" s="101"/>
      <c r="N107" s="101"/>
      <c r="O107" s="101"/>
      <c r="P107" s="101"/>
      <c r="Q107" s="101"/>
      <c r="R107" s="101"/>
      <c r="S107" s="101"/>
      <c r="T107" s="101"/>
      <c r="U107" s="101"/>
      <c r="V107" s="234"/>
    </row>
    <row r="108" spans="1:22" ht="19.5" customHeight="1">
      <c r="A108" s="42"/>
      <c r="B108" s="42"/>
      <c r="C108" s="42" t="s">
        <v>133</v>
      </c>
      <c r="D108" s="188">
        <f t="shared" si="3"/>
        <v>33</v>
      </c>
      <c r="E108" s="188">
        <f t="shared" si="4"/>
        <v>87</v>
      </c>
      <c r="F108" s="188">
        <f>E108</f>
        <v>87</v>
      </c>
      <c r="G108" s="188">
        <f>F108</f>
        <v>87</v>
      </c>
      <c r="H108" s="188">
        <f>E108</f>
        <v>87</v>
      </c>
      <c r="I108" s="188">
        <f>H108</f>
        <v>87</v>
      </c>
      <c r="J108" s="189"/>
      <c r="K108" s="251"/>
      <c r="L108" s="204"/>
      <c r="M108" s="101"/>
      <c r="N108" s="101"/>
      <c r="O108" s="101"/>
      <c r="P108" s="101"/>
      <c r="Q108" s="101"/>
      <c r="R108" s="101"/>
      <c r="S108" s="101"/>
      <c r="T108" s="101"/>
      <c r="U108" s="101"/>
      <c r="V108" s="234"/>
    </row>
    <row r="109" spans="1:22" ht="19.5" customHeight="1">
      <c r="A109" s="42"/>
      <c r="B109" s="42"/>
      <c r="C109" s="42" t="s">
        <v>146</v>
      </c>
      <c r="D109" s="188">
        <f t="shared" si="3"/>
        <v>2333469.6</v>
      </c>
      <c r="E109" s="188">
        <f t="shared" si="4"/>
        <v>20163745.8</v>
      </c>
      <c r="F109" s="188">
        <f>D109+E109</f>
        <v>22497215.400000002</v>
      </c>
      <c r="G109" s="188">
        <f>E109/2</f>
        <v>10081872.9</v>
      </c>
      <c r="H109" s="188">
        <f>F109+G109</f>
        <v>32579088.300000004</v>
      </c>
      <c r="I109" s="188">
        <f>4*G109</f>
        <v>40327491.6</v>
      </c>
      <c r="J109" s="189"/>
      <c r="K109" s="251"/>
      <c r="L109" s="204"/>
      <c r="M109" s="101"/>
      <c r="N109" s="101"/>
      <c r="O109" s="101"/>
      <c r="P109" s="101"/>
      <c r="Q109" s="101"/>
      <c r="R109" s="101"/>
      <c r="S109" s="101"/>
      <c r="T109" s="101"/>
      <c r="U109" s="101"/>
      <c r="V109" s="234"/>
    </row>
    <row r="110" spans="1:22" ht="19.5" customHeight="1">
      <c r="A110" s="42"/>
      <c r="B110" s="26"/>
      <c r="C110" s="26" t="s">
        <v>134</v>
      </c>
      <c r="D110" s="190">
        <f t="shared" si="3"/>
        <v>1750102.2000000002</v>
      </c>
      <c r="E110" s="190">
        <f t="shared" si="4"/>
        <v>15122809.350000001</v>
      </c>
      <c r="F110" s="190">
        <f>D110+E110</f>
        <v>16872911.55</v>
      </c>
      <c r="G110" s="190">
        <f>E110/2</f>
        <v>7561404.675000001</v>
      </c>
      <c r="H110" s="193">
        <f>F110+G110</f>
        <v>24434316.225</v>
      </c>
      <c r="I110" s="193">
        <f>4*G110</f>
        <v>30245618.700000003</v>
      </c>
      <c r="J110" s="213"/>
      <c r="K110" s="251"/>
      <c r="L110" s="204"/>
      <c r="M110" s="101"/>
      <c r="N110" s="101"/>
      <c r="O110" s="101"/>
      <c r="P110" s="101"/>
      <c r="Q110" s="101"/>
      <c r="R110" s="101"/>
      <c r="S110" s="101"/>
      <c r="T110" s="101"/>
      <c r="U110" s="101"/>
      <c r="V110" s="234"/>
    </row>
    <row r="111" spans="1:22" ht="19.5" customHeight="1">
      <c r="A111" s="42"/>
      <c r="B111" s="184" t="s">
        <v>270</v>
      </c>
      <c r="C111" s="184" t="s">
        <v>131</v>
      </c>
      <c r="D111" s="186">
        <f t="shared" si="3"/>
        <v>31</v>
      </c>
      <c r="E111" s="186">
        <f t="shared" si="4"/>
        <v>66</v>
      </c>
      <c r="F111" s="186">
        <f>E111</f>
        <v>66</v>
      </c>
      <c r="G111" s="186">
        <f>F111</f>
        <v>66</v>
      </c>
      <c r="H111" s="186">
        <f>E111</f>
        <v>66</v>
      </c>
      <c r="I111" s="186">
        <f>H111</f>
        <v>66</v>
      </c>
      <c r="J111" s="192"/>
      <c r="K111" s="251"/>
      <c r="L111" s="204"/>
      <c r="M111" s="101"/>
      <c r="N111" s="101"/>
      <c r="O111" s="101"/>
      <c r="P111" s="101"/>
      <c r="Q111" s="101"/>
      <c r="R111" s="101"/>
      <c r="S111" s="101"/>
      <c r="T111" s="101"/>
      <c r="U111" s="101"/>
      <c r="V111" s="234"/>
    </row>
    <row r="112" spans="1:22" ht="19.5" customHeight="1">
      <c r="A112" s="42"/>
      <c r="B112" s="42"/>
      <c r="C112" s="42" t="s">
        <v>132</v>
      </c>
      <c r="D112" s="188">
        <f t="shared" si="3"/>
        <v>2695140</v>
      </c>
      <c r="E112" s="188">
        <f t="shared" si="4"/>
        <v>18033840</v>
      </c>
      <c r="F112" s="188">
        <f>D112+E112</f>
        <v>20728980</v>
      </c>
      <c r="G112" s="188">
        <f>E112/2</f>
        <v>9016920</v>
      </c>
      <c r="H112" s="188">
        <f>F112+G112</f>
        <v>29745900</v>
      </c>
      <c r="I112" s="188">
        <f>4*G112</f>
        <v>36067680</v>
      </c>
      <c r="J112" s="189"/>
      <c r="K112" s="251"/>
      <c r="L112" s="204"/>
      <c r="M112" s="101"/>
      <c r="N112" s="101"/>
      <c r="O112" s="101"/>
      <c r="P112" s="101"/>
      <c r="Q112" s="101"/>
      <c r="R112" s="101"/>
      <c r="S112" s="101"/>
      <c r="T112" s="101"/>
      <c r="U112" s="101"/>
      <c r="V112" s="234"/>
    </row>
    <row r="113" spans="1:22" ht="19.5" customHeight="1">
      <c r="A113" s="42"/>
      <c r="B113" s="42"/>
      <c r="C113" s="42" t="s">
        <v>133</v>
      </c>
      <c r="D113" s="188">
        <f t="shared" si="3"/>
        <v>30</v>
      </c>
      <c r="E113" s="188">
        <f t="shared" si="4"/>
        <v>64</v>
      </c>
      <c r="F113" s="188">
        <f>E113</f>
        <v>64</v>
      </c>
      <c r="G113" s="188">
        <f>F113</f>
        <v>64</v>
      </c>
      <c r="H113" s="188">
        <f>E113</f>
        <v>64</v>
      </c>
      <c r="I113" s="188">
        <f>H113</f>
        <v>64</v>
      </c>
      <c r="J113" s="189"/>
      <c r="K113" s="251"/>
      <c r="L113" s="204"/>
      <c r="M113" s="101"/>
      <c r="N113" s="101"/>
      <c r="O113" s="101"/>
      <c r="P113" s="101"/>
      <c r="Q113" s="101"/>
      <c r="R113" s="101"/>
      <c r="S113" s="101"/>
      <c r="T113" s="101"/>
      <c r="U113" s="101"/>
      <c r="V113" s="234"/>
    </row>
    <row r="114" spans="1:22" ht="19.5" customHeight="1">
      <c r="A114" s="42"/>
      <c r="B114" s="42"/>
      <c r="C114" s="42" t="s">
        <v>146</v>
      </c>
      <c r="D114" s="188">
        <f t="shared" si="3"/>
        <v>1210204.7999999998</v>
      </c>
      <c r="E114" s="188">
        <f t="shared" si="4"/>
        <v>7250423.4</v>
      </c>
      <c r="F114" s="188">
        <f>D114+E114</f>
        <v>8460628.2</v>
      </c>
      <c r="G114" s="188">
        <f>E114/2</f>
        <v>3625211.7</v>
      </c>
      <c r="H114" s="188">
        <f>F114+G114</f>
        <v>12085839.899999999</v>
      </c>
      <c r="I114" s="188">
        <f>4*G114</f>
        <v>14500846.8</v>
      </c>
      <c r="J114" s="189"/>
      <c r="K114" s="251"/>
      <c r="L114" s="204"/>
      <c r="M114" s="101"/>
      <c r="N114" s="101"/>
      <c r="O114" s="101"/>
      <c r="P114" s="101"/>
      <c r="Q114" s="101"/>
      <c r="R114" s="101"/>
      <c r="S114" s="101"/>
      <c r="T114" s="101"/>
      <c r="U114" s="101"/>
      <c r="V114" s="234"/>
    </row>
    <row r="115" spans="1:22" ht="19.5" customHeight="1">
      <c r="A115" s="26"/>
      <c r="B115" s="26"/>
      <c r="C115" s="26" t="s">
        <v>134</v>
      </c>
      <c r="D115" s="190">
        <f t="shared" si="3"/>
        <v>605102.3999999999</v>
      </c>
      <c r="E115" s="190">
        <f t="shared" si="4"/>
        <v>3625211.7</v>
      </c>
      <c r="F115" s="190">
        <f>D115+E115</f>
        <v>4230314.1</v>
      </c>
      <c r="G115" s="190">
        <f>E115/2</f>
        <v>1812605.85</v>
      </c>
      <c r="H115" s="193">
        <f>F115+G115</f>
        <v>6042919.949999999</v>
      </c>
      <c r="I115" s="193">
        <f>4*G115</f>
        <v>7250423.4</v>
      </c>
      <c r="J115" s="213"/>
      <c r="K115" s="251"/>
      <c r="L115" s="205"/>
      <c r="M115" s="226"/>
      <c r="N115" s="226"/>
      <c r="O115" s="226"/>
      <c r="P115" s="226"/>
      <c r="Q115" s="226"/>
      <c r="R115" s="226"/>
      <c r="S115" s="226"/>
      <c r="T115" s="226"/>
      <c r="U115" s="226"/>
      <c r="V115" s="236"/>
    </row>
    <row r="116" spans="1:22" ht="19.5" customHeight="1">
      <c r="A116" s="222"/>
      <c r="B116" s="223"/>
      <c r="C116" s="223"/>
      <c r="D116" s="224"/>
      <c r="E116" s="224"/>
      <c r="F116" s="224"/>
      <c r="G116" s="224"/>
      <c r="H116" s="224"/>
      <c r="I116" s="224"/>
      <c r="J116" s="237"/>
      <c r="K116" s="252"/>
      <c r="L116" s="223"/>
      <c r="M116" s="223"/>
      <c r="N116" s="223"/>
      <c r="O116" s="223"/>
      <c r="P116" s="223"/>
      <c r="Q116" s="223"/>
      <c r="R116" s="223"/>
      <c r="S116" s="223"/>
      <c r="T116" s="223"/>
      <c r="U116" s="223"/>
      <c r="V116" s="238"/>
    </row>
    <row r="117" spans="1:22" ht="19.5" customHeight="1">
      <c r="A117" s="184" t="s">
        <v>102</v>
      </c>
      <c r="B117" s="184" t="s">
        <v>103</v>
      </c>
      <c r="C117" s="184" t="s">
        <v>131</v>
      </c>
      <c r="D117" s="186">
        <f>'Príloha č. 1a)'!F89+'Príloha č. 1a)'!F90+'Príloha č. 1a)'!F91+'Príloha č. 1a)'!F92+'Príloha č. 1a)'!F93+'Príloha č. 1a)'!F94+'Príloha č. 1a)'!F95+'Príloha č. 1a)'!F96+'Príloha č. 1a)'!F97+'Príloha č. 1a)'!F98+'Príloha č. 1a)'!F99+'Príloha č. 1a)'!F100+'Príloha č. 1a)'!F101+'Príloha č. 1a)'!F102+'Príloha č. 1a)'!F103+'Príloha č. 1a)'!F104+'Príloha č. 1a)'!F105+'Príloha č. 1a)'!F106+'Príloha č. 1a)'!F107+'Príloha č. 1a)'!F108+'Príloha č. 1a)'!F109+'Príloha č. 1a)'!F110</f>
        <v>157</v>
      </c>
      <c r="E117" s="186">
        <f>D117+'Príloha č. 1a)'!I89+'Príloha č. 1a)'!I90+'Príloha č. 1a)'!I91+'Príloha č. 1a)'!I92+'Príloha č. 1a)'!I93+'Príloha č. 1a)'!I94+'Príloha č. 1a)'!I95+'Príloha č. 1a)'!I96+'Príloha č. 1a)'!I97+'Príloha č. 1a)'!I98+'Príloha č. 1a)'!I99+'Príloha č. 1a)'!I100+'Príloha č. 1a)'!I101+'Príloha č. 1a)'!I102+'Príloha č. 1a)'!I103+'Príloha č. 1a)'!I104+'Príloha č. 1a)'!I105+'Príloha č. 1a)'!I106+'Príloha č. 1a)'!I107+'Príloha č. 1a)'!I108+'Príloha č. 1a)'!I109+'Príloha č. 1a)'!I110+'Príloha č. 1a)'!L89+'Príloha č. 1a)'!L90+'Príloha č. 1a)'!L91+'Príloha č. 1a)'!L92+'Príloha č. 1a)'!L93+'Príloha č. 1a)'!L94+'Príloha č. 1a)'!L95+'Príloha č. 1a)'!L96+'Príloha č. 1a)'!L97+'Príloha č. 1a)'!L98+'Príloha č. 1a)'!L99+'Príloha č. 1a)'!L100+'Príloha č. 1a)'!L101+'Príloha č. 1a)'!L102+'Príloha č. 1a)'!L103+'Príloha č. 1a)'!L104+'Príloha č. 1a)'!L105+'Príloha č. 1a)'!L106+'Príloha č. 1a)'!L107+'Príloha č. 1a)'!L108+'Príloha č. 1a)'!L109+'Príloha č. 1a)'!L110</f>
        <v>175</v>
      </c>
      <c r="F117" s="186">
        <f>E117</f>
        <v>175</v>
      </c>
      <c r="G117" s="186">
        <f>F117</f>
        <v>175</v>
      </c>
      <c r="H117" s="186">
        <f>E117</f>
        <v>175</v>
      </c>
      <c r="I117" s="186">
        <f>H117</f>
        <v>175</v>
      </c>
      <c r="J117" s="187"/>
      <c r="K117" s="250"/>
      <c r="L117" s="203" t="s">
        <v>192</v>
      </c>
      <c r="M117" s="100"/>
      <c r="N117" s="100"/>
      <c r="O117" s="100"/>
      <c r="P117" s="100"/>
      <c r="Q117" s="100"/>
      <c r="R117" s="100"/>
      <c r="S117" s="100"/>
      <c r="T117" s="100"/>
      <c r="U117" s="100"/>
      <c r="V117" s="245">
        <f>'Príloha č. 1a)'!L89+'Príloha č. 1a)'!L90+'Príloha č. 1a)'!L91+'Príloha č. 1a)'!L92+'Príloha č. 1a)'!L93+'Príloha č. 1a)'!L94+'Príloha č. 1a)'!L95+'Príloha č. 1a)'!L96+'Príloha č. 1a)'!L99+'Príloha č. 1a)'!L100+'Príloha č. 1a)'!L101+'Príloha č. 1a)'!L102+'Príloha č. 1a)'!L103+'Príloha č. 1a)'!L104+'Príloha č. 1a)'!L105+'Príloha č. 1a)'!L106+'Príloha č. 1a)'!L107+'Príloha č. 1a)'!L108+'Príloha č. 1a)'!L109+'Príloha č. 1a)'!L110</f>
        <v>0</v>
      </c>
    </row>
    <row r="118" spans="1:22" ht="19.5" customHeight="1">
      <c r="A118" s="42"/>
      <c r="B118" s="42"/>
      <c r="C118" s="42" t="s">
        <v>132</v>
      </c>
      <c r="D118" s="188">
        <f>3*'Príloha č. 1c)'!E5*'Príloha č. 1b)'!D117</f>
        <v>13649580</v>
      </c>
      <c r="E118" s="188">
        <f>6*'Príloha č. 1c)'!E6*'Príloha č. 1b)'!E117</f>
        <v>47817000</v>
      </c>
      <c r="F118" s="188">
        <f>D118+E118</f>
        <v>61466580</v>
      </c>
      <c r="G118" s="188">
        <f>E118/2</f>
        <v>23908500</v>
      </c>
      <c r="H118" s="188">
        <f>F118+G118</f>
        <v>85375080</v>
      </c>
      <c r="I118" s="188">
        <f>4*G118</f>
        <v>95634000</v>
      </c>
      <c r="J118" s="216"/>
      <c r="K118" s="250"/>
      <c r="L118" s="204" t="s">
        <v>234</v>
      </c>
      <c r="M118" s="101"/>
      <c r="N118" s="101"/>
      <c r="O118" s="101"/>
      <c r="P118" s="101"/>
      <c r="Q118" s="101"/>
      <c r="R118" s="101"/>
      <c r="S118" s="101"/>
      <c r="T118" s="101"/>
      <c r="U118" s="101"/>
      <c r="V118" s="246">
        <f>H120/(12*'Príloha č. 1c)'!E6)</f>
        <v>111.1590909090909</v>
      </c>
    </row>
    <row r="119" spans="1:22" ht="19.5" customHeight="1">
      <c r="A119" s="42"/>
      <c r="B119" s="42"/>
      <c r="C119" s="42" t="s">
        <v>133</v>
      </c>
      <c r="D119" s="188">
        <f>'Príloha č. 1a)'!F89+'Príloha č. 1a)'!F91+'Príloha č. 1a)'!F93+'Príloha č. 1a)'!F95+'Príloha č. 1a)'!F97+'Príloha č. 1a)'!F99+'Príloha č. 1a)'!F101+'Príloha č. 1a)'!F103+'Príloha č. 1a)'!F105+'Príloha č. 1a)'!F107+'Príloha č. 1a)'!F109</f>
        <v>121</v>
      </c>
      <c r="E119" s="188">
        <f>D119+'Príloha č. 1a)'!I89+'Príloha č. 1a)'!I91+'Príloha č. 1a)'!I93+'Príloha č. 1a)'!I95+'Príloha č. 1a)'!I97+'Príloha č. 1a)'!I99+'Príloha č. 1a)'!I101+'Príloha č. 1a)'!I103+'Príloha č. 1a)'!I105+'Príloha č. 1a)'!I107+'Príloha č. 1a)'!I109+'Príloha č. 1a)'!L89+'Príloha č. 1a)'!L91+'Príloha č. 1a)'!L93+'Príloha č. 1a)'!L95+'Príloha č. 1a)'!L97+'Príloha č. 1a)'!L99+'Príloha č. 1a)'!L101+'Príloha č. 1a)'!L103+'Príloha č. 1a)'!L105+'Príloha č. 1a)'!L107+'Príloha č. 1a)'!L109</f>
        <v>128</v>
      </c>
      <c r="F119" s="188">
        <f>E119</f>
        <v>128</v>
      </c>
      <c r="G119" s="188">
        <f>F119</f>
        <v>128</v>
      </c>
      <c r="H119" s="188">
        <f>E119</f>
        <v>128</v>
      </c>
      <c r="I119" s="188">
        <f>1.5*E119</f>
        <v>192</v>
      </c>
      <c r="J119" s="216"/>
      <c r="K119" s="250"/>
      <c r="L119" s="204" t="s">
        <v>224</v>
      </c>
      <c r="M119" s="101"/>
      <c r="N119" s="101"/>
      <c r="O119" s="101"/>
      <c r="P119" s="101"/>
      <c r="Q119" s="101"/>
      <c r="R119" s="101"/>
      <c r="S119" s="101"/>
      <c r="T119" s="101"/>
      <c r="U119" s="101"/>
      <c r="V119" s="246"/>
    </row>
    <row r="120" spans="1:22" ht="19.5" customHeight="1">
      <c r="A120" s="42"/>
      <c r="B120" s="42"/>
      <c r="C120" s="42" t="s">
        <v>146</v>
      </c>
      <c r="D120" s="188">
        <f>3*'Príloha č. 1c)'!E5*(14+7+6+14+10+10+19+14+18)+3*0.5*'Príloha č. 1c)'!E5*(6+3)</f>
        <v>10128510</v>
      </c>
      <c r="E120" s="188">
        <f>6*'Príloha č. 1c)'!E6*(14+7+6+14+10+10+19+14+18)+6*0.5*'Príloha č. 1c)'!E6*(6+3)+6*'Príloha č. 1c)'!E6*(1+1+5)</f>
        <v>33745140</v>
      </c>
      <c r="F120" s="188">
        <f>D120+E120</f>
        <v>43873650</v>
      </c>
      <c r="G120" s="188">
        <f>E120/2</f>
        <v>16872570</v>
      </c>
      <c r="H120" s="188">
        <f>F120+G120</f>
        <v>60746220</v>
      </c>
      <c r="I120" s="188">
        <f>4*G120</f>
        <v>67490280</v>
      </c>
      <c r="J120" s="216"/>
      <c r="K120" s="250"/>
      <c r="L120" s="204" t="s">
        <v>193</v>
      </c>
      <c r="M120" s="101"/>
      <c r="N120" s="101"/>
      <c r="O120" s="101"/>
      <c r="P120" s="101"/>
      <c r="Q120" s="101"/>
      <c r="R120" s="101"/>
      <c r="S120" s="101"/>
      <c r="T120" s="101"/>
      <c r="U120" s="101"/>
      <c r="V120" s="246">
        <f>V118-V117</f>
        <v>111.1590909090909</v>
      </c>
    </row>
    <row r="121" spans="1:22" ht="19.5" customHeight="1">
      <c r="A121" s="42"/>
      <c r="B121" s="42"/>
      <c r="C121" s="42" t="s">
        <v>134</v>
      </c>
      <c r="D121" s="206">
        <f>0.75*D120</f>
        <v>7596382.5</v>
      </c>
      <c r="E121" s="206">
        <f>0.75*'Príloha č. 1b)'!E120</f>
        <v>25308855</v>
      </c>
      <c r="F121" s="206">
        <f>D121+E121</f>
        <v>32905237.5</v>
      </c>
      <c r="G121" s="206">
        <f>E121/2</f>
        <v>12654427.5</v>
      </c>
      <c r="H121" s="211">
        <f>F121+G121</f>
        <v>45559665</v>
      </c>
      <c r="I121" s="211">
        <f>4*G121</f>
        <v>50617710</v>
      </c>
      <c r="J121" s="221"/>
      <c r="K121" s="250"/>
      <c r="L121" s="201" t="s">
        <v>253</v>
      </c>
      <c r="V121" s="246"/>
    </row>
    <row r="122" spans="1:22" ht="19.5" customHeight="1">
      <c r="A122" s="26"/>
      <c r="B122" s="26"/>
      <c r="C122" s="26"/>
      <c r="D122" s="239"/>
      <c r="E122" s="239"/>
      <c r="F122" s="239"/>
      <c r="G122" s="239"/>
      <c r="H122" s="240"/>
      <c r="I122" s="240"/>
      <c r="J122" s="241"/>
      <c r="K122" s="250"/>
      <c r="L122" s="205"/>
      <c r="V122" s="246"/>
    </row>
    <row r="123" spans="1:22" ht="19.5" customHeight="1">
      <c r="A123" s="227"/>
      <c r="B123" s="228"/>
      <c r="C123" s="228"/>
      <c r="D123" s="242"/>
      <c r="E123" s="242"/>
      <c r="F123" s="242"/>
      <c r="G123" s="242"/>
      <c r="H123" s="242"/>
      <c r="I123" s="242"/>
      <c r="J123" s="243"/>
      <c r="K123" s="265"/>
      <c r="L123" s="228"/>
      <c r="M123" s="228"/>
      <c r="N123" s="228"/>
      <c r="O123" s="228"/>
      <c r="P123" s="228"/>
      <c r="Q123" s="228"/>
      <c r="R123" s="228"/>
      <c r="S123" s="228"/>
      <c r="T123" s="228"/>
      <c r="U123" s="228"/>
      <c r="V123" s="267"/>
    </row>
    <row r="124" spans="1:22" ht="19.5" customHeight="1">
      <c r="A124" s="68"/>
      <c r="B124" s="229"/>
      <c r="C124" s="229"/>
      <c r="D124" s="230"/>
      <c r="E124" s="230"/>
      <c r="F124" s="230"/>
      <c r="G124" s="230"/>
      <c r="H124" s="230"/>
      <c r="I124" s="230"/>
      <c r="J124" s="244"/>
      <c r="K124" s="253"/>
      <c r="L124" s="229"/>
      <c r="M124" s="229"/>
      <c r="N124" s="229"/>
      <c r="O124" s="229"/>
      <c r="P124" s="229"/>
      <c r="Q124" s="229"/>
      <c r="R124" s="229"/>
      <c r="S124" s="229"/>
      <c r="T124" s="229"/>
      <c r="U124" s="229"/>
      <c r="V124" s="266"/>
    </row>
    <row r="125" spans="1:22" ht="19.5" customHeight="1">
      <c r="A125" s="203" t="s">
        <v>226</v>
      </c>
      <c r="B125" s="219" t="s">
        <v>227</v>
      </c>
      <c r="C125" s="184" t="s">
        <v>146</v>
      </c>
      <c r="D125" s="185">
        <f>D28+D35+D42+D49+D68+D85+D102+D120</f>
        <v>38332715.4</v>
      </c>
      <c r="E125" s="185">
        <f>E28+E35+E42+E49+E68+E85+E102+E120</f>
        <v>183810535.2</v>
      </c>
      <c r="F125" s="185">
        <f>D125+E125</f>
        <v>222143250.6</v>
      </c>
      <c r="G125" s="185">
        <f>E125/2</f>
        <v>91905267.6</v>
      </c>
      <c r="H125" s="185">
        <f>H28+H35+H42+H49+H68+H85+H102+H120</f>
        <v>314048518.2</v>
      </c>
      <c r="I125" s="186">
        <f>I28+I35+I42+I49+I68+I85+I102+I120</f>
        <v>367621070.4</v>
      </c>
      <c r="J125" s="192"/>
      <c r="K125" s="251"/>
      <c r="L125" s="204"/>
      <c r="M125" s="101"/>
      <c r="N125" s="101"/>
      <c r="O125" s="101"/>
      <c r="P125" s="101"/>
      <c r="Q125" s="101"/>
      <c r="R125" s="101"/>
      <c r="S125" s="101"/>
      <c r="T125" s="101"/>
      <c r="U125" s="101"/>
      <c r="V125" s="234"/>
    </row>
    <row r="126" spans="1:22" ht="19.5" customHeight="1">
      <c r="A126" s="204" t="s">
        <v>228</v>
      </c>
      <c r="B126" s="220"/>
      <c r="C126" s="26" t="s">
        <v>134</v>
      </c>
      <c r="D126" s="196">
        <f>D29+D36+D43+D50+D69+D86+D103+D121</f>
        <v>28294840.35</v>
      </c>
      <c r="E126" s="196">
        <f>E29+E36+E43+E50+E69+E86+E103+E121</f>
        <v>134064305.55</v>
      </c>
      <c r="F126" s="196">
        <f>D126+E126</f>
        <v>162359145.9</v>
      </c>
      <c r="G126" s="196">
        <f>E126/2</f>
        <v>67032152.775</v>
      </c>
      <c r="H126" s="197">
        <f>H29+H36+H43+H50+H69+H86+H103+H121</f>
        <v>229391298.675</v>
      </c>
      <c r="I126" s="197">
        <f>I29+I36+I43+I50+I69+I86+I103+I121</f>
        <v>268128611.1</v>
      </c>
      <c r="J126" s="199"/>
      <c r="K126" s="254"/>
      <c r="L126" s="205"/>
      <c r="M126" s="226"/>
      <c r="N126" s="226"/>
      <c r="O126" s="226"/>
      <c r="P126" s="226"/>
      <c r="Q126" s="226"/>
      <c r="R126" s="226"/>
      <c r="S126" s="226"/>
      <c r="T126" s="226"/>
      <c r="U126" s="226"/>
      <c r="V126" s="236"/>
    </row>
    <row r="127" spans="1:8" ht="19.5" customHeight="1">
      <c r="A127" s="100"/>
      <c r="B127" s="100"/>
      <c r="H127" s="147"/>
    </row>
    <row r="128" spans="1:12" ht="19.5" customHeight="1">
      <c r="A128" t="s">
        <v>342</v>
      </c>
      <c r="H128" s="147"/>
      <c r="L128" t="s">
        <v>247</v>
      </c>
    </row>
    <row r="129" spans="1:12" ht="19.5" customHeight="1">
      <c r="A129" t="s">
        <v>216</v>
      </c>
      <c r="L129" t="s">
        <v>248</v>
      </c>
    </row>
    <row r="130" spans="1:21" ht="19.5" customHeight="1">
      <c r="A130" t="s">
        <v>278</v>
      </c>
      <c r="L130" s="298" t="s">
        <v>292</v>
      </c>
      <c r="M130" s="202"/>
      <c r="N130" s="202"/>
      <c r="O130" s="202"/>
      <c r="P130" s="202"/>
      <c r="Q130" s="202"/>
      <c r="R130" s="202"/>
      <c r="S130" s="202"/>
      <c r="T130" s="202"/>
      <c r="U130" s="202"/>
    </row>
    <row r="131" spans="1:21" ht="19.5" customHeight="1">
      <c r="A131" t="s">
        <v>215</v>
      </c>
      <c r="L131" s="202" t="s">
        <v>293</v>
      </c>
      <c r="M131" s="202"/>
      <c r="N131" s="202"/>
      <c r="O131" s="272"/>
      <c r="P131" s="202"/>
      <c r="Q131" s="202"/>
      <c r="R131" s="272"/>
      <c r="S131" s="202"/>
      <c r="T131" s="202"/>
      <c r="U131" s="202"/>
    </row>
    <row r="132" spans="1:21" ht="19.5" customHeight="1">
      <c r="A132" t="s">
        <v>222</v>
      </c>
      <c r="L132" s="298" t="s">
        <v>295</v>
      </c>
      <c r="M132" s="202"/>
      <c r="N132" s="202"/>
      <c r="O132" s="262"/>
      <c r="P132" s="202"/>
      <c r="Q132" s="202"/>
      <c r="R132" s="202"/>
      <c r="S132" s="202"/>
      <c r="T132" s="202"/>
      <c r="U132" s="202"/>
    </row>
    <row r="133" spans="1:15" ht="19.5" customHeight="1">
      <c r="A133" t="s">
        <v>271</v>
      </c>
      <c r="L133" s="122" t="s">
        <v>331</v>
      </c>
      <c r="N133" s="264"/>
      <c r="O133" s="269"/>
    </row>
    <row r="134" spans="1:22" ht="19.5" customHeight="1">
      <c r="A134" t="s">
        <v>238</v>
      </c>
      <c r="L134" s="202" t="s">
        <v>249</v>
      </c>
      <c r="M134" s="202"/>
      <c r="N134" s="202"/>
      <c r="T134" s="202"/>
      <c r="U134" s="202"/>
      <c r="V134"/>
    </row>
    <row r="135" spans="1:22" ht="19.5" customHeight="1">
      <c r="A135" t="s">
        <v>329</v>
      </c>
      <c r="L135" s="202" t="s">
        <v>250</v>
      </c>
      <c r="M135" s="202"/>
      <c r="N135" s="202"/>
      <c r="O135" s="272">
        <f>'Príloha č. 1c)'!G19</f>
        <v>30333735.603431765</v>
      </c>
      <c r="P135" s="202" t="s">
        <v>218</v>
      </c>
      <c r="Q135" s="202" t="s">
        <v>214</v>
      </c>
      <c r="R135" s="272">
        <f>1/0.75*O135</f>
        <v>40444980.80457568</v>
      </c>
      <c r="S135" s="202" t="s">
        <v>217</v>
      </c>
      <c r="T135" s="202"/>
      <c r="U135" s="202"/>
      <c r="V135"/>
    </row>
    <row r="136" spans="12:18" ht="19.5" customHeight="1">
      <c r="L136" s="202" t="s">
        <v>219</v>
      </c>
      <c r="O136" s="262">
        <f>R135/(12*'Príloha č. 1c)'!E6)</f>
        <v>74.00999268880047</v>
      </c>
      <c r="P136" s="202" t="s">
        <v>252</v>
      </c>
      <c r="R136" s="269" t="s">
        <v>317</v>
      </c>
    </row>
    <row r="137" spans="1:12" ht="19.5" customHeight="1">
      <c r="A137" s="102" t="s">
        <v>172</v>
      </c>
      <c r="L137" s="268" t="s">
        <v>336</v>
      </c>
    </row>
    <row r="138" spans="1:22" ht="19.5" customHeight="1">
      <c r="A138" s="120"/>
      <c r="B138" t="s">
        <v>272</v>
      </c>
      <c r="L138" s="122" t="s">
        <v>251</v>
      </c>
      <c r="M138" s="202"/>
      <c r="N138" s="202"/>
      <c r="O138" s="202"/>
      <c r="P138" s="202"/>
      <c r="Q138" s="202"/>
      <c r="R138" s="202"/>
      <c r="S138" s="202"/>
      <c r="T138" s="202"/>
      <c r="U138" s="202"/>
      <c r="V138"/>
    </row>
    <row r="139" spans="1:22" ht="19.5" customHeight="1">
      <c r="A139" s="121"/>
      <c r="B139" t="s">
        <v>273</v>
      </c>
      <c r="L139" s="202" t="s">
        <v>249</v>
      </c>
      <c r="M139" s="202"/>
      <c r="N139" s="202"/>
      <c r="T139" s="202"/>
      <c r="U139" s="202"/>
      <c r="V139"/>
    </row>
    <row r="140" spans="1:22" ht="19.5" customHeight="1">
      <c r="A140" s="103"/>
      <c r="B140" t="s">
        <v>274</v>
      </c>
      <c r="L140" s="202" t="s">
        <v>250</v>
      </c>
      <c r="M140" s="202"/>
      <c r="N140" s="202"/>
      <c r="O140" s="272">
        <f>'Príloha č. 1c)'!G11</f>
        <v>48164253.35333333</v>
      </c>
      <c r="P140" s="202" t="s">
        <v>218</v>
      </c>
      <c r="Q140" s="202" t="s">
        <v>214</v>
      </c>
      <c r="R140" s="272">
        <f>1/0.75*O140</f>
        <v>64219004.471111104</v>
      </c>
      <c r="S140" s="202" t="s">
        <v>217</v>
      </c>
      <c r="T140" s="202"/>
      <c r="U140" s="202"/>
      <c r="V140"/>
    </row>
    <row r="141" spans="12:18" ht="19.5" customHeight="1">
      <c r="L141" s="202" t="s">
        <v>219</v>
      </c>
      <c r="O141" s="262">
        <f>R140/(12*'Príloha č. 1c)'!E6)</f>
        <v>117.51391536947574</v>
      </c>
      <c r="P141" s="202" t="s">
        <v>252</v>
      </c>
      <c r="R141" s="269" t="s">
        <v>280</v>
      </c>
    </row>
    <row r="142" spans="12:18" ht="19.5" customHeight="1">
      <c r="L142" s="122" t="s">
        <v>318</v>
      </c>
      <c r="M142" s="202"/>
      <c r="N142" s="202"/>
      <c r="O142" s="202"/>
      <c r="P142" s="202"/>
      <c r="Q142" s="202"/>
      <c r="R142" s="202"/>
    </row>
    <row r="143" spans="12:14" ht="19.5" customHeight="1">
      <c r="L143" s="202" t="s">
        <v>249</v>
      </c>
      <c r="M143" s="202"/>
      <c r="N143" s="202"/>
    </row>
    <row r="144" spans="12:18" ht="19.5" customHeight="1">
      <c r="L144" s="202" t="s">
        <v>250</v>
      </c>
      <c r="M144" s="202"/>
      <c r="N144" s="202"/>
      <c r="O144" s="272">
        <f>'Príloha č. 1c)'!G21</f>
        <v>56850049.78</v>
      </c>
      <c r="P144" s="202" t="s">
        <v>218</v>
      </c>
      <c r="Q144" s="202" t="s">
        <v>214</v>
      </c>
      <c r="R144" s="272">
        <f>1/0.75*O144</f>
        <v>75800066.37333333</v>
      </c>
    </row>
    <row r="145" spans="12:18" ht="19.5" customHeight="1">
      <c r="L145" s="202" t="s">
        <v>219</v>
      </c>
      <c r="O145" s="262">
        <f>R144/(12*'Príloha č. 1c)'!E6)</f>
        <v>138.70602103157177</v>
      </c>
      <c r="P145" s="202" t="s">
        <v>252</v>
      </c>
      <c r="R145" s="269" t="s">
        <v>319</v>
      </c>
    </row>
    <row r="146" spans="12:19" ht="19.5" customHeight="1">
      <c r="L146" s="268" t="s">
        <v>322</v>
      </c>
      <c r="M146" s="268"/>
      <c r="N146" s="268"/>
      <c r="O146" s="268"/>
      <c r="P146" s="268"/>
      <c r="Q146" s="268"/>
      <c r="R146" s="268"/>
      <c r="S146" s="268"/>
    </row>
    <row r="147" ht="19.5" customHeight="1">
      <c r="L147" s="305" t="s">
        <v>256</v>
      </c>
    </row>
    <row r="148" spans="12:16" ht="19.5" customHeight="1">
      <c r="L148" s="274" t="s">
        <v>258</v>
      </c>
      <c r="M148" s="275"/>
      <c r="N148" s="275"/>
      <c r="O148" s="276">
        <v>2004</v>
      </c>
      <c r="P148" s="276" t="s">
        <v>257</v>
      </c>
    </row>
    <row r="149" spans="12:16" ht="19.5" customHeight="1">
      <c r="L149" s="203" t="s">
        <v>146</v>
      </c>
      <c r="M149" s="100"/>
      <c r="N149" s="219"/>
      <c r="O149" s="277">
        <f>O153+H35+H42+H49+H85+H102+R140+O161</f>
        <v>315180189.8490201</v>
      </c>
      <c r="P149" s="186">
        <f>P153+I35+I42+I49+I85+I102+R140+P161</f>
        <v>339056522.0490201</v>
      </c>
    </row>
    <row r="150" spans="12:16" ht="19.5" customHeight="1">
      <c r="L150" s="205" t="s">
        <v>134</v>
      </c>
      <c r="M150" s="226"/>
      <c r="N150" s="273"/>
      <c r="O150" s="278">
        <f>O154+H36+H43+H50+H86+H103+O140+O162</f>
        <v>230240052.4117651</v>
      </c>
      <c r="P150" s="197">
        <f>P154+I36+I43+I50+I86+I103+O140+P162</f>
        <v>246705199.83676508</v>
      </c>
    </row>
    <row r="151" ht="19.5" customHeight="1">
      <c r="R151" s="148"/>
    </row>
    <row r="152" spans="12:20" ht="19.5" customHeight="1">
      <c r="L152" s="274" t="s">
        <v>6</v>
      </c>
      <c r="M152" s="275"/>
      <c r="N152" s="275"/>
      <c r="O152" s="276">
        <v>2004</v>
      </c>
      <c r="P152" s="276" t="s">
        <v>257</v>
      </c>
      <c r="R152" t="s">
        <v>320</v>
      </c>
      <c r="T152" t="s">
        <v>332</v>
      </c>
    </row>
    <row r="153" spans="12:22" ht="19.5" customHeight="1">
      <c r="L153" s="203" t="s">
        <v>146</v>
      </c>
      <c r="M153" s="100"/>
      <c r="N153" s="219"/>
      <c r="O153" s="279">
        <f>H8+R153+H23+V153</f>
        <v>65682420.804575674</v>
      </c>
      <c r="P153" s="281">
        <f>I8+R153+I23+V153</f>
        <v>70501380.80457568</v>
      </c>
      <c r="R153" s="148">
        <f>12*7*'Príloha č. 1c)'!E6</f>
        <v>3825360</v>
      </c>
      <c r="V153" s="306">
        <f>12*O136*'Príloha č. 1c)'!E6</f>
        <v>40444980.804575674</v>
      </c>
    </row>
    <row r="154" spans="12:22" ht="19.5" customHeight="1">
      <c r="L154" s="205" t="s">
        <v>134</v>
      </c>
      <c r="M154" s="226"/>
      <c r="N154" s="273"/>
      <c r="O154" s="280">
        <f>H9+R154+H24+V154</f>
        <v>46138185.603431754</v>
      </c>
      <c r="P154" s="282">
        <f>I9+R154+I24+V154</f>
        <v>48914055.603431754</v>
      </c>
      <c r="R154" s="148">
        <f>0.75*R153</f>
        <v>2869020</v>
      </c>
      <c r="V154" s="306">
        <f>0.75*V153</f>
        <v>30333735.603431754</v>
      </c>
    </row>
    <row r="155" ht="19.5" customHeight="1"/>
    <row r="156" spans="12:16" ht="19.5" customHeight="1">
      <c r="L156" s="274" t="s">
        <v>102</v>
      </c>
      <c r="M156" s="275"/>
      <c r="N156" s="275"/>
      <c r="O156" s="276">
        <v>2004</v>
      </c>
      <c r="P156" s="276" t="s">
        <v>257</v>
      </c>
    </row>
    <row r="157" spans="12:16" ht="19.5" customHeight="1">
      <c r="L157" s="203" t="s">
        <v>146</v>
      </c>
      <c r="M157" s="100"/>
      <c r="N157" s="100"/>
      <c r="O157" s="279">
        <f>R140</f>
        <v>64219004.471111104</v>
      </c>
      <c r="P157" s="281">
        <f>R140</f>
        <v>64219004.471111104</v>
      </c>
    </row>
    <row r="158" spans="12:16" ht="19.5" customHeight="1">
      <c r="L158" s="205" t="s">
        <v>134</v>
      </c>
      <c r="M158" s="226"/>
      <c r="N158" s="226"/>
      <c r="O158" s="280">
        <f>O140</f>
        <v>48164253.35333333</v>
      </c>
      <c r="P158" s="282">
        <f>O140</f>
        <v>48164253.35333333</v>
      </c>
    </row>
    <row r="159" ht="19.5" customHeight="1"/>
    <row r="160" spans="12:16" ht="19.5" customHeight="1">
      <c r="L160" s="274" t="s">
        <v>27</v>
      </c>
      <c r="M160" s="275"/>
      <c r="N160" s="275"/>
      <c r="O160" s="276">
        <v>2004</v>
      </c>
      <c r="P160" s="276" t="s">
        <v>257</v>
      </c>
    </row>
    <row r="161" spans="12:16" ht="19.5" customHeight="1">
      <c r="L161" s="203" t="s">
        <v>146</v>
      </c>
      <c r="M161" s="100"/>
      <c r="N161" s="100"/>
      <c r="O161" s="279">
        <f>R144</f>
        <v>75800066.37333333</v>
      </c>
      <c r="P161" s="281">
        <f>R144</f>
        <v>75800066.37333333</v>
      </c>
    </row>
    <row r="162" spans="12:16" ht="19.5" customHeight="1">
      <c r="L162" s="205" t="s">
        <v>134</v>
      </c>
      <c r="M162" s="226"/>
      <c r="N162" s="226"/>
      <c r="O162" s="280">
        <f>O144</f>
        <v>56850049.78</v>
      </c>
      <c r="P162" s="282">
        <f>O144</f>
        <v>56850049.78</v>
      </c>
    </row>
    <row r="163" ht="19.5" customHeight="1"/>
    <row r="164" ht="19.5" customHeight="1">
      <c r="L164" t="s">
        <v>321</v>
      </c>
    </row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</sheetData>
  <mergeCells count="12">
    <mergeCell ref="F3:F4"/>
    <mergeCell ref="G3:G4"/>
    <mergeCell ref="A59:A63"/>
    <mergeCell ref="A53:A54"/>
    <mergeCell ref="L3:V4"/>
    <mergeCell ref="A3:A4"/>
    <mergeCell ref="B3:B4"/>
    <mergeCell ref="D3:D4"/>
    <mergeCell ref="E3:E4"/>
    <mergeCell ref="H3:H4"/>
    <mergeCell ref="I3:I4"/>
    <mergeCell ref="J3:J4"/>
  </mergeCells>
  <printOptions/>
  <pageMargins left="0.75" right="0.75" top="0.67" bottom="0.49" header="0.4921259845" footer="0.3"/>
  <pageSetup fitToHeight="4" fitToWidth="1" horizontalDpi="600" verticalDpi="600" orientation="landscape" paperSize="9" scale="36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"/>
  <sheetViews>
    <sheetView tabSelected="1" workbookViewId="0" topLeftCell="A34">
      <selection activeCell="A50" sqref="A50"/>
    </sheetView>
  </sheetViews>
  <sheetFormatPr defaultColWidth="9.00390625" defaultRowHeight="12.75"/>
  <cols>
    <col min="1" max="1" width="37.875" style="0" customWidth="1"/>
    <col min="2" max="12" width="20.75390625" style="0" customWidth="1"/>
    <col min="13" max="13" width="5.75390625" style="0" customWidth="1"/>
  </cols>
  <sheetData>
    <row r="1" ht="12.75">
      <c r="A1" s="23" t="s">
        <v>343</v>
      </c>
    </row>
    <row r="2" s="125" customFormat="1" ht="12.75">
      <c r="A2" s="125" t="s">
        <v>344</v>
      </c>
    </row>
    <row r="3" spans="1:5" ht="19.5" customHeight="1">
      <c r="A3" s="334" t="s">
        <v>2</v>
      </c>
      <c r="B3" s="337" t="s">
        <v>279</v>
      </c>
      <c r="C3" s="335"/>
      <c r="D3" s="334" t="s">
        <v>225</v>
      </c>
      <c r="E3" s="337" t="s">
        <v>277</v>
      </c>
    </row>
    <row r="4" spans="1:5" ht="19.5" customHeight="1">
      <c r="A4" s="335"/>
      <c r="B4" s="335"/>
      <c r="C4" s="335"/>
      <c r="D4" s="335"/>
      <c r="E4" s="335"/>
    </row>
    <row r="5" spans="1:6" ht="19.5" customHeight="1">
      <c r="A5" s="307" t="s">
        <v>323</v>
      </c>
      <c r="B5" s="338">
        <v>21000</v>
      </c>
      <c r="C5" s="314"/>
      <c r="D5" s="309">
        <f>0.38*B5</f>
        <v>7980</v>
      </c>
      <c r="E5" s="310">
        <f>B5+D5</f>
        <v>28980</v>
      </c>
      <c r="F5" s="148"/>
    </row>
    <row r="6" spans="1:5" ht="19.5" customHeight="1">
      <c r="A6" s="98" t="s">
        <v>324</v>
      </c>
      <c r="B6" s="336">
        <v>33000</v>
      </c>
      <c r="C6" s="336"/>
      <c r="D6" s="140">
        <f>0.38*B6</f>
        <v>12540</v>
      </c>
      <c r="E6" s="140">
        <f>B6+D6</f>
        <v>45540</v>
      </c>
    </row>
    <row r="7" spans="1:5" s="102" customFormat="1" ht="20.25" customHeight="1">
      <c r="A7" s="99" t="s">
        <v>303</v>
      </c>
      <c r="B7" s="289"/>
      <c r="C7" s="289"/>
      <c r="D7" s="289"/>
      <c r="E7" s="289"/>
    </row>
    <row r="8" ht="19.5" customHeight="1"/>
    <row r="9" s="125" customFormat="1" ht="19.5" customHeight="1">
      <c r="A9" s="125" t="s">
        <v>345</v>
      </c>
    </row>
    <row r="10" spans="1:18" s="6" customFormat="1" ht="60" customHeight="1">
      <c r="A10" s="150" t="s">
        <v>255</v>
      </c>
      <c r="B10" s="151" t="s">
        <v>180</v>
      </c>
      <c r="C10" s="151" t="s">
        <v>182</v>
      </c>
      <c r="D10" s="151" t="s">
        <v>254</v>
      </c>
      <c r="E10" s="152" t="s">
        <v>199</v>
      </c>
      <c r="F10" s="153" t="s">
        <v>229</v>
      </c>
      <c r="G10" s="154" t="s">
        <v>230</v>
      </c>
      <c r="H10" s="155" t="s">
        <v>231</v>
      </c>
      <c r="I10" s="154" t="s">
        <v>185</v>
      </c>
      <c r="J10" s="155" t="s">
        <v>232</v>
      </c>
      <c r="K10" s="154" t="s">
        <v>186</v>
      </c>
      <c r="L10" s="155" t="s">
        <v>233</v>
      </c>
      <c r="M10"/>
      <c r="N10"/>
      <c r="O10"/>
      <c r="P10"/>
      <c r="Q10"/>
      <c r="R10"/>
    </row>
    <row r="11" spans="1:12" ht="19.5" customHeight="1">
      <c r="A11" s="157" t="s">
        <v>176</v>
      </c>
      <c r="B11" s="164">
        <f>'Príloha č. 1b)'!D117</f>
        <v>157</v>
      </c>
      <c r="C11" s="164">
        <f>'Príloha č. 1b)'!E117</f>
        <v>175</v>
      </c>
      <c r="D11" s="164">
        <f>151210683*41</f>
        <v>6199638003</v>
      </c>
      <c r="E11" s="166">
        <f>10584748*41</f>
        <v>433974668</v>
      </c>
      <c r="F11" s="164">
        <f>41*(100000000*0.025+51210683*0.02)</f>
        <v>144492760.06</v>
      </c>
      <c r="G11" s="167">
        <f>F11/3</f>
        <v>48164253.35333333</v>
      </c>
      <c r="H11" s="167">
        <f>G11-'Príloha č. 1b)'!H121</f>
        <v>2604588.3533333316</v>
      </c>
      <c r="I11" s="167">
        <f>G11</f>
        <v>48164253.35333333</v>
      </c>
      <c r="J11" s="308">
        <f>I11-'Príloha č. 1b)'!I121</f>
        <v>-2453456.6466666684</v>
      </c>
      <c r="K11" s="167">
        <f>I11</f>
        <v>48164253.35333333</v>
      </c>
      <c r="L11" s="308">
        <f>J11</f>
        <v>-2453456.6466666684</v>
      </c>
    </row>
    <row r="12" spans="1:12" ht="19.5" customHeight="1">
      <c r="A12" s="158" t="s">
        <v>102</v>
      </c>
      <c r="B12" s="165"/>
      <c r="C12" s="165"/>
      <c r="D12" s="165"/>
      <c r="E12" s="168"/>
      <c r="F12" s="165"/>
      <c r="G12" s="169"/>
      <c r="H12" s="169"/>
      <c r="I12" s="169"/>
      <c r="J12" s="169"/>
      <c r="K12" s="169"/>
      <c r="L12" s="169"/>
    </row>
    <row r="13" spans="1:12" s="102" customFormat="1" ht="19.5" customHeight="1">
      <c r="A13" s="157" t="s">
        <v>177</v>
      </c>
      <c r="B13" s="170">
        <f>'Príloha č. 1b)'!D106</f>
        <v>34</v>
      </c>
      <c r="C13" s="170">
        <f>'Príloha č. 1b)'!E106</f>
        <v>91</v>
      </c>
      <c r="D13" s="170">
        <f>284480923*41</f>
        <v>11663717843</v>
      </c>
      <c r="E13" s="166">
        <f>8534428*41</f>
        <v>349911548</v>
      </c>
      <c r="F13" s="170">
        <f>41*(100000000*0.025+184480923*0.02)</f>
        <v>253774356.85999998</v>
      </c>
      <c r="G13" s="171">
        <f>F13/3</f>
        <v>84591452.28666666</v>
      </c>
      <c r="H13" s="171">
        <f>G13-'Príloha č. 1b)'!H110</f>
        <v>60157136.06166666</v>
      </c>
      <c r="I13" s="171">
        <f>G13</f>
        <v>84591452.28666666</v>
      </c>
      <c r="J13" s="171">
        <f>I13-'Príloha č. 1b)'!I110</f>
        <v>54345833.58666666</v>
      </c>
      <c r="K13" s="171">
        <f>I13</f>
        <v>84591452.28666666</v>
      </c>
      <c r="L13" s="171">
        <f>J13</f>
        <v>54345833.58666666</v>
      </c>
    </row>
    <row r="14" spans="1:12" ht="19.5" customHeight="1">
      <c r="A14" s="159" t="s">
        <v>136</v>
      </c>
      <c r="B14" s="172">
        <f>'Príloha č. 1b)'!D72</f>
        <v>21</v>
      </c>
      <c r="C14" s="172">
        <f>'Príloha č. 1b)'!E72</f>
        <v>45</v>
      </c>
      <c r="D14" s="173"/>
      <c r="E14" s="174"/>
      <c r="F14" s="173"/>
      <c r="G14" s="175"/>
      <c r="H14" s="175"/>
      <c r="I14" s="175"/>
      <c r="J14" s="175"/>
      <c r="K14" s="175"/>
      <c r="L14" s="175"/>
    </row>
    <row r="15" spans="1:12" ht="19.5" customHeight="1">
      <c r="A15" s="158" t="s">
        <v>51</v>
      </c>
      <c r="B15" s="176">
        <f>'Príloha č. 1b)'!D89</f>
        <v>13</v>
      </c>
      <c r="C15" s="176">
        <f>'Príloha č. 1b)'!E89</f>
        <v>46</v>
      </c>
      <c r="D15" s="165"/>
      <c r="E15" s="169"/>
      <c r="F15" s="165"/>
      <c r="G15" s="169"/>
      <c r="H15" s="169"/>
      <c r="I15" s="169"/>
      <c r="J15" s="169"/>
      <c r="K15" s="169"/>
      <c r="L15" s="169"/>
    </row>
    <row r="16" spans="1:12" s="102" customFormat="1" ht="19.5" customHeight="1">
      <c r="A16" s="157" t="s">
        <v>178</v>
      </c>
      <c r="B16" s="171">
        <f>'Príloha č. 1b)'!D59</f>
        <v>200</v>
      </c>
      <c r="C16" s="171">
        <f>'Príloha č. 1b)'!E59</f>
        <v>305</v>
      </c>
      <c r="D16" s="170">
        <f>422363452*41</f>
        <v>17316901532</v>
      </c>
      <c r="E16" s="166">
        <f>24589823*41</f>
        <v>1008182743</v>
      </c>
      <c r="F16" s="170">
        <f>41*(100000000*0.025+322363452*0.02)</f>
        <v>366838030.64</v>
      </c>
      <c r="G16" s="171">
        <f aca="true" t="shared" si="0" ref="G16:G21">F16/3</f>
        <v>122279343.54666667</v>
      </c>
      <c r="H16" s="171">
        <f>G16-'Príloha č. 1b)'!H63</f>
        <v>38020511.04666667</v>
      </c>
      <c r="I16" s="171">
        <f aca="true" t="shared" si="1" ref="I16:I21">G16</f>
        <v>122279343.54666667</v>
      </c>
      <c r="J16" s="171">
        <f>I16-'Príloha č. 1b)'!I63</f>
        <v>23553384.546666667</v>
      </c>
      <c r="K16" s="171">
        <f aca="true" t="shared" si="2" ref="K16:L21">I16</f>
        <v>122279343.54666667</v>
      </c>
      <c r="L16" s="171">
        <f t="shared" si="2"/>
        <v>23553384.546666667</v>
      </c>
    </row>
    <row r="17" spans="1:12" s="102" customFormat="1" ht="19.5" customHeight="1">
      <c r="A17" s="160" t="s">
        <v>316</v>
      </c>
      <c r="B17" s="177">
        <f>'Príloha č. 1b)'!D32</f>
        <v>62</v>
      </c>
      <c r="C17" s="177">
        <f>'Príloha č. 1b)'!E32</f>
        <v>76</v>
      </c>
      <c r="D17" s="178"/>
      <c r="E17" s="179">
        <f aca="true" t="shared" si="3" ref="E17:F19">B37</f>
        <v>197446625.5905273</v>
      </c>
      <c r="F17" s="180">
        <f t="shared" si="3"/>
        <v>71843058.00812785</v>
      </c>
      <c r="G17" s="181">
        <f t="shared" si="0"/>
        <v>23947686.002709284</v>
      </c>
      <c r="H17" s="181">
        <f>G17-'Príloha č. 1b)'!H36</f>
        <v>7818763.502709284</v>
      </c>
      <c r="I17" s="181">
        <f t="shared" si="1"/>
        <v>23947686.002709284</v>
      </c>
      <c r="J17" s="181">
        <f>I17-'Príloha č. 1b)'!I36</f>
        <v>7050276.002709284</v>
      </c>
      <c r="K17" s="181">
        <f t="shared" si="2"/>
        <v>23947686.002709284</v>
      </c>
      <c r="L17" s="181">
        <f t="shared" si="2"/>
        <v>7050276.002709284</v>
      </c>
    </row>
    <row r="18" spans="1:12" s="102" customFormat="1" ht="19.5" customHeight="1">
      <c r="A18" s="160" t="s">
        <v>138</v>
      </c>
      <c r="B18" s="181">
        <f>'Príloha č. 1b)'!D39</f>
        <v>31</v>
      </c>
      <c r="C18" s="181">
        <f>'Príloha č. 1b)'!E39</f>
        <v>60</v>
      </c>
      <c r="D18" s="178"/>
      <c r="E18" s="179">
        <f t="shared" si="3"/>
        <v>249820965.24247473</v>
      </c>
      <c r="F18" s="180">
        <f t="shared" si="3"/>
        <v>90900019.40465006</v>
      </c>
      <c r="G18" s="181">
        <f t="shared" si="0"/>
        <v>30300006.468216687</v>
      </c>
      <c r="H18" s="181">
        <f>G18-'Príloha č. 1b)'!H43</f>
        <v>10105086.468216687</v>
      </c>
      <c r="I18" s="181">
        <f t="shared" si="1"/>
        <v>30300006.468216687</v>
      </c>
      <c r="J18" s="181">
        <f>I18-'Príloha č. 1b)'!I43</f>
        <v>5503476.468216687</v>
      </c>
      <c r="K18" s="181">
        <f t="shared" si="2"/>
        <v>30300006.468216687</v>
      </c>
      <c r="L18" s="181">
        <f t="shared" si="2"/>
        <v>5503476.468216687</v>
      </c>
    </row>
    <row r="19" spans="1:12" ht="19.5" customHeight="1">
      <c r="A19" s="159" t="s">
        <v>181</v>
      </c>
      <c r="B19" s="172">
        <f>'Príloha č. 1b)'!D10</f>
        <v>35</v>
      </c>
      <c r="C19" s="172">
        <f>'Príloha č. 1b)'!E10</f>
        <v>88</v>
      </c>
      <c r="D19" s="173"/>
      <c r="E19" s="172">
        <f t="shared" si="3"/>
        <v>250099059.08133462</v>
      </c>
      <c r="F19" s="180">
        <f t="shared" si="3"/>
        <v>91001206.8102953</v>
      </c>
      <c r="G19" s="175">
        <f t="shared" si="0"/>
        <v>30333735.603431765</v>
      </c>
      <c r="H19" s="175">
        <f>G19-'Príloha č. 1b)'!H14</f>
        <v>1373400.603431765</v>
      </c>
      <c r="I19" s="175">
        <f t="shared" si="1"/>
        <v>30333735.603431765</v>
      </c>
      <c r="J19" s="290">
        <f>I19-'Príloha č. 1b)'!I14</f>
        <v>-5324084.396568235</v>
      </c>
      <c r="K19" s="175">
        <f t="shared" si="2"/>
        <v>30333735.603431765</v>
      </c>
      <c r="L19" s="290">
        <f t="shared" si="2"/>
        <v>-5324084.396568235</v>
      </c>
    </row>
    <row r="20" spans="1:12" ht="19.5" customHeight="1">
      <c r="A20" s="159" t="s">
        <v>188</v>
      </c>
      <c r="B20" s="172">
        <f>'Príloha č. 1b)'!D5+'Príloha č. 1b)'!D46</f>
        <v>72</v>
      </c>
      <c r="C20" s="172">
        <f>'Príloha č. 1b)'!E5+'Príloha č. 1b)'!E46</f>
        <v>81</v>
      </c>
      <c r="D20" s="173"/>
      <c r="E20" s="182">
        <f>B40</f>
        <v>310816213.8990789</v>
      </c>
      <c r="F20" s="175">
        <f>C40</f>
        <v>113093790.37617499</v>
      </c>
      <c r="G20" s="175">
        <f t="shared" si="0"/>
        <v>37697930.12539166</v>
      </c>
      <c r="H20" s="175">
        <f>G20-('Príloha č. 1b)'!H9+'Príloha č. 1b)'!H50)</f>
        <v>18723275.125391662</v>
      </c>
      <c r="I20" s="175">
        <f t="shared" si="1"/>
        <v>37697930.12539166</v>
      </c>
      <c r="J20" s="175">
        <f>I20-('Príloha č. 1b)'!I9+'Príloha č. 1b)'!I50)</f>
        <v>16323731.125391662</v>
      </c>
      <c r="K20" s="175">
        <f t="shared" si="2"/>
        <v>37697930.12539166</v>
      </c>
      <c r="L20" s="175">
        <f t="shared" si="2"/>
        <v>16323731.125391662</v>
      </c>
    </row>
    <row r="21" spans="1:12" s="128" customFormat="1" ht="19.5" customHeight="1">
      <c r="A21" s="157" t="s">
        <v>184</v>
      </c>
      <c r="B21" s="170">
        <f>'Príloha č. 1b)'!D65</f>
        <v>116</v>
      </c>
      <c r="C21" s="170">
        <f>'Príloha č. 1b)'!E65</f>
        <v>165</v>
      </c>
      <c r="D21" s="170">
        <f>182987987*41</f>
        <v>7502507467</v>
      </c>
      <c r="E21" s="170">
        <f>6406342*41</f>
        <v>262660022</v>
      </c>
      <c r="F21" s="170">
        <f>41*(100000000*0.025+82987987*0.02)</f>
        <v>170550149.34</v>
      </c>
      <c r="G21" s="170">
        <f t="shared" si="0"/>
        <v>56850049.78</v>
      </c>
      <c r="H21" s="291">
        <f>G21-'Príloha č. 1b)'!H69</f>
        <v>-1061305.2199999988</v>
      </c>
      <c r="I21" s="170">
        <f t="shared" si="1"/>
        <v>56850049.78</v>
      </c>
      <c r="J21" s="291">
        <f>I21-'Príloha č. 1b)'!I69</f>
        <v>-10366990.219999999</v>
      </c>
      <c r="K21" s="170">
        <f t="shared" si="2"/>
        <v>56850049.78</v>
      </c>
      <c r="L21" s="291">
        <f t="shared" si="2"/>
        <v>-10366990.219999999</v>
      </c>
    </row>
    <row r="22" spans="1:12" ht="19.5" customHeight="1">
      <c r="A22" s="161" t="s">
        <v>179</v>
      </c>
      <c r="B22" s="165"/>
      <c r="C22" s="165"/>
      <c r="D22" s="165"/>
      <c r="E22" s="165"/>
      <c r="F22" s="169"/>
      <c r="G22" s="169"/>
      <c r="H22" s="169"/>
      <c r="I22" s="169"/>
      <c r="J22" s="169"/>
      <c r="K22" s="169"/>
      <c r="L22" s="169"/>
    </row>
    <row r="23" spans="1:12" ht="19.5" customHeight="1">
      <c r="A23" s="157" t="s">
        <v>262</v>
      </c>
      <c r="B23" s="166">
        <f>'Príloha č. 1b)'!D20</f>
        <v>9</v>
      </c>
      <c r="C23" s="166">
        <f>'Príloha č. 1b)'!E20</f>
        <v>29</v>
      </c>
      <c r="D23" s="173">
        <f>41*37168218</f>
        <v>1523896938</v>
      </c>
      <c r="E23" s="170">
        <f>41*1486729</f>
        <v>60955889</v>
      </c>
      <c r="F23" s="171">
        <f>41*37168218*0.025</f>
        <v>38097423.45</v>
      </c>
      <c r="G23" s="171">
        <f>F23/3</f>
        <v>12699141.15</v>
      </c>
      <c r="H23" s="171">
        <f>G23-'Príloha č. 1b)'!H24</f>
        <v>6451881.15</v>
      </c>
      <c r="I23" s="171">
        <f>G23</f>
        <v>12699141.15</v>
      </c>
      <c r="J23" s="171">
        <f>I23-'Príloha č. 1b)'!I24</f>
        <v>4775181.15</v>
      </c>
      <c r="K23" s="171">
        <f>I23</f>
        <v>12699141.15</v>
      </c>
      <c r="L23" s="200">
        <f>J23</f>
        <v>4775181.15</v>
      </c>
    </row>
    <row r="24" spans="1:12" s="127" customFormat="1" ht="19.5" customHeight="1">
      <c r="A24" s="158" t="s">
        <v>6</v>
      </c>
      <c r="B24" s="169"/>
      <c r="C24" s="169"/>
      <c r="D24" s="165"/>
      <c r="E24" s="261"/>
      <c r="F24" s="169"/>
      <c r="G24" s="169"/>
      <c r="H24" s="169"/>
      <c r="I24" s="169"/>
      <c r="J24" s="169"/>
      <c r="K24" s="169"/>
      <c r="L24" s="169"/>
    </row>
    <row r="25" spans="1:12" s="125" customFormat="1" ht="19.5" customHeight="1">
      <c r="A25" s="162" t="s">
        <v>263</v>
      </c>
      <c r="B25" s="167">
        <f>'Príloha č. 1b)'!D111</f>
        <v>31</v>
      </c>
      <c r="C25" s="167">
        <f>'Príloha č. 1b)'!E111</f>
        <v>66</v>
      </c>
      <c r="D25" s="171">
        <f>41*44939754</f>
        <v>1842529914</v>
      </c>
      <c r="E25" s="171">
        <f>41*1572327</f>
        <v>64465407</v>
      </c>
      <c r="F25" s="171">
        <f>41*44939754*0.025</f>
        <v>46063247.85</v>
      </c>
      <c r="G25" s="171">
        <f>F25/3</f>
        <v>15354415.950000001</v>
      </c>
      <c r="H25" s="171">
        <f>G25-'Príloha č. 1b)'!H115</f>
        <v>9311496.000000002</v>
      </c>
      <c r="I25" s="171">
        <f>G25</f>
        <v>15354415.950000001</v>
      </c>
      <c r="J25" s="171">
        <f>I25-'Príloha č. 1b)'!I115</f>
        <v>8103992.550000001</v>
      </c>
      <c r="K25" s="171">
        <f>I25</f>
        <v>15354415.950000001</v>
      </c>
      <c r="L25" s="171">
        <f>J25</f>
        <v>8103992.550000001</v>
      </c>
    </row>
    <row r="26" spans="1:12" ht="19.5" customHeight="1">
      <c r="A26" s="163" t="s">
        <v>144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</row>
    <row r="27" spans="1:12" s="125" customFormat="1" ht="19.5" customHeight="1">
      <c r="A27" s="162" t="s">
        <v>246</v>
      </c>
      <c r="B27" s="167">
        <f>'Príloha č. 1b)'!D15</f>
        <v>5</v>
      </c>
      <c r="C27" s="167">
        <f>'Príloha č. 1b)'!E15</f>
        <v>15</v>
      </c>
      <c r="D27" s="171">
        <v>1359970000</v>
      </c>
      <c r="E27" s="171">
        <v>95197900</v>
      </c>
      <c r="F27" s="171">
        <v>67998500</v>
      </c>
      <c r="G27" s="171">
        <f>F27/3</f>
        <v>22666166.666666668</v>
      </c>
      <c r="H27" s="171">
        <f>G27-'Príloha č. 1b)'!H19</f>
        <v>17729216.666666668</v>
      </c>
      <c r="I27" s="171">
        <f>G27</f>
        <v>22666166.666666668</v>
      </c>
      <c r="J27" s="171">
        <f>I27-'Príloha č. 1b)'!I19</f>
        <v>16518266.666666668</v>
      </c>
      <c r="K27" s="171">
        <f>I27</f>
        <v>22666166.666666668</v>
      </c>
      <c r="L27" s="171">
        <f>J27</f>
        <v>16518266.666666668</v>
      </c>
    </row>
    <row r="28" spans="1:12" ht="19.5" customHeight="1">
      <c r="A28" s="163" t="s">
        <v>6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</row>
    <row r="29" spans="1:12" s="299" customFormat="1" ht="19.5" customHeight="1">
      <c r="A29" s="299" t="s">
        <v>294</v>
      </c>
      <c r="B29" s="300"/>
      <c r="C29" s="300"/>
      <c r="D29" s="300"/>
      <c r="E29" s="300"/>
      <c r="F29" s="300"/>
      <c r="G29" s="300"/>
      <c r="H29" s="300"/>
      <c r="I29" s="300"/>
      <c r="J29" s="300"/>
      <c r="K29" s="300"/>
      <c r="L29" s="300"/>
    </row>
    <row r="30" spans="1:11" ht="19.5" customHeight="1">
      <c r="A30" t="s">
        <v>259</v>
      </c>
      <c r="D30" s="123"/>
      <c r="E30" s="123"/>
      <c r="F30" s="123"/>
      <c r="G30" s="123"/>
      <c r="H30" s="123"/>
      <c r="I30" s="123"/>
      <c r="J30" s="123"/>
      <c r="K30" s="123"/>
    </row>
    <row r="31" spans="1:11" ht="19.5" customHeight="1">
      <c r="A31" t="s">
        <v>198</v>
      </c>
      <c r="D31" s="123"/>
      <c r="E31" s="123"/>
      <c r="F31" s="123"/>
      <c r="G31" s="123"/>
      <c r="H31" s="123"/>
      <c r="I31" s="123"/>
      <c r="J31" s="123"/>
      <c r="K31" s="123"/>
    </row>
    <row r="32" spans="1:11" ht="19.5" customHeight="1">
      <c r="A32" t="s">
        <v>245</v>
      </c>
      <c r="D32" s="123"/>
      <c r="E32" s="123"/>
      <c r="F32" s="123"/>
      <c r="G32" s="123"/>
      <c r="H32" s="123"/>
      <c r="I32" s="123"/>
      <c r="J32" s="123"/>
      <c r="K32" s="123"/>
    </row>
    <row r="33" spans="1:11" ht="19.5" customHeight="1">
      <c r="A33" s="304" t="s">
        <v>315</v>
      </c>
      <c r="D33" s="123"/>
      <c r="E33" s="123"/>
      <c r="F33" s="123"/>
      <c r="G33" s="123"/>
      <c r="H33" s="123"/>
      <c r="I33" s="123"/>
      <c r="J33" s="123"/>
      <c r="K33" s="123"/>
    </row>
    <row r="34" spans="1:11" ht="19.5" customHeight="1">
      <c r="A34" s="304"/>
      <c r="D34" s="123"/>
      <c r="E34" s="123"/>
      <c r="F34" s="123"/>
      <c r="G34" s="123"/>
      <c r="H34" s="123"/>
      <c r="I34" s="123"/>
      <c r="J34" s="123"/>
      <c r="K34" s="123"/>
    </row>
    <row r="35" spans="1:10" ht="19.5" customHeight="1">
      <c r="A35" s="125" t="s">
        <v>346</v>
      </c>
      <c r="D35" s="123" t="s">
        <v>281</v>
      </c>
      <c r="E35" s="123"/>
      <c r="F35" s="123"/>
      <c r="G35" s="123"/>
      <c r="H35" s="123"/>
      <c r="I35" s="123"/>
      <c r="J35" s="123"/>
    </row>
    <row r="36" spans="1:10" s="288" customFormat="1" ht="35.25" customHeight="1">
      <c r="A36" s="286"/>
      <c r="B36" s="286" t="s">
        <v>200</v>
      </c>
      <c r="C36" s="286" t="s">
        <v>189</v>
      </c>
      <c r="D36" s="286" t="s">
        <v>190</v>
      </c>
      <c r="E36" s="287"/>
      <c r="F36" s="287"/>
      <c r="G36" s="287"/>
      <c r="H36" s="287"/>
      <c r="I36" s="287"/>
      <c r="J36" s="287"/>
    </row>
    <row r="37" spans="1:9" ht="19.5" customHeight="1">
      <c r="A37" s="283" t="s">
        <v>73</v>
      </c>
      <c r="B37" s="284">
        <f>41*(4260000*0.2393311*1.1040808+4260000*0.335107*1.1261624+4260000*0.425562*1.1486857)</f>
        <v>197446625.5905273</v>
      </c>
      <c r="C37" s="285">
        <f>B37/B41*C41</f>
        <v>71843058.00812785</v>
      </c>
      <c r="D37" s="285">
        <f>C37/3</f>
        <v>23947686.002709284</v>
      </c>
      <c r="E37" s="141"/>
      <c r="G37" s="123"/>
      <c r="H37" s="123"/>
      <c r="I37" s="123"/>
    </row>
    <row r="38" spans="1:5" ht="19.5" customHeight="1">
      <c r="A38" s="283" t="s">
        <v>138</v>
      </c>
      <c r="B38" s="284">
        <f>41*(5390000*0.2393311*1.1040808+5390000*0.335107*1.1261624+5390000*0.425562*1.1486857)</f>
        <v>249820965.24247473</v>
      </c>
      <c r="C38" s="285">
        <f>B38/B41*C41</f>
        <v>90900019.40465006</v>
      </c>
      <c r="D38" s="285">
        <f>C38/3</f>
        <v>30300006.468216687</v>
      </c>
      <c r="E38" s="141"/>
    </row>
    <row r="39" spans="1:6" ht="19.5" customHeight="1">
      <c r="A39" s="283" t="s">
        <v>187</v>
      </c>
      <c r="B39" s="284">
        <f>41*(5396000*0.2393311*1.1040808+5396000*0.335107*1.1261624+5396000*0.425562*1.1486857)</f>
        <v>250099059.08133462</v>
      </c>
      <c r="C39" s="285">
        <f>B39/B41*C41</f>
        <v>91001206.8102953</v>
      </c>
      <c r="D39" s="285">
        <f>C39/3</f>
        <v>30333735.603431765</v>
      </c>
      <c r="E39" s="141"/>
      <c r="F39" s="131"/>
    </row>
    <row r="40" spans="1:5" ht="19.5" customHeight="1">
      <c r="A40" s="283" t="s">
        <v>188</v>
      </c>
      <c r="B40" s="284">
        <f>41*(6706000*0.2393311*1.1040808+6706000*0.335107*1.1261624+6706000*0.425562*1.1486857)</f>
        <v>310816213.8990789</v>
      </c>
      <c r="C40" s="285">
        <f>B40/B41*C41</f>
        <v>113093790.37617499</v>
      </c>
      <c r="D40" s="285">
        <f>C40/3</f>
        <v>37697930.12539166</v>
      </c>
      <c r="E40" s="270"/>
    </row>
    <row r="41" spans="1:5" ht="19.5" customHeight="1">
      <c r="A41" s="283" t="s">
        <v>260</v>
      </c>
      <c r="B41" s="285">
        <f>E16</f>
        <v>1008182743</v>
      </c>
      <c r="C41" s="285">
        <f>F16</f>
        <v>366838030.64</v>
      </c>
      <c r="D41" s="285">
        <f>C41/3</f>
        <v>122279343.54666667</v>
      </c>
      <c r="E41" s="141"/>
    </row>
    <row r="42" spans="1:4" ht="19.5" customHeight="1">
      <c r="A42" t="s">
        <v>347</v>
      </c>
      <c r="C42" s="129"/>
      <c r="D42" s="123"/>
    </row>
    <row r="43" spans="1:4" ht="19.5" customHeight="1">
      <c r="A43" t="s">
        <v>220</v>
      </c>
      <c r="C43" s="271"/>
      <c r="D43" s="123"/>
    </row>
    <row r="44" spans="1:4" ht="19.5" customHeight="1">
      <c r="A44" t="s">
        <v>221</v>
      </c>
      <c r="C44" s="129"/>
      <c r="D44" s="123"/>
    </row>
    <row r="45" spans="1:5" ht="19.5" customHeight="1">
      <c r="A45" t="s">
        <v>276</v>
      </c>
      <c r="E45" s="123"/>
    </row>
    <row r="46" ht="19.5" customHeight="1">
      <c r="E46" s="123"/>
    </row>
    <row r="47" ht="19.5" customHeight="1">
      <c r="E47" s="123"/>
    </row>
    <row r="48" ht="19.5" customHeight="1">
      <c r="C48" s="123"/>
    </row>
    <row r="49" spans="2:3" ht="19.5" customHeight="1">
      <c r="B49" s="123"/>
      <c r="C49" s="123"/>
    </row>
    <row r="50" ht="19.5" customHeight="1">
      <c r="B50" s="102"/>
    </row>
    <row r="51" ht="19.5" customHeight="1">
      <c r="B51" s="123"/>
    </row>
    <row r="52" ht="19.5" customHeight="1"/>
    <row r="53" ht="19.5" customHeight="1">
      <c r="A53" s="130"/>
    </row>
    <row r="54" spans="1:6" ht="30" customHeight="1">
      <c r="A54" s="131"/>
      <c r="B54" s="131"/>
      <c r="C54" s="131"/>
      <c r="D54" s="131"/>
      <c r="E54" s="131"/>
      <c r="F54" s="123"/>
    </row>
    <row r="55" spans="1:6" ht="19.5" customHeight="1">
      <c r="A55" s="125"/>
      <c r="B55" s="142"/>
      <c r="C55" s="149"/>
      <c r="D55" s="142"/>
      <c r="E55" s="142"/>
      <c r="F55" s="141"/>
    </row>
    <row r="56" spans="1:6" ht="19.5" customHeight="1">
      <c r="A56" s="125"/>
      <c r="B56" s="142"/>
      <c r="C56" s="149"/>
      <c r="D56" s="142"/>
      <c r="E56" s="142"/>
      <c r="F56" s="141"/>
    </row>
    <row r="57" spans="1:6" ht="19.5" customHeight="1">
      <c r="A57" s="125"/>
      <c r="B57" s="142"/>
      <c r="C57" s="149"/>
      <c r="D57" s="142"/>
      <c r="E57" s="142"/>
      <c r="F57" s="141"/>
    </row>
    <row r="58" spans="1:6" ht="19.5" customHeight="1">
      <c r="A58" s="125"/>
      <c r="B58" s="142"/>
      <c r="C58" s="149"/>
      <c r="D58" s="142"/>
      <c r="E58" s="142"/>
      <c r="F58" s="270"/>
    </row>
    <row r="59" spans="1:6" ht="19.5" customHeight="1">
      <c r="A59" s="132"/>
      <c r="B59" s="148"/>
      <c r="C59" s="148"/>
      <c r="D59" s="148"/>
      <c r="E59" s="148"/>
      <c r="F59" s="148"/>
    </row>
    <row r="60" spans="1:6" ht="19.5" customHeight="1">
      <c r="A60" s="132"/>
      <c r="B60" s="148"/>
      <c r="C60" s="148"/>
      <c r="D60" s="148"/>
      <c r="E60" s="148"/>
      <c r="F60" s="148"/>
    </row>
    <row r="61" spans="1:6" ht="19.5" customHeight="1">
      <c r="A61" s="125"/>
      <c r="B61" s="142"/>
      <c r="C61" s="142"/>
      <c r="D61" s="142"/>
      <c r="E61" s="142"/>
      <c r="F61" s="141"/>
    </row>
    <row r="62" spans="2:6" ht="19.5" customHeight="1">
      <c r="B62" s="148"/>
      <c r="C62" s="148"/>
      <c r="D62" s="148"/>
      <c r="E62" s="148"/>
      <c r="F62" s="148"/>
    </row>
    <row r="63" ht="19.5" customHeight="1">
      <c r="A63" s="23"/>
    </row>
    <row r="64" ht="30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spans="2:6" ht="19.5" customHeight="1">
      <c r="B73" s="148"/>
      <c r="D73" s="148"/>
      <c r="E73" s="148"/>
      <c r="F73" s="148"/>
    </row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</sheetData>
  <mergeCells count="6">
    <mergeCell ref="A3:A4"/>
    <mergeCell ref="B6:C6"/>
    <mergeCell ref="E3:E4"/>
    <mergeCell ref="D3:D4"/>
    <mergeCell ref="B3:C4"/>
    <mergeCell ref="B5:C5"/>
  </mergeCells>
  <printOptions/>
  <pageMargins left="0.75" right="0.75" top="1" bottom="1" header="0.4921259845" footer="0.4921259845"/>
  <pageSetup fitToHeight="3" fitToWidth="1" horizontalDpi="120" verticalDpi="12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MVRR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hroncakova</dc:creator>
  <cp:keywords/>
  <dc:description/>
  <cp:lastModifiedBy>hroncakova</cp:lastModifiedBy>
  <cp:lastPrinted>2004-04-08T08:46:30Z</cp:lastPrinted>
  <dcterms:created xsi:type="dcterms:W3CDTF">2004-03-04T15:37:21Z</dcterms:created>
  <dcterms:modified xsi:type="dcterms:W3CDTF">2004-04-08T08:51:35Z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-759112304</vt:i4>
  </property>
  <property fmtid="{D5CDD505-2E9C-101B-9397-08002B2CF9AE}" pid="3" name="_EmailSubject">
    <vt:lpwstr>Vyuzitie limitovanej technickej asistencie na refundaciu opravnenych vydavkov a pouzitie refundovanych prostriedkov 692/M-2004</vt:lpwstr>
  </property>
  <property fmtid="{D5CDD505-2E9C-101B-9397-08002B2CF9AE}" pid="4" name="_AuthorEmail">
    <vt:lpwstr>hroncakova@build.gov.sk</vt:lpwstr>
  </property>
  <property fmtid="{D5CDD505-2E9C-101B-9397-08002B2CF9AE}" pid="5" name="_AuthorEmailDisplayName">
    <vt:lpwstr>Hrončáková Anna</vt:lpwstr>
  </property>
  <property fmtid="{D5CDD505-2E9C-101B-9397-08002B2CF9AE}" pid="6" name="_PreviousAdHocReviewCycleID">
    <vt:i4>-425149456</vt:i4>
  </property>
</Properties>
</file>