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IP" sheetId="1" r:id="rId1"/>
    <sheet name="Hárok1" sheetId="2" r:id="rId2"/>
  </sheets>
  <externalReferences>
    <externalReference r:id="rId5"/>
    <externalReference r:id="rId6"/>
  </externalReferences>
  <definedNames>
    <definedName name="_xlnm.Print_Titles" localSheetId="0">'IP'!$2:$5</definedName>
    <definedName name="_xlnm.Print_Area" localSheetId="0">'IP'!$A$2:$L$83</definedName>
  </definedNames>
  <calcPr fullCalcOnLoad="1"/>
</workbook>
</file>

<file path=xl/sharedStrings.xml><?xml version="1.0" encoding="utf-8"?>
<sst xmlns="http://schemas.openxmlformats.org/spreadsheetml/2006/main" count="95" uniqueCount="93">
  <si>
    <t>Konečný prijímateľ</t>
  </si>
  <si>
    <t>Číslo
 projektu</t>
  </si>
  <si>
    <t xml:space="preserve">Donori </t>
  </si>
  <si>
    <t>ŠR</t>
  </si>
  <si>
    <t>Karpatský rozvojový inštitút</t>
  </si>
  <si>
    <t>SK0024</t>
  </si>
  <si>
    <t>Mesto Trenčín</t>
  </si>
  <si>
    <t>SK0038</t>
  </si>
  <si>
    <t>Prešovský
samosprávny kraj</t>
  </si>
  <si>
    <t>SK0022</t>
  </si>
  <si>
    <t>Nadácia škola dokorán</t>
  </si>
  <si>
    <t>SK0037</t>
  </si>
  <si>
    <t>Nadácia F.A Hayeka</t>
  </si>
  <si>
    <t>SK0016</t>
  </si>
  <si>
    <t>Univerzita veterin. Lekárstva v KE</t>
  </si>
  <si>
    <t>SK0021</t>
  </si>
  <si>
    <t>Obec Nižný Slavkov</t>
  </si>
  <si>
    <t>SK0027</t>
  </si>
  <si>
    <t>Slovenská zdravotnícka univerzita</t>
  </si>
  <si>
    <t>SK0020</t>
  </si>
  <si>
    <t>Slovenské banské múzeum</t>
  </si>
  <si>
    <t>SK0036</t>
  </si>
  <si>
    <t>Mesto Vysoké Tatry</t>
  </si>
  <si>
    <t>SK0052</t>
  </si>
  <si>
    <t>EUROCORD</t>
  </si>
  <si>
    <t>SK0041</t>
  </si>
  <si>
    <t>Obec Stožok</t>
  </si>
  <si>
    <t>SK0042</t>
  </si>
  <si>
    <t>Občianske združenie OZVENY</t>
  </si>
  <si>
    <t>SK0033</t>
  </si>
  <si>
    <t>Univerzita
Pavla Jozefa Šafárika</t>
  </si>
  <si>
    <t>SK0017</t>
  </si>
  <si>
    <t>OZ Fundament</t>
  </si>
  <si>
    <t>SK0015</t>
  </si>
  <si>
    <t>Slovenský červený kríž</t>
  </si>
  <si>
    <t>SK0045</t>
  </si>
  <si>
    <t>Mesto Myjava</t>
  </si>
  <si>
    <t>SK0028</t>
  </si>
  <si>
    <t>Domov dôchodcov Poprad - penzión</t>
  </si>
  <si>
    <t>SK0050</t>
  </si>
  <si>
    <t>Detský domov Nádej</t>
  </si>
  <si>
    <t>SK0051</t>
  </si>
  <si>
    <t>Slovenská technická univerzita</t>
  </si>
  <si>
    <t>SK0013</t>
  </si>
  <si>
    <t>Žilinský samosprávny kraj</t>
  </si>
  <si>
    <t>SK0034</t>
  </si>
  <si>
    <t>Mesto Lipany</t>
  </si>
  <si>
    <t>SK0026</t>
  </si>
  <si>
    <t>Slovenské národné múzeum</t>
  </si>
  <si>
    <t>SK0047</t>
  </si>
  <si>
    <t>Detský domov Košická Nová Ves</t>
  </si>
  <si>
    <t>SK0040</t>
  </si>
  <si>
    <t>Nadácia Dubnické opálové bane</t>
  </si>
  <si>
    <t>SK0025</t>
  </si>
  <si>
    <t>Záhorácke centrum záujmových činností, Veľké Leváre</t>
  </si>
  <si>
    <t>SK0060</t>
  </si>
  <si>
    <t>Slovenská technická univerzita v Bratislave</t>
  </si>
  <si>
    <t>SK0023</t>
  </si>
  <si>
    <t>Košický samosprávny kraj - Katov dom</t>
  </si>
  <si>
    <t>SK0043</t>
  </si>
  <si>
    <t>Mesto Prešov</t>
  </si>
  <si>
    <t>SK0035</t>
  </si>
  <si>
    <t>Slovenské národná knižnica</t>
  </si>
  <si>
    <t>SK0032</t>
  </si>
  <si>
    <t xml:space="preserve">Obec Lehnice </t>
  </si>
  <si>
    <t>SK0046</t>
  </si>
  <si>
    <t xml:space="preserve">Žilinská univerzita v Žiline </t>
  </si>
  <si>
    <t>SK0061</t>
  </si>
  <si>
    <t>Športový klub SFM Senec</t>
  </si>
  <si>
    <t>SK0062</t>
  </si>
  <si>
    <t xml:space="preserve"> -</t>
  </si>
  <si>
    <t>Mena: EUR</t>
  </si>
  <si>
    <t>Zdroj: MF SR</t>
  </si>
  <si>
    <t>Kumulatívny prehľad čerpania FM EHP/NFM k 30.06.2009 - Indviduálne projekty</t>
  </si>
  <si>
    <t>Alokácia podľa zmluvy o NFP</t>
  </si>
  <si>
    <t>Alokácia podľa Grant Agreements</t>
  </si>
  <si>
    <t>% podiel poskytnutých prostriedkov na rozpočte IP v pomere ku GA</t>
  </si>
  <si>
    <t>Poskytnuté prostriedky  (vyplatené ŽoP)</t>
  </si>
  <si>
    <t>Schválené a predložené žiadosti na ÚFM v EUR z PIR</t>
  </si>
  <si>
    <t>Mesto Svit</t>
  </si>
  <si>
    <t>SK0049</t>
  </si>
  <si>
    <t>Košický samosprávny región</t>
  </si>
  <si>
    <t>SK0044</t>
  </si>
  <si>
    <t>SK0014</t>
  </si>
  <si>
    <t>SK0030</t>
  </si>
  <si>
    <t>SK0001</t>
  </si>
  <si>
    <t>Ministerstvo vnútra SR</t>
  </si>
  <si>
    <t>Mesto Tvrdošín</t>
  </si>
  <si>
    <t>TA</t>
  </si>
  <si>
    <t>% podiel predložených žiadostí na ÚFM ku GA (časť donorov)</t>
  </si>
  <si>
    <t>Spolu 38 projektov</t>
  </si>
  <si>
    <t xml:space="preserve">Refundované prostriedky z ÚFM </t>
  </si>
  <si>
    <t xml:space="preserve">% podiel refundovaných prostriedkov z ÚFM v pomere ku GA (časť donorov)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</si>
</sst>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25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1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" fontId="1" fillId="24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/>
    </xf>
    <xf numFmtId="4" fontId="3" fillId="4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0" xfId="0" applyNumberFormat="1" applyFont="1" applyFill="1" applyBorder="1" applyAlignment="1">
      <alignment horizontal="center" wrapText="1"/>
    </xf>
    <xf numFmtId="10" fontId="3" fillId="4" borderId="13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3" fillId="4" borderId="19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center" wrapText="1"/>
    </xf>
    <xf numFmtId="10" fontId="3" fillId="4" borderId="2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25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24" borderId="10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0" fontId="1" fillId="0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" fontId="3" fillId="4" borderId="13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" fontId="1" fillId="0" borderId="2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10" fontId="1" fillId="0" borderId="33" xfId="0" applyNumberFormat="1" applyFont="1" applyBorder="1" applyAlignment="1">
      <alignment/>
    </xf>
    <xf numFmtId="10" fontId="1" fillId="0" borderId="34" xfId="0" applyNumberFormat="1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wrapText="1"/>
    </xf>
    <xf numFmtId="4" fontId="3" fillId="4" borderId="20" xfId="0" applyNumberFormat="1" applyFont="1" applyFill="1" applyBorder="1" applyAlignment="1">
      <alignment horizontal="center"/>
    </xf>
    <xf numFmtId="4" fontId="3" fillId="4" borderId="3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wrapText="1"/>
    </xf>
    <xf numFmtId="4" fontId="1" fillId="24" borderId="23" xfId="0" applyNumberFormat="1" applyFont="1" applyFill="1" applyBorder="1" applyAlignment="1">
      <alignment horizontal="center" wrapText="1"/>
    </xf>
    <xf numFmtId="4" fontId="1" fillId="24" borderId="24" xfId="0" applyNumberFormat="1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FN\SPOL_UNF\EEA_GRANTS\TABULKY%20FM_FO\Cerpanie_reportovanie\Reporting\Caplovic_stretnutia\Caplovic\26_06_2009\Cerpanie_BG_30_06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urkova\LOCALS~1\Temp\Do&#269;asn&#253;%20adres&#225;r%206%20pre%20Prilohy_vyrocne_spravy.zip\&#269;erpanie_BG_FMEHPN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Hárok2"/>
      <sheetName val="Hárok3"/>
    </sheetNames>
    <sheetDataSet>
      <sheetData sheetId="0">
        <row r="31">
          <cell r="P31">
            <v>399230.87744805147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</sheetNames>
    <sheetDataSet>
      <sheetData sheetId="0">
        <row r="22">
          <cell r="G22">
            <v>6777413.18263095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92"/>
  <sheetViews>
    <sheetView tabSelected="1" view="pageBreakPreview" zoomScale="60" zoomScalePageLayoutView="0" workbookViewId="0" topLeftCell="A1">
      <selection activeCell="O14" sqref="O14"/>
    </sheetView>
  </sheetViews>
  <sheetFormatPr defaultColWidth="9.140625" defaultRowHeight="12.75"/>
  <cols>
    <col min="1" max="1" width="16.57421875" style="1" customWidth="1"/>
    <col min="2" max="2" width="9.140625" style="1" customWidth="1"/>
    <col min="3" max="3" width="10.00390625" style="1" bestFit="1" customWidth="1"/>
    <col min="4" max="4" width="9.140625" style="1" customWidth="1"/>
    <col min="5" max="5" width="11.140625" style="1" bestFit="1" customWidth="1"/>
    <col min="6" max="6" width="10.140625" style="1" bestFit="1" customWidth="1"/>
    <col min="7" max="7" width="12.140625" style="1" customWidth="1"/>
    <col min="8" max="8" width="12.8515625" style="1" customWidth="1"/>
    <col min="9" max="9" width="12.00390625" style="2" customWidth="1"/>
    <col min="10" max="10" width="13.7109375" style="2" customWidth="1"/>
    <col min="11" max="11" width="13.57421875" style="1" customWidth="1"/>
    <col min="12" max="12" width="14.7109375" style="1" customWidth="1"/>
    <col min="13" max="13" width="9.140625" style="1" customWidth="1"/>
    <col min="14" max="14" width="16.00390625" style="1" customWidth="1"/>
    <col min="15" max="16384" width="9.140625" style="1" customWidth="1"/>
  </cols>
  <sheetData>
    <row r="2" spans="1:12" ht="12.75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10"/>
    </row>
    <row r="3" spans="1:13" ht="17.25" customHeight="1" thickBot="1">
      <c r="A3" s="2"/>
      <c r="I3" s="42" t="s">
        <v>71</v>
      </c>
      <c r="J3" s="42"/>
      <c r="K3" s="42"/>
      <c r="L3" s="3"/>
      <c r="M3" s="3"/>
    </row>
    <row r="4" spans="1:249" s="6" customFormat="1" ht="30.75" customHeight="1">
      <c r="A4" s="89" t="s">
        <v>0</v>
      </c>
      <c r="B4" s="91" t="s">
        <v>1</v>
      </c>
      <c r="C4" s="15" t="s">
        <v>2</v>
      </c>
      <c r="D4" s="15" t="s">
        <v>3</v>
      </c>
      <c r="E4" s="15" t="s">
        <v>2</v>
      </c>
      <c r="F4" s="15" t="s">
        <v>3</v>
      </c>
      <c r="G4" s="93" t="s">
        <v>77</v>
      </c>
      <c r="H4" s="85" t="s">
        <v>76</v>
      </c>
      <c r="I4" s="85" t="s">
        <v>78</v>
      </c>
      <c r="J4" s="93" t="s">
        <v>89</v>
      </c>
      <c r="K4" s="85" t="s">
        <v>91</v>
      </c>
      <c r="L4" s="87" t="s">
        <v>92</v>
      </c>
      <c r="M4" s="4"/>
      <c r="N4" s="83"/>
      <c r="O4" s="80"/>
      <c r="P4" s="80"/>
      <c r="Q4" s="80"/>
      <c r="R4" s="80"/>
      <c r="S4" s="80"/>
      <c r="T4" s="80"/>
      <c r="U4" s="80"/>
      <c r="V4" s="80"/>
      <c r="W4" s="80"/>
      <c r="X4" s="81"/>
      <c r="Y4" s="81"/>
      <c r="Z4" s="84"/>
      <c r="AA4" s="82"/>
      <c r="AB4" s="82"/>
      <c r="AC4" s="83"/>
      <c r="AD4" s="80"/>
      <c r="AE4" s="80"/>
      <c r="AF4" s="80"/>
      <c r="AG4" s="80"/>
      <c r="AH4" s="80"/>
      <c r="AI4" s="80"/>
      <c r="AJ4" s="80"/>
      <c r="AK4" s="80"/>
      <c r="AL4" s="80"/>
      <c r="AM4" s="81"/>
      <c r="AN4" s="81"/>
      <c r="AO4" s="84"/>
      <c r="AP4" s="82"/>
      <c r="AQ4" s="82"/>
      <c r="AR4" s="83"/>
      <c r="AS4" s="80"/>
      <c r="AT4" s="80"/>
      <c r="AU4" s="80"/>
      <c r="AV4" s="80"/>
      <c r="AW4" s="80"/>
      <c r="AX4" s="80"/>
      <c r="AY4" s="80"/>
      <c r="AZ4" s="80"/>
      <c r="BA4" s="80"/>
      <c r="BB4" s="81"/>
      <c r="BC4" s="81"/>
      <c r="BD4" s="84"/>
      <c r="BE4" s="82"/>
      <c r="BF4" s="82"/>
      <c r="BG4" s="83"/>
      <c r="BH4" s="80"/>
      <c r="BI4" s="80"/>
      <c r="BJ4" s="80"/>
      <c r="BK4" s="80"/>
      <c r="BL4" s="80"/>
      <c r="BM4" s="80"/>
      <c r="BN4" s="80"/>
      <c r="BO4" s="80"/>
      <c r="BP4" s="80"/>
      <c r="BQ4" s="81"/>
      <c r="BR4" s="81"/>
      <c r="BS4" s="84"/>
      <c r="BT4" s="82"/>
      <c r="BU4" s="82"/>
      <c r="BV4" s="83"/>
      <c r="BW4" s="80"/>
      <c r="BX4" s="80"/>
      <c r="BY4" s="80"/>
      <c r="BZ4" s="80"/>
      <c r="CA4" s="80"/>
      <c r="CB4" s="80"/>
      <c r="CC4" s="80"/>
      <c r="CD4" s="80"/>
      <c r="CE4" s="80"/>
      <c r="CF4" s="81"/>
      <c r="CG4" s="81"/>
      <c r="CH4" s="84"/>
      <c r="CI4" s="82"/>
      <c r="CJ4" s="82"/>
      <c r="CK4" s="83"/>
      <c r="CL4" s="80"/>
      <c r="CM4" s="80"/>
      <c r="CN4" s="80"/>
      <c r="CO4" s="80"/>
      <c r="CP4" s="80"/>
      <c r="CQ4" s="80"/>
      <c r="CR4" s="80"/>
      <c r="CS4" s="80"/>
      <c r="CT4" s="80"/>
      <c r="CU4" s="81"/>
      <c r="CV4" s="81"/>
      <c r="CW4" s="84"/>
      <c r="CX4" s="82"/>
      <c r="CY4" s="82"/>
      <c r="CZ4" s="83"/>
      <c r="DA4" s="80"/>
      <c r="DB4" s="80"/>
      <c r="DC4" s="80"/>
      <c r="DD4" s="80"/>
      <c r="DE4" s="80"/>
      <c r="DF4" s="80"/>
      <c r="DG4" s="80"/>
      <c r="DH4" s="80"/>
      <c r="DI4" s="80"/>
      <c r="DJ4" s="81"/>
      <c r="DK4" s="81"/>
      <c r="DL4" s="84"/>
      <c r="DM4" s="82"/>
      <c r="DN4" s="82"/>
      <c r="DO4" s="83"/>
      <c r="DP4" s="80"/>
      <c r="DQ4" s="80"/>
      <c r="DR4" s="80"/>
      <c r="DS4" s="80"/>
      <c r="DT4" s="80"/>
      <c r="DU4" s="80"/>
      <c r="DV4" s="80"/>
      <c r="DW4" s="80"/>
      <c r="DX4" s="80"/>
      <c r="DY4" s="81"/>
      <c r="DZ4" s="81"/>
      <c r="EA4" s="84"/>
      <c r="EB4" s="82"/>
      <c r="EC4" s="82"/>
      <c r="ED4" s="83"/>
      <c r="EE4" s="80"/>
      <c r="EF4" s="80"/>
      <c r="EG4" s="80"/>
      <c r="EH4" s="80"/>
      <c r="EI4" s="80"/>
      <c r="EJ4" s="80"/>
      <c r="EK4" s="80"/>
      <c r="EL4" s="80"/>
      <c r="EM4" s="80"/>
      <c r="EN4" s="81"/>
      <c r="EO4" s="81"/>
      <c r="EP4" s="84"/>
      <c r="EQ4" s="82"/>
      <c r="ER4" s="82"/>
      <c r="ES4" s="83"/>
      <c r="ET4" s="80"/>
      <c r="EU4" s="80"/>
      <c r="EV4" s="80"/>
      <c r="EW4" s="80"/>
      <c r="EX4" s="80"/>
      <c r="EY4" s="80"/>
      <c r="EZ4" s="80"/>
      <c r="FA4" s="80"/>
      <c r="FB4" s="80"/>
      <c r="FC4" s="81"/>
      <c r="FD4" s="81"/>
      <c r="FE4" s="84"/>
      <c r="FF4" s="82"/>
      <c r="FG4" s="82"/>
      <c r="FH4" s="83"/>
      <c r="FI4" s="80"/>
      <c r="FJ4" s="80"/>
      <c r="FK4" s="80"/>
      <c r="FL4" s="80"/>
      <c r="FM4" s="80"/>
      <c r="FN4" s="80"/>
      <c r="FO4" s="80"/>
      <c r="FP4" s="80"/>
      <c r="FQ4" s="80"/>
      <c r="FR4" s="81"/>
      <c r="FS4" s="81"/>
      <c r="FT4" s="84"/>
      <c r="FU4" s="82"/>
      <c r="FV4" s="82"/>
      <c r="FW4" s="83"/>
      <c r="FX4" s="80"/>
      <c r="FY4" s="80"/>
      <c r="FZ4" s="80"/>
      <c r="GA4" s="80"/>
      <c r="GB4" s="80"/>
      <c r="GC4" s="80"/>
      <c r="GD4" s="80"/>
      <c r="GE4" s="80"/>
      <c r="GF4" s="80"/>
      <c r="GG4" s="81"/>
      <c r="GH4" s="81"/>
      <c r="GI4" s="84"/>
      <c r="GJ4" s="82"/>
      <c r="GK4" s="82"/>
      <c r="GL4" s="83"/>
      <c r="GM4" s="80"/>
      <c r="GN4" s="80"/>
      <c r="GO4" s="80"/>
      <c r="GP4" s="80"/>
      <c r="GQ4" s="80"/>
      <c r="GR4" s="80"/>
      <c r="GS4" s="80"/>
      <c r="GT4" s="80"/>
      <c r="GU4" s="80"/>
      <c r="GV4" s="81"/>
      <c r="GW4" s="81"/>
      <c r="GX4" s="84"/>
      <c r="GY4" s="82"/>
      <c r="GZ4" s="82"/>
      <c r="HA4" s="83"/>
      <c r="HB4" s="80"/>
      <c r="HC4" s="80"/>
      <c r="HD4" s="80"/>
      <c r="HE4" s="80"/>
      <c r="HF4" s="80"/>
      <c r="HG4" s="80"/>
      <c r="HH4" s="80"/>
      <c r="HI4" s="80"/>
      <c r="HJ4" s="80"/>
      <c r="HK4" s="81"/>
      <c r="HL4" s="81"/>
      <c r="HM4" s="84"/>
      <c r="HN4" s="82"/>
      <c r="HO4" s="82"/>
      <c r="HP4" s="83"/>
      <c r="HQ4" s="80"/>
      <c r="HR4" s="80"/>
      <c r="HS4" s="80"/>
      <c r="HT4" s="80"/>
      <c r="HU4" s="80"/>
      <c r="HV4" s="80"/>
      <c r="HW4" s="80"/>
      <c r="HX4" s="80"/>
      <c r="HY4" s="80"/>
      <c r="HZ4" s="81"/>
      <c r="IA4" s="81"/>
      <c r="IB4" s="84"/>
      <c r="IC4" s="82"/>
      <c r="ID4" s="82"/>
      <c r="IE4" s="83"/>
      <c r="IF4" s="80"/>
      <c r="IG4" s="80"/>
      <c r="IH4" s="80"/>
      <c r="II4" s="80"/>
      <c r="IJ4" s="80"/>
      <c r="IK4" s="80"/>
      <c r="IL4" s="80"/>
      <c r="IM4" s="80"/>
      <c r="IN4" s="80"/>
      <c r="IO4" s="81"/>
    </row>
    <row r="5" spans="1:249" s="6" customFormat="1" ht="45.75" customHeight="1">
      <c r="A5" s="90"/>
      <c r="B5" s="92"/>
      <c r="C5" s="95" t="s">
        <v>75</v>
      </c>
      <c r="D5" s="96"/>
      <c r="E5" s="60" t="s">
        <v>74</v>
      </c>
      <c r="F5" s="60"/>
      <c r="G5" s="94"/>
      <c r="H5" s="86"/>
      <c r="I5" s="86"/>
      <c r="J5" s="100"/>
      <c r="K5" s="86"/>
      <c r="L5" s="88"/>
      <c r="M5" s="5"/>
      <c r="N5" s="83"/>
      <c r="O5" s="80"/>
      <c r="P5" s="80"/>
      <c r="Q5" s="5"/>
      <c r="R5" s="5"/>
      <c r="S5" s="5"/>
      <c r="T5" s="5"/>
      <c r="U5" s="5"/>
      <c r="V5" s="80"/>
      <c r="W5" s="80"/>
      <c r="X5" s="81"/>
      <c r="Y5" s="81"/>
      <c r="Z5" s="84"/>
      <c r="AA5" s="5"/>
      <c r="AB5" s="5"/>
      <c r="AC5" s="83"/>
      <c r="AD5" s="80"/>
      <c r="AE5" s="80"/>
      <c r="AF5" s="5"/>
      <c r="AG5" s="5"/>
      <c r="AH5" s="5"/>
      <c r="AI5" s="5"/>
      <c r="AJ5" s="5"/>
      <c r="AK5" s="80"/>
      <c r="AL5" s="80"/>
      <c r="AM5" s="81"/>
      <c r="AN5" s="81"/>
      <c r="AO5" s="84"/>
      <c r="AP5" s="5"/>
      <c r="AQ5" s="5"/>
      <c r="AR5" s="83"/>
      <c r="AS5" s="80"/>
      <c r="AT5" s="80"/>
      <c r="AU5" s="5"/>
      <c r="AV5" s="5"/>
      <c r="AW5" s="5"/>
      <c r="AX5" s="5"/>
      <c r="AY5" s="5"/>
      <c r="AZ5" s="80"/>
      <c r="BA5" s="80"/>
      <c r="BB5" s="81"/>
      <c r="BC5" s="81"/>
      <c r="BD5" s="84"/>
      <c r="BE5" s="5"/>
      <c r="BF5" s="5"/>
      <c r="BG5" s="83"/>
      <c r="BH5" s="80"/>
      <c r="BI5" s="80"/>
      <c r="BJ5" s="5"/>
      <c r="BK5" s="5"/>
      <c r="BL5" s="5"/>
      <c r="BM5" s="5"/>
      <c r="BN5" s="5"/>
      <c r="BO5" s="80"/>
      <c r="BP5" s="80"/>
      <c r="BQ5" s="81"/>
      <c r="BR5" s="81"/>
      <c r="BS5" s="84"/>
      <c r="BT5" s="5"/>
      <c r="BU5" s="5"/>
      <c r="BV5" s="83"/>
      <c r="BW5" s="80"/>
      <c r="BX5" s="80"/>
      <c r="BY5" s="5"/>
      <c r="BZ5" s="5"/>
      <c r="CA5" s="5"/>
      <c r="CB5" s="5"/>
      <c r="CC5" s="5"/>
      <c r="CD5" s="80"/>
      <c r="CE5" s="80"/>
      <c r="CF5" s="81"/>
      <c r="CG5" s="81"/>
      <c r="CH5" s="84"/>
      <c r="CI5" s="5"/>
      <c r="CJ5" s="5"/>
      <c r="CK5" s="83"/>
      <c r="CL5" s="80"/>
      <c r="CM5" s="80"/>
      <c r="CN5" s="5"/>
      <c r="CO5" s="5"/>
      <c r="CP5" s="5"/>
      <c r="CQ5" s="5"/>
      <c r="CR5" s="5"/>
      <c r="CS5" s="80"/>
      <c r="CT5" s="80"/>
      <c r="CU5" s="81"/>
      <c r="CV5" s="81"/>
      <c r="CW5" s="84"/>
      <c r="CX5" s="5"/>
      <c r="CY5" s="5"/>
      <c r="CZ5" s="83"/>
      <c r="DA5" s="80"/>
      <c r="DB5" s="80"/>
      <c r="DC5" s="5"/>
      <c r="DD5" s="5"/>
      <c r="DE5" s="5"/>
      <c r="DF5" s="5"/>
      <c r="DG5" s="5"/>
      <c r="DH5" s="80"/>
      <c r="DI5" s="80"/>
      <c r="DJ5" s="81"/>
      <c r="DK5" s="81"/>
      <c r="DL5" s="84"/>
      <c r="DM5" s="5"/>
      <c r="DN5" s="5"/>
      <c r="DO5" s="83"/>
      <c r="DP5" s="80"/>
      <c r="DQ5" s="80"/>
      <c r="DR5" s="5"/>
      <c r="DS5" s="5"/>
      <c r="DT5" s="5"/>
      <c r="DU5" s="5"/>
      <c r="DV5" s="5"/>
      <c r="DW5" s="80"/>
      <c r="DX5" s="80"/>
      <c r="DY5" s="81"/>
      <c r="DZ5" s="81"/>
      <c r="EA5" s="84"/>
      <c r="EB5" s="5"/>
      <c r="EC5" s="5"/>
      <c r="ED5" s="83"/>
      <c r="EE5" s="80"/>
      <c r="EF5" s="80"/>
      <c r="EG5" s="5"/>
      <c r="EH5" s="5"/>
      <c r="EI5" s="5"/>
      <c r="EJ5" s="5"/>
      <c r="EK5" s="5"/>
      <c r="EL5" s="80"/>
      <c r="EM5" s="80"/>
      <c r="EN5" s="81"/>
      <c r="EO5" s="81"/>
      <c r="EP5" s="84"/>
      <c r="EQ5" s="5"/>
      <c r="ER5" s="5"/>
      <c r="ES5" s="83"/>
      <c r="ET5" s="80"/>
      <c r="EU5" s="80"/>
      <c r="EV5" s="5"/>
      <c r="EW5" s="5"/>
      <c r="EX5" s="5"/>
      <c r="EY5" s="5"/>
      <c r="EZ5" s="5"/>
      <c r="FA5" s="80"/>
      <c r="FB5" s="80"/>
      <c r="FC5" s="81"/>
      <c r="FD5" s="81"/>
      <c r="FE5" s="84"/>
      <c r="FF5" s="5"/>
      <c r="FG5" s="5"/>
      <c r="FH5" s="83"/>
      <c r="FI5" s="80"/>
      <c r="FJ5" s="80"/>
      <c r="FK5" s="5"/>
      <c r="FL5" s="5"/>
      <c r="FM5" s="5"/>
      <c r="FN5" s="5"/>
      <c r="FO5" s="5"/>
      <c r="FP5" s="80"/>
      <c r="FQ5" s="80"/>
      <c r="FR5" s="81"/>
      <c r="FS5" s="81"/>
      <c r="FT5" s="84"/>
      <c r="FU5" s="5"/>
      <c r="FV5" s="5"/>
      <c r="FW5" s="83"/>
      <c r="FX5" s="80"/>
      <c r="FY5" s="80"/>
      <c r="FZ5" s="5"/>
      <c r="GA5" s="5"/>
      <c r="GB5" s="5"/>
      <c r="GC5" s="5"/>
      <c r="GD5" s="5"/>
      <c r="GE5" s="80"/>
      <c r="GF5" s="80"/>
      <c r="GG5" s="81"/>
      <c r="GH5" s="81"/>
      <c r="GI5" s="84"/>
      <c r="GJ5" s="5"/>
      <c r="GK5" s="5"/>
      <c r="GL5" s="83"/>
      <c r="GM5" s="80"/>
      <c r="GN5" s="80"/>
      <c r="GO5" s="5"/>
      <c r="GP5" s="5"/>
      <c r="GQ5" s="5"/>
      <c r="GR5" s="5"/>
      <c r="GS5" s="5"/>
      <c r="GT5" s="80"/>
      <c r="GU5" s="80"/>
      <c r="GV5" s="81"/>
      <c r="GW5" s="81"/>
      <c r="GX5" s="84"/>
      <c r="GY5" s="5"/>
      <c r="GZ5" s="5"/>
      <c r="HA5" s="83"/>
      <c r="HB5" s="80"/>
      <c r="HC5" s="80"/>
      <c r="HD5" s="5"/>
      <c r="HE5" s="5"/>
      <c r="HF5" s="5"/>
      <c r="HG5" s="5"/>
      <c r="HH5" s="5"/>
      <c r="HI5" s="80"/>
      <c r="HJ5" s="80"/>
      <c r="HK5" s="81"/>
      <c r="HL5" s="81"/>
      <c r="HM5" s="84"/>
      <c r="HN5" s="5"/>
      <c r="HO5" s="5"/>
      <c r="HP5" s="83"/>
      <c r="HQ5" s="80"/>
      <c r="HR5" s="80"/>
      <c r="HS5" s="5"/>
      <c r="HT5" s="5"/>
      <c r="HU5" s="5"/>
      <c r="HV5" s="5"/>
      <c r="HW5" s="5"/>
      <c r="HX5" s="80"/>
      <c r="HY5" s="80"/>
      <c r="HZ5" s="81"/>
      <c r="IA5" s="81"/>
      <c r="IB5" s="84"/>
      <c r="IC5" s="5"/>
      <c r="ID5" s="5"/>
      <c r="IE5" s="83"/>
      <c r="IF5" s="80"/>
      <c r="IG5" s="80"/>
      <c r="IH5" s="5"/>
      <c r="II5" s="5"/>
      <c r="IJ5" s="5"/>
      <c r="IK5" s="5"/>
      <c r="IL5" s="5"/>
      <c r="IM5" s="80"/>
      <c r="IN5" s="80"/>
      <c r="IO5" s="81"/>
    </row>
    <row r="6" spans="1:12" ht="16.5" customHeight="1">
      <c r="A6" s="51" t="s">
        <v>4</v>
      </c>
      <c r="B6" s="56" t="s">
        <v>5</v>
      </c>
      <c r="C6" s="21">
        <v>240276</v>
      </c>
      <c r="D6" s="21">
        <v>42402</v>
      </c>
      <c r="E6" s="8">
        <f>8140791.156/30.126</f>
        <v>270224.76120294764</v>
      </c>
      <c r="F6" s="8">
        <f>1436622.162/30.126</f>
        <v>47687.119498107946</v>
      </c>
      <c r="G6" s="53">
        <v>207634.66955121822</v>
      </c>
      <c r="H6" s="54">
        <f>G6/C7</f>
        <v>0.734527163596807</v>
      </c>
      <c r="I6" s="46">
        <v>73121</v>
      </c>
      <c r="J6" s="54">
        <f>I6/C6</f>
        <v>0.3043208643393431</v>
      </c>
      <c r="K6" s="47">
        <v>73144.77408218815</v>
      </c>
      <c r="L6" s="98">
        <f>K6/C6</f>
        <v>0.3044198092285045</v>
      </c>
    </row>
    <row r="7" spans="1:12" ht="16.5" customHeight="1">
      <c r="A7" s="44"/>
      <c r="B7" s="56"/>
      <c r="C7" s="49">
        <f>C6+D6</f>
        <v>282678</v>
      </c>
      <c r="D7" s="97"/>
      <c r="E7" s="55">
        <f>E6+F6</f>
        <v>317911.8807010556</v>
      </c>
      <c r="F7" s="55"/>
      <c r="G7" s="53"/>
      <c r="H7" s="54"/>
      <c r="I7" s="46"/>
      <c r="J7" s="54"/>
      <c r="K7" s="47"/>
      <c r="L7" s="99"/>
    </row>
    <row r="8" spans="1:15" ht="16.5" customHeight="1">
      <c r="A8" s="51" t="s">
        <v>6</v>
      </c>
      <c r="B8" s="56" t="s">
        <v>7</v>
      </c>
      <c r="C8" s="21">
        <v>298769</v>
      </c>
      <c r="D8" s="21">
        <v>52724</v>
      </c>
      <c r="E8" s="8">
        <f>9964244.919/30.126</f>
        <v>330752.3374825732</v>
      </c>
      <c r="F8" s="8">
        <f>1758398.124/30.126</f>
        <v>58368.12467635929</v>
      </c>
      <c r="G8" s="53">
        <v>127527.36761999599</v>
      </c>
      <c r="H8" s="54">
        <f>G8/C9</f>
        <v>0.36281623708010113</v>
      </c>
      <c r="I8" s="46">
        <v>51591</v>
      </c>
      <c r="J8" s="54">
        <f>I8/C8</f>
        <v>0.1726785576816872</v>
      </c>
      <c r="K8" s="47">
        <v>51591</v>
      </c>
      <c r="L8" s="98">
        <f>K8/C8</f>
        <v>0.1726785576816872</v>
      </c>
      <c r="N8" s="10"/>
      <c r="O8" s="24"/>
    </row>
    <row r="9" spans="1:15" ht="16.5" customHeight="1">
      <c r="A9" s="44"/>
      <c r="B9" s="56"/>
      <c r="C9" s="49">
        <f>C8+D8</f>
        <v>351493</v>
      </c>
      <c r="D9" s="50"/>
      <c r="E9" s="55">
        <f>E8+F8</f>
        <v>389120.46215893247</v>
      </c>
      <c r="F9" s="58"/>
      <c r="G9" s="53"/>
      <c r="H9" s="54"/>
      <c r="I9" s="46"/>
      <c r="J9" s="54"/>
      <c r="K9" s="47"/>
      <c r="L9" s="99"/>
      <c r="N9" s="10"/>
      <c r="O9" s="24"/>
    </row>
    <row r="10" spans="1:15" ht="16.5" customHeight="1">
      <c r="A10" s="51" t="s">
        <v>8</v>
      </c>
      <c r="B10" s="56" t="s">
        <v>9</v>
      </c>
      <c r="C10" s="21">
        <v>555499</v>
      </c>
      <c r="D10" s="21">
        <v>98029</v>
      </c>
      <c r="E10" s="8">
        <f>18537001.63/30.126</f>
        <v>615315.7282745801</v>
      </c>
      <c r="F10" s="8">
        <f>3271227.73/30.126</f>
        <v>108584.86788820288</v>
      </c>
      <c r="G10" s="53">
        <v>90351.3297483901</v>
      </c>
      <c r="H10" s="54">
        <f>G10/C11</f>
        <v>0.13825165830444924</v>
      </c>
      <c r="I10" s="46">
        <v>16567</v>
      </c>
      <c r="J10" s="54">
        <f>I10/C10</f>
        <v>0.029823636046149498</v>
      </c>
      <c r="K10" s="47">
        <v>0</v>
      </c>
      <c r="L10" s="98">
        <f>K10/C10</f>
        <v>0</v>
      </c>
      <c r="N10" s="10"/>
      <c r="O10" s="10"/>
    </row>
    <row r="11" spans="1:15" ht="16.5" customHeight="1">
      <c r="A11" s="44"/>
      <c r="B11" s="56"/>
      <c r="C11" s="49">
        <f>C10+D10</f>
        <v>653528</v>
      </c>
      <c r="D11" s="50"/>
      <c r="E11" s="55">
        <f>E10+F10</f>
        <v>723900.596162783</v>
      </c>
      <c r="F11" s="58"/>
      <c r="G11" s="53"/>
      <c r="H11" s="54"/>
      <c r="I11" s="46"/>
      <c r="J11" s="54"/>
      <c r="K11" s="47"/>
      <c r="L11" s="99"/>
      <c r="N11" s="10"/>
      <c r="O11" s="10"/>
    </row>
    <row r="12" spans="1:15" ht="16.5" customHeight="1">
      <c r="A12" s="51" t="s">
        <v>10</v>
      </c>
      <c r="B12" s="56" t="s">
        <v>11</v>
      </c>
      <c r="C12" s="21">
        <v>322252</v>
      </c>
      <c r="D12" s="21">
        <v>56868</v>
      </c>
      <c r="E12" s="12">
        <f>10753549.24/30.126</f>
        <v>356952.441080794</v>
      </c>
      <c r="F12" s="12">
        <f>1897685.16/30.126</f>
        <v>62991.607249551875</v>
      </c>
      <c r="G12" s="53">
        <v>144428.8906592312</v>
      </c>
      <c r="H12" s="54">
        <f>G12/C13</f>
        <v>0.3809582471492699</v>
      </c>
      <c r="I12" s="46">
        <v>46462</v>
      </c>
      <c r="J12" s="54">
        <f>I12/C12</f>
        <v>0.14417908965654208</v>
      </c>
      <c r="K12" s="76">
        <v>46782.7889530638</v>
      </c>
      <c r="L12" s="98">
        <f>K12/C12</f>
        <v>0.1451745495856156</v>
      </c>
      <c r="N12" s="10"/>
      <c r="O12" s="10"/>
    </row>
    <row r="13" spans="1:15" ht="16.5" customHeight="1">
      <c r="A13" s="44"/>
      <c r="B13" s="56"/>
      <c r="C13" s="49">
        <f>C12+D12</f>
        <v>379120</v>
      </c>
      <c r="D13" s="50"/>
      <c r="E13" s="79">
        <f>E12+F12</f>
        <v>419944.04833034583</v>
      </c>
      <c r="F13" s="56"/>
      <c r="G13" s="53"/>
      <c r="H13" s="54"/>
      <c r="I13" s="46"/>
      <c r="J13" s="54"/>
      <c r="K13" s="76"/>
      <c r="L13" s="99"/>
      <c r="N13" s="10"/>
      <c r="O13" s="10"/>
    </row>
    <row r="14" spans="1:15" ht="16.5" customHeight="1">
      <c r="A14" s="51" t="s">
        <v>12</v>
      </c>
      <c r="B14" s="56" t="s">
        <v>13</v>
      </c>
      <c r="C14" s="21">
        <v>295565</v>
      </c>
      <c r="D14" s="21">
        <v>52158</v>
      </c>
      <c r="E14" s="8">
        <f>10014037.76/30.126</f>
        <v>332405.15700723627</v>
      </c>
      <c r="F14" s="8">
        <f>1767165.198/30.126</f>
        <v>58659.13821947819</v>
      </c>
      <c r="G14" s="53">
        <v>167740.22</v>
      </c>
      <c r="H14" s="54">
        <f>G14/C15</f>
        <v>0.4823961026449214</v>
      </c>
      <c r="I14" s="46">
        <v>8669</v>
      </c>
      <c r="J14" s="54">
        <f>I14/C14</f>
        <v>0.029330265762184293</v>
      </c>
      <c r="K14" s="47">
        <v>8669</v>
      </c>
      <c r="L14" s="98">
        <f>K14/C14</f>
        <v>0.029330265762184293</v>
      </c>
      <c r="N14" s="24"/>
      <c r="O14" s="10"/>
    </row>
    <row r="15" spans="1:15" ht="16.5" customHeight="1">
      <c r="A15" s="44"/>
      <c r="B15" s="56"/>
      <c r="C15" s="49">
        <f>C14+D14</f>
        <v>347723</v>
      </c>
      <c r="D15" s="50"/>
      <c r="E15" s="55">
        <f>E14+F14</f>
        <v>391064.29522671446</v>
      </c>
      <c r="F15" s="58"/>
      <c r="G15" s="53"/>
      <c r="H15" s="54"/>
      <c r="I15" s="46"/>
      <c r="J15" s="54"/>
      <c r="K15" s="47"/>
      <c r="L15" s="99"/>
      <c r="N15" s="24"/>
      <c r="O15" s="10"/>
    </row>
    <row r="16" spans="1:12" ht="16.5" customHeight="1">
      <c r="A16" s="51" t="s">
        <v>14</v>
      </c>
      <c r="B16" s="56" t="s">
        <v>15</v>
      </c>
      <c r="C16" s="21">
        <v>385263</v>
      </c>
      <c r="D16" s="21">
        <v>67987</v>
      </c>
      <c r="E16" s="8">
        <f>12848906.31/30.126</f>
        <v>426505.5536745668</v>
      </c>
      <c r="F16" s="8">
        <f>2267434.44/30.126</f>
        <v>75265.03485361481</v>
      </c>
      <c r="G16" s="53">
        <v>332260.4</v>
      </c>
      <c r="H16" s="54">
        <f>G16/C17</f>
        <v>0.7330621070049642</v>
      </c>
      <c r="I16" s="46">
        <v>273891</v>
      </c>
      <c r="J16" s="54">
        <f>I16/C16</f>
        <v>0.7109195536555548</v>
      </c>
      <c r="K16" s="47">
        <v>87622</v>
      </c>
      <c r="L16" s="98">
        <f>K16/C16</f>
        <v>0.22743424621622113</v>
      </c>
    </row>
    <row r="17" spans="1:12" ht="16.5" customHeight="1">
      <c r="A17" s="51"/>
      <c r="B17" s="56"/>
      <c r="C17" s="49">
        <f>C16+D16</f>
        <v>453250</v>
      </c>
      <c r="D17" s="50"/>
      <c r="E17" s="55">
        <f>E16+F16</f>
        <v>501770.5885281816</v>
      </c>
      <c r="F17" s="55"/>
      <c r="G17" s="53"/>
      <c r="H17" s="54"/>
      <c r="I17" s="46"/>
      <c r="J17" s="54"/>
      <c r="K17" s="47"/>
      <c r="L17" s="99"/>
    </row>
    <row r="18" spans="1:12" ht="16.5" customHeight="1">
      <c r="A18" s="51" t="s">
        <v>16</v>
      </c>
      <c r="B18" s="56" t="s">
        <v>17</v>
      </c>
      <c r="C18" s="21">
        <v>459014</v>
      </c>
      <c r="D18" s="21">
        <v>81003</v>
      </c>
      <c r="E18" s="8">
        <f>15551853.34/30.126</f>
        <v>516226.95810927433</v>
      </c>
      <c r="F18" s="8">
        <f>2744462.64/30.126</f>
        <v>91099.47022505477</v>
      </c>
      <c r="G18" s="53">
        <v>263211.1440031866</v>
      </c>
      <c r="H18" s="54">
        <f>G18/C19</f>
        <v>0.4874126999764574</v>
      </c>
      <c r="I18" s="46">
        <v>150175</v>
      </c>
      <c r="J18" s="54">
        <f>I18/C18</f>
        <v>0.32716867023663765</v>
      </c>
      <c r="K18" s="47">
        <v>61865</v>
      </c>
      <c r="L18" s="98">
        <f>K18/C18</f>
        <v>0.13477802419969762</v>
      </c>
    </row>
    <row r="19" spans="1:12" ht="16.5" customHeight="1">
      <c r="A19" s="51"/>
      <c r="B19" s="56"/>
      <c r="C19" s="49">
        <f>C18+D18</f>
        <v>540017</v>
      </c>
      <c r="D19" s="50"/>
      <c r="E19" s="55">
        <f>E18+F18</f>
        <v>607326.428334329</v>
      </c>
      <c r="F19" s="55"/>
      <c r="G19" s="53"/>
      <c r="H19" s="54"/>
      <c r="I19" s="46"/>
      <c r="J19" s="54"/>
      <c r="K19" s="47"/>
      <c r="L19" s="99"/>
    </row>
    <row r="20" spans="1:12" ht="16.5" customHeight="1">
      <c r="A20" s="57" t="s">
        <v>18</v>
      </c>
      <c r="B20" s="78" t="s">
        <v>19</v>
      </c>
      <c r="C20" s="9">
        <v>399551</v>
      </c>
      <c r="D20" s="9">
        <v>70509</v>
      </c>
      <c r="E20" s="8">
        <f>13333016.87/30.126</f>
        <v>442575.0803292836</v>
      </c>
      <c r="F20" s="8">
        <f>2352885.34/30.126</f>
        <v>78101.48509593042</v>
      </c>
      <c r="G20" s="53">
        <v>302950.7833738299</v>
      </c>
      <c r="H20" s="54">
        <f>G20/C21</f>
        <v>0.6444938590261454</v>
      </c>
      <c r="I20" s="46">
        <v>7347</v>
      </c>
      <c r="J20" s="54">
        <f>I20/C20</f>
        <v>0.018388140687922192</v>
      </c>
      <c r="K20" s="47">
        <v>7347</v>
      </c>
      <c r="L20" s="98">
        <f>K20/C20</f>
        <v>0.018388140687922192</v>
      </c>
    </row>
    <row r="21" spans="1:12" ht="16.5" customHeight="1">
      <c r="A21" s="57"/>
      <c r="B21" s="78"/>
      <c r="C21" s="49">
        <f>C20+D20</f>
        <v>470060</v>
      </c>
      <c r="D21" s="50"/>
      <c r="E21" s="59">
        <f>E20+F20</f>
        <v>520676.565425214</v>
      </c>
      <c r="F21" s="59"/>
      <c r="G21" s="53"/>
      <c r="H21" s="54"/>
      <c r="I21" s="46"/>
      <c r="J21" s="54"/>
      <c r="K21" s="47"/>
      <c r="L21" s="99"/>
    </row>
    <row r="22" spans="1:12" ht="16.5" customHeight="1">
      <c r="A22" s="57" t="s">
        <v>20</v>
      </c>
      <c r="B22" s="58" t="s">
        <v>21</v>
      </c>
      <c r="C22" s="11">
        <v>409822</v>
      </c>
      <c r="D22" s="11">
        <v>72321</v>
      </c>
      <c r="E22" s="8">
        <f>13795018.342/30.126</f>
        <v>457910.719710549</v>
      </c>
      <c r="F22" s="8">
        <f>2434397.181/30.126</f>
        <v>80807.18253335988</v>
      </c>
      <c r="G22" s="77">
        <v>79833.5076053907</v>
      </c>
      <c r="H22" s="54">
        <f>G22/C23</f>
        <v>0.1655805593058298</v>
      </c>
      <c r="I22" s="46">
        <v>6878</v>
      </c>
      <c r="J22" s="54">
        <f>I22/C22</f>
        <v>0.016782895988990344</v>
      </c>
      <c r="K22" s="47">
        <v>6878</v>
      </c>
      <c r="L22" s="98">
        <f>K22/C22</f>
        <v>0.016782895988990344</v>
      </c>
    </row>
    <row r="23" spans="1:12" ht="16.5" customHeight="1">
      <c r="A23" s="57"/>
      <c r="B23" s="58"/>
      <c r="C23" s="49">
        <f>C22+D22</f>
        <v>482143</v>
      </c>
      <c r="D23" s="50"/>
      <c r="E23" s="46">
        <f>E22+F22</f>
        <v>538717.9022439088</v>
      </c>
      <c r="F23" s="46"/>
      <c r="G23" s="77"/>
      <c r="H23" s="54"/>
      <c r="I23" s="46"/>
      <c r="J23" s="54"/>
      <c r="K23" s="47"/>
      <c r="L23" s="99"/>
    </row>
    <row r="24" spans="1:12" ht="16.5" customHeight="1">
      <c r="A24" s="57" t="s">
        <v>22</v>
      </c>
      <c r="B24" s="58" t="s">
        <v>23</v>
      </c>
      <c r="C24" s="11">
        <v>321028</v>
      </c>
      <c r="D24" s="11">
        <v>56652</v>
      </c>
      <c r="E24" s="8">
        <f>10706604.828/30.126</f>
        <v>355394.1720772754</v>
      </c>
      <c r="F24" s="8">
        <f>1889400.86/30.126</f>
        <v>62716.61886742349</v>
      </c>
      <c r="G24" s="53">
        <v>281777.64793600206</v>
      </c>
      <c r="H24" s="54">
        <f>G24/C25</f>
        <v>0.7460751110358029</v>
      </c>
      <c r="I24" s="46">
        <v>175288</v>
      </c>
      <c r="J24" s="54">
        <f>I24/C24</f>
        <v>0.5460209078335846</v>
      </c>
      <c r="K24" s="47">
        <v>175288</v>
      </c>
      <c r="L24" s="98">
        <f>K24/C24</f>
        <v>0.5460209078335846</v>
      </c>
    </row>
    <row r="25" spans="1:12" ht="16.5" customHeight="1">
      <c r="A25" s="57"/>
      <c r="B25" s="58"/>
      <c r="C25" s="49">
        <f>C24+D24</f>
        <v>377680</v>
      </c>
      <c r="D25" s="50"/>
      <c r="E25" s="46">
        <f>E24+F24</f>
        <v>418110.7909446989</v>
      </c>
      <c r="F25" s="46"/>
      <c r="G25" s="53"/>
      <c r="H25" s="54"/>
      <c r="I25" s="46"/>
      <c r="J25" s="54"/>
      <c r="K25" s="47"/>
      <c r="L25" s="99"/>
    </row>
    <row r="26" spans="1:12" ht="16.5" customHeight="1">
      <c r="A26" s="51" t="s">
        <v>24</v>
      </c>
      <c r="B26" s="56" t="s">
        <v>25</v>
      </c>
      <c r="C26" s="21">
        <v>346107</v>
      </c>
      <c r="D26" s="21">
        <v>80503</v>
      </c>
      <c r="E26" s="8">
        <f>11549590.59/30.126</f>
        <v>383376.173073093</v>
      </c>
      <c r="F26" s="8">
        <f>2686385.12/30.126</f>
        <v>89171.64973776804</v>
      </c>
      <c r="G26" s="53">
        <v>221501.85138949752</v>
      </c>
      <c r="H26" s="54">
        <f>G26/C27</f>
        <v>0.5192139222931894</v>
      </c>
      <c r="I26" s="46">
        <v>57967</v>
      </c>
      <c r="J26" s="54">
        <f>I26/C26</f>
        <v>0.167482888239764</v>
      </c>
      <c r="K26" s="47">
        <v>8701.666998605855</v>
      </c>
      <c r="L26" s="98">
        <f>K26/C26</f>
        <v>0.025141551597066384</v>
      </c>
    </row>
    <row r="27" spans="1:12" ht="16.5" customHeight="1">
      <c r="A27" s="51"/>
      <c r="B27" s="56"/>
      <c r="C27" s="49">
        <f>C26+D26</f>
        <v>426610</v>
      </c>
      <c r="D27" s="50"/>
      <c r="E27" s="46">
        <f>E26+F26</f>
        <v>472547.82281086105</v>
      </c>
      <c r="F27" s="46"/>
      <c r="G27" s="53"/>
      <c r="H27" s="54"/>
      <c r="I27" s="46"/>
      <c r="J27" s="54"/>
      <c r="K27" s="47"/>
      <c r="L27" s="99"/>
    </row>
    <row r="28" spans="1:12" ht="16.5" customHeight="1">
      <c r="A28" s="51" t="s">
        <v>26</v>
      </c>
      <c r="B28" s="52" t="s">
        <v>27</v>
      </c>
      <c r="C28" s="20">
        <v>428141</v>
      </c>
      <c r="D28" s="20">
        <v>75554</v>
      </c>
      <c r="E28" s="8">
        <f>14411654.2/30.126</f>
        <v>478379.28035583877</v>
      </c>
      <c r="F28" s="8">
        <f>2543223.2/30.126</f>
        <v>84419.54457943304</v>
      </c>
      <c r="G28" s="53">
        <v>534658.8833565691</v>
      </c>
      <c r="H28" s="54">
        <f>G28/C29</f>
        <v>1.0614734777128403</v>
      </c>
      <c r="I28" s="46">
        <v>402956</v>
      </c>
      <c r="J28" s="54">
        <f>I28/C28</f>
        <v>0.9411759210166745</v>
      </c>
      <c r="K28" s="47">
        <v>403335.7729535949</v>
      </c>
      <c r="L28" s="98">
        <f>K28/C28</f>
        <v>0.9420629487799461</v>
      </c>
    </row>
    <row r="29" spans="1:12" ht="16.5" customHeight="1">
      <c r="A29" s="51"/>
      <c r="B29" s="52"/>
      <c r="C29" s="49">
        <f>C28+D28</f>
        <v>503695</v>
      </c>
      <c r="D29" s="50"/>
      <c r="E29" s="14">
        <f>E28+F28</f>
        <v>562798.8249352719</v>
      </c>
      <c r="F29" s="14"/>
      <c r="G29" s="53"/>
      <c r="H29" s="54"/>
      <c r="I29" s="46"/>
      <c r="J29" s="54"/>
      <c r="K29" s="47"/>
      <c r="L29" s="99"/>
    </row>
    <row r="30" spans="1:12" ht="16.5" customHeight="1">
      <c r="A30" s="57" t="s">
        <v>28</v>
      </c>
      <c r="B30" s="58" t="s">
        <v>29</v>
      </c>
      <c r="C30" s="11">
        <v>438737</v>
      </c>
      <c r="D30" s="11">
        <v>77424</v>
      </c>
      <c r="E30" s="8">
        <f>14632317.687/30.126</f>
        <v>485703.9662417845</v>
      </c>
      <c r="F30" s="8">
        <f>2582167.824/30.126</f>
        <v>85712.2692690699</v>
      </c>
      <c r="G30" s="53">
        <v>400824.12221602595</v>
      </c>
      <c r="H30" s="54">
        <f>G30/C31</f>
        <v>0.7765486393122029</v>
      </c>
      <c r="I30" s="46">
        <v>233178</v>
      </c>
      <c r="J30" s="54">
        <f>I30/C30</f>
        <v>0.5314755764843175</v>
      </c>
      <c r="K30" s="47">
        <v>233184.84007169888</v>
      </c>
      <c r="L30" s="98">
        <f>K30/C30</f>
        <v>0.5314911668532604</v>
      </c>
    </row>
    <row r="31" spans="1:12" ht="16.5" customHeight="1">
      <c r="A31" s="57"/>
      <c r="B31" s="58"/>
      <c r="C31" s="49">
        <f>C30+D30</f>
        <v>516161</v>
      </c>
      <c r="D31" s="50"/>
      <c r="E31" s="55">
        <f>E30+F30</f>
        <v>571416.2355108544</v>
      </c>
      <c r="F31" s="55"/>
      <c r="G31" s="53"/>
      <c r="H31" s="54"/>
      <c r="I31" s="46"/>
      <c r="J31" s="54"/>
      <c r="K31" s="47"/>
      <c r="L31" s="99"/>
    </row>
    <row r="32" spans="1:12" ht="16.5" customHeight="1">
      <c r="A32" s="51" t="s">
        <v>30</v>
      </c>
      <c r="B32" s="56" t="s">
        <v>31</v>
      </c>
      <c r="C32" s="21">
        <v>277294</v>
      </c>
      <c r="D32" s="21">
        <v>48934</v>
      </c>
      <c r="E32" s="8">
        <f>9092470.26/30.126</f>
        <v>301814.7201752639</v>
      </c>
      <c r="F32" s="8">
        <f>1604545.86/30.126</f>
        <v>53261.16510655248</v>
      </c>
      <c r="G32" s="53">
        <v>280569.57384717517</v>
      </c>
      <c r="H32" s="54">
        <f>G32/C33</f>
        <v>0.860041363240357</v>
      </c>
      <c r="I32" s="46">
        <v>118393</v>
      </c>
      <c r="J32" s="54">
        <f>I32/C32</f>
        <v>0.4269583907333011</v>
      </c>
      <c r="K32" s="76">
        <v>118407.57319259111</v>
      </c>
      <c r="L32" s="98">
        <f>K32/C32</f>
        <v>0.4270109457564574</v>
      </c>
    </row>
    <row r="33" spans="1:12" ht="16.5" customHeight="1">
      <c r="A33" s="44"/>
      <c r="B33" s="56"/>
      <c r="C33" s="49">
        <f>C32+D32</f>
        <v>326228</v>
      </c>
      <c r="D33" s="50"/>
      <c r="E33" s="46">
        <f>E32+F32</f>
        <v>355075.88528181636</v>
      </c>
      <c r="F33" s="46"/>
      <c r="G33" s="53"/>
      <c r="H33" s="54"/>
      <c r="I33" s="46"/>
      <c r="J33" s="54"/>
      <c r="K33" s="76"/>
      <c r="L33" s="99"/>
    </row>
    <row r="34" spans="1:12" ht="16.5" customHeight="1">
      <c r="A34" s="51" t="s">
        <v>32</v>
      </c>
      <c r="B34" s="56" t="s">
        <v>33</v>
      </c>
      <c r="C34" s="21">
        <v>321272</v>
      </c>
      <c r="D34" s="21">
        <v>56695</v>
      </c>
      <c r="E34" s="8">
        <f>10534508.88/30.126</f>
        <v>349681.6331408086</v>
      </c>
      <c r="F34" s="8">
        <f>1859029.05/30.126</f>
        <v>61708.459470225054</v>
      </c>
      <c r="G34" s="53">
        <v>193047.729535949</v>
      </c>
      <c r="H34" s="54">
        <f>G34/C35</f>
        <v>0.5107528687317914</v>
      </c>
      <c r="I34" s="46">
        <v>24126</v>
      </c>
      <c r="J34" s="54">
        <f>I34/C34</f>
        <v>0.07509524639557758</v>
      </c>
      <c r="K34" s="47">
        <v>24292.57385646949</v>
      </c>
      <c r="L34" s="98">
        <f>K34/C34</f>
        <v>0.07561372872976634</v>
      </c>
    </row>
    <row r="35" spans="1:12" ht="16.5" customHeight="1">
      <c r="A35" s="44"/>
      <c r="B35" s="56"/>
      <c r="C35" s="49">
        <f>C34+D34</f>
        <v>377967</v>
      </c>
      <c r="D35" s="50"/>
      <c r="E35" s="46">
        <f>E34+F34</f>
        <v>411390.09261103364</v>
      </c>
      <c r="F35" s="46"/>
      <c r="G35" s="53"/>
      <c r="H35" s="54"/>
      <c r="I35" s="46"/>
      <c r="J35" s="54"/>
      <c r="K35" s="47"/>
      <c r="L35" s="99"/>
    </row>
    <row r="36" spans="1:12" ht="16.5" customHeight="1">
      <c r="A36" s="51" t="s">
        <v>34</v>
      </c>
      <c r="B36" s="56" t="s">
        <v>35</v>
      </c>
      <c r="C36" s="21">
        <v>329460</v>
      </c>
      <c r="D36" s="21">
        <v>58140</v>
      </c>
      <c r="E36" s="8">
        <f>10987820.46/30.126</f>
        <v>364728.8209520016</v>
      </c>
      <c r="F36" s="8">
        <f>1939027.14/30.126</f>
        <v>64363.90957976498</v>
      </c>
      <c r="G36" s="53">
        <v>407638.09039102437</v>
      </c>
      <c r="H36" s="54">
        <f>G36/C37</f>
        <v>1.0516978596259658</v>
      </c>
      <c r="I36" s="46">
        <v>310080</v>
      </c>
      <c r="J36" s="54">
        <f>I36/C36</f>
        <v>0.9411764705882353</v>
      </c>
      <c r="K36" s="47">
        <v>310081.5</v>
      </c>
      <c r="L36" s="98">
        <f>K36/C36</f>
        <v>0.9411810234929885</v>
      </c>
    </row>
    <row r="37" spans="1:12" ht="16.5" customHeight="1">
      <c r="A37" s="51"/>
      <c r="B37" s="56"/>
      <c r="C37" s="49">
        <f>C36+D36</f>
        <v>387600</v>
      </c>
      <c r="D37" s="50"/>
      <c r="E37" s="48">
        <f>E36+F36</f>
        <v>429092.7305317666</v>
      </c>
      <c r="F37" s="48"/>
      <c r="G37" s="53"/>
      <c r="H37" s="54"/>
      <c r="I37" s="46"/>
      <c r="J37" s="54"/>
      <c r="K37" s="47"/>
      <c r="L37" s="99"/>
    </row>
    <row r="38" spans="1:12" ht="16.5" customHeight="1">
      <c r="A38" s="51" t="s">
        <v>36</v>
      </c>
      <c r="B38" s="52" t="s">
        <v>37</v>
      </c>
      <c r="C38" s="20">
        <v>880102</v>
      </c>
      <c r="D38" s="20">
        <v>155312</v>
      </c>
      <c r="E38" s="8">
        <f>29352281.802/30.126</f>
        <v>974317.2609042024</v>
      </c>
      <c r="F38" s="8">
        <f>5179810.52/30.126</f>
        <v>171938.2101838943</v>
      </c>
      <c r="G38" s="53">
        <v>1088942.713296156</v>
      </c>
      <c r="H38" s="54">
        <f>G38/C39</f>
        <v>1.051697884417398</v>
      </c>
      <c r="I38" s="46">
        <v>676968</v>
      </c>
      <c r="J38" s="54">
        <f>I38/C38</f>
        <v>0.7691926617596597</v>
      </c>
      <c r="K38" s="47">
        <v>676998.36</v>
      </c>
      <c r="L38" s="98">
        <f>K38/C38</f>
        <v>0.7692271577612595</v>
      </c>
    </row>
    <row r="39" spans="1:12" ht="16.5" customHeight="1">
      <c r="A39" s="51"/>
      <c r="B39" s="52"/>
      <c r="C39" s="49">
        <f>C38+D38</f>
        <v>1035414</v>
      </c>
      <c r="D39" s="50"/>
      <c r="E39" s="48">
        <f>E38+F38</f>
        <v>1146255.4710880967</v>
      </c>
      <c r="F39" s="48"/>
      <c r="G39" s="53"/>
      <c r="H39" s="54"/>
      <c r="I39" s="46"/>
      <c r="J39" s="54"/>
      <c r="K39" s="47"/>
      <c r="L39" s="99"/>
    </row>
    <row r="40" spans="1:12" ht="16.5" customHeight="1">
      <c r="A40" s="51" t="s">
        <v>38</v>
      </c>
      <c r="B40" s="52" t="s">
        <v>39</v>
      </c>
      <c r="C40" s="20">
        <v>447396</v>
      </c>
      <c r="D40" s="20">
        <v>78952</v>
      </c>
      <c r="E40" s="8">
        <f>14921103.996/30.126</f>
        <v>495289.9155546703</v>
      </c>
      <c r="F40" s="8">
        <f>2633128.16/30.126</f>
        <v>87403.84252804886</v>
      </c>
      <c r="G40" s="53">
        <v>540964.8329057957</v>
      </c>
      <c r="H40" s="54">
        <f>G40/C41</f>
        <v>1.0277702829796933</v>
      </c>
      <c r="I40" s="46">
        <v>164134</v>
      </c>
      <c r="J40" s="54">
        <f>I40/C40</f>
        <v>0.3668651485484895</v>
      </c>
      <c r="K40" s="47">
        <v>164134</v>
      </c>
      <c r="L40" s="98">
        <f>K40/C40</f>
        <v>0.3668651485484895</v>
      </c>
    </row>
    <row r="41" spans="1:12" ht="16.5" customHeight="1">
      <c r="A41" s="51"/>
      <c r="B41" s="52"/>
      <c r="C41" s="49">
        <f>C40+D40</f>
        <v>526348</v>
      </c>
      <c r="D41" s="50"/>
      <c r="E41" s="48">
        <f>E40+F40</f>
        <v>582693.7580827192</v>
      </c>
      <c r="F41" s="48"/>
      <c r="G41" s="53"/>
      <c r="H41" s="54"/>
      <c r="I41" s="46"/>
      <c r="J41" s="54"/>
      <c r="K41" s="47"/>
      <c r="L41" s="99"/>
    </row>
    <row r="42" spans="1:12" ht="16.5" customHeight="1">
      <c r="A42" s="51" t="s">
        <v>40</v>
      </c>
      <c r="B42" s="52" t="s">
        <v>41</v>
      </c>
      <c r="C42" s="20">
        <v>351167</v>
      </c>
      <c r="D42" s="20">
        <v>61971</v>
      </c>
      <c r="E42" s="8">
        <f>11514765.93/30.126</f>
        <v>382220.2061342362</v>
      </c>
      <c r="F42" s="8">
        <f>2032029.1/30.126</f>
        <v>67451.00909513378</v>
      </c>
      <c r="G42" s="53">
        <v>352734.48205138405</v>
      </c>
      <c r="H42" s="54">
        <f>G42/C43</f>
        <v>0.8537933621486865</v>
      </c>
      <c r="I42" s="46">
        <v>260626</v>
      </c>
      <c r="J42" s="54">
        <f>I42/C42</f>
        <v>0.7421711037768355</v>
      </c>
      <c r="K42" s="47">
        <v>260626</v>
      </c>
      <c r="L42" s="98">
        <f>K42/C42</f>
        <v>0.7421711037768355</v>
      </c>
    </row>
    <row r="43" spans="1:12" ht="16.5" customHeight="1">
      <c r="A43" s="51"/>
      <c r="B43" s="52"/>
      <c r="C43" s="49">
        <f>C42+D42</f>
        <v>413138</v>
      </c>
      <c r="D43" s="50"/>
      <c r="E43" s="48">
        <f>E42+F42</f>
        <v>449671.21522936993</v>
      </c>
      <c r="F43" s="48"/>
      <c r="G43" s="53"/>
      <c r="H43" s="54"/>
      <c r="I43" s="46"/>
      <c r="J43" s="54"/>
      <c r="K43" s="47"/>
      <c r="L43" s="99"/>
    </row>
    <row r="44" spans="1:12" ht="16.5" customHeight="1">
      <c r="A44" s="51" t="s">
        <v>42</v>
      </c>
      <c r="B44" s="56" t="s">
        <v>43</v>
      </c>
      <c r="C44" s="21">
        <v>343021</v>
      </c>
      <c r="D44" s="21">
        <v>62595</v>
      </c>
      <c r="E44" s="8">
        <f>11186600.852/30.126</f>
        <v>371327.12115780386</v>
      </c>
      <c r="F44" s="8">
        <f>2041348.14/30.126</f>
        <v>67760.34455287791</v>
      </c>
      <c r="G44" s="53">
        <v>171642.22930359156</v>
      </c>
      <c r="H44" s="54">
        <f>G44/C45</f>
        <v>0.42316434584333845</v>
      </c>
      <c r="I44" s="46">
        <v>31072</v>
      </c>
      <c r="J44" s="54">
        <f>I44/C44</f>
        <v>0.09058337536185831</v>
      </c>
      <c r="K44" s="47">
        <v>0</v>
      </c>
      <c r="L44" s="98">
        <f>K44/C44</f>
        <v>0</v>
      </c>
    </row>
    <row r="45" spans="1:12" ht="16.5" customHeight="1">
      <c r="A45" s="44"/>
      <c r="B45" s="56"/>
      <c r="C45" s="49">
        <f>C44+D44</f>
        <v>405616</v>
      </c>
      <c r="D45" s="50"/>
      <c r="E45" s="55">
        <f>E44+F44</f>
        <v>439087.46571068175</v>
      </c>
      <c r="F45" s="75"/>
      <c r="G45" s="53"/>
      <c r="H45" s="54"/>
      <c r="I45" s="46"/>
      <c r="J45" s="54"/>
      <c r="K45" s="47"/>
      <c r="L45" s="99"/>
    </row>
    <row r="46" spans="1:12" ht="16.5" customHeight="1">
      <c r="A46" s="51" t="s">
        <v>44</v>
      </c>
      <c r="B46" s="56" t="s">
        <v>45</v>
      </c>
      <c r="C46" s="21">
        <v>811667</v>
      </c>
      <c r="D46" s="21">
        <v>143235</v>
      </c>
      <c r="E46" s="8">
        <f>27272822.867/30.126</f>
        <v>905291.8697138684</v>
      </c>
      <c r="F46" s="8">
        <f>4812839.235/30.126</f>
        <v>159756.99512049393</v>
      </c>
      <c r="G46" s="53">
        <v>468066.75588528195</v>
      </c>
      <c r="H46" s="54">
        <f>G46/C47</f>
        <v>0.4901725579015249</v>
      </c>
      <c r="I46" s="46">
        <v>98091</v>
      </c>
      <c r="J46" s="54">
        <f>I46/C46</f>
        <v>0.12085128507134084</v>
      </c>
      <c r="K46" s="47">
        <v>98091</v>
      </c>
      <c r="L46" s="98">
        <f>K46/C46</f>
        <v>0.12085128507134084</v>
      </c>
    </row>
    <row r="47" spans="1:12" ht="16.5" customHeight="1">
      <c r="A47" s="51"/>
      <c r="B47" s="56"/>
      <c r="C47" s="49">
        <f>C46+D46</f>
        <v>954902</v>
      </c>
      <c r="D47" s="50"/>
      <c r="E47" s="55">
        <f>E46+F46</f>
        <v>1065048.8648343622</v>
      </c>
      <c r="F47" s="55"/>
      <c r="G47" s="53"/>
      <c r="H47" s="54"/>
      <c r="I47" s="46"/>
      <c r="J47" s="54"/>
      <c r="K47" s="47"/>
      <c r="L47" s="99"/>
    </row>
    <row r="48" spans="1:12" ht="16.5" customHeight="1">
      <c r="A48" s="51" t="s">
        <v>46</v>
      </c>
      <c r="B48" s="56" t="s">
        <v>47</v>
      </c>
      <c r="C48" s="21">
        <v>315932</v>
      </c>
      <c r="D48" s="21">
        <v>55753</v>
      </c>
      <c r="E48" s="8">
        <f>10536648.132/30.126</f>
        <v>349752.64329814777</v>
      </c>
      <c r="F48" s="8">
        <f>1859418.303/30.126</f>
        <v>61721.38030272854</v>
      </c>
      <c r="G48" s="53">
        <v>189504.09114519018</v>
      </c>
      <c r="H48" s="54">
        <f>G48/C49</f>
        <v>0.5098513288004364</v>
      </c>
      <c r="I48" s="46">
        <v>79046</v>
      </c>
      <c r="J48" s="54">
        <f>I48/C48</f>
        <v>0.25019940999962015</v>
      </c>
      <c r="K48" s="47">
        <v>79046</v>
      </c>
      <c r="L48" s="98">
        <f>K48/C48</f>
        <v>0.25019940999962015</v>
      </c>
    </row>
    <row r="49" spans="1:12" ht="16.5" customHeight="1">
      <c r="A49" s="51"/>
      <c r="B49" s="56"/>
      <c r="C49" s="49">
        <f>C48+D48</f>
        <v>371685</v>
      </c>
      <c r="D49" s="50"/>
      <c r="E49" s="55">
        <f>E48+F48</f>
        <v>411474.02360087633</v>
      </c>
      <c r="F49" s="55"/>
      <c r="G49" s="53"/>
      <c r="H49" s="54"/>
      <c r="I49" s="46"/>
      <c r="J49" s="54"/>
      <c r="K49" s="47"/>
      <c r="L49" s="99"/>
    </row>
    <row r="50" spans="1:12" ht="16.5" customHeight="1">
      <c r="A50" s="51" t="s">
        <v>48</v>
      </c>
      <c r="B50" s="56" t="s">
        <v>49</v>
      </c>
      <c r="C50" s="21">
        <v>304633</v>
      </c>
      <c r="D50" s="21">
        <v>53759</v>
      </c>
      <c r="E50" s="8">
        <f>10254251.42/30.126</f>
        <v>340378.78974971786</v>
      </c>
      <c r="F50" s="8">
        <f>1809581.7/30.126</f>
        <v>60067.108145787686</v>
      </c>
      <c r="G50" s="53">
        <v>208838.76660293434</v>
      </c>
      <c r="H50" s="54">
        <f>G50/C51</f>
        <v>0.582710458388955</v>
      </c>
      <c r="I50" s="46">
        <v>117289</v>
      </c>
      <c r="J50" s="54">
        <f>I50/C50</f>
        <v>0.3850173815706112</v>
      </c>
      <c r="K50" s="47">
        <v>117289</v>
      </c>
      <c r="L50" s="98">
        <f>K50/C50</f>
        <v>0.3850173815706112</v>
      </c>
    </row>
    <row r="51" spans="1:12" ht="16.5" customHeight="1">
      <c r="A51" s="51"/>
      <c r="B51" s="56"/>
      <c r="C51" s="49">
        <f>C50+D50</f>
        <v>358392</v>
      </c>
      <c r="D51" s="50"/>
      <c r="E51" s="55">
        <f>E50+F50</f>
        <v>400445.89789550554</v>
      </c>
      <c r="F51" s="55"/>
      <c r="G51" s="53"/>
      <c r="H51" s="54"/>
      <c r="I51" s="46"/>
      <c r="J51" s="54"/>
      <c r="K51" s="47"/>
      <c r="L51" s="99"/>
    </row>
    <row r="52" spans="1:12" ht="16.5" customHeight="1">
      <c r="A52" s="51" t="s">
        <v>50</v>
      </c>
      <c r="B52" s="56" t="s">
        <v>51</v>
      </c>
      <c r="C52" s="21">
        <v>406304</v>
      </c>
      <c r="D52" s="21">
        <v>71701</v>
      </c>
      <c r="E52" s="12">
        <f>13676598.944/30.126</f>
        <v>453979.9158202217</v>
      </c>
      <c r="F52" s="12">
        <f>2413527.361/30.126</f>
        <v>80114.43142136361</v>
      </c>
      <c r="G52" s="53">
        <v>230121.97</v>
      </c>
      <c r="H52" s="54">
        <f>G52/C53</f>
        <v>0.481421679689543</v>
      </c>
      <c r="I52" s="46">
        <v>8350</v>
      </c>
      <c r="J52" s="54">
        <f>I52/C52</f>
        <v>0.02055111443648106</v>
      </c>
      <c r="K52" s="47">
        <v>8355.986124941912</v>
      </c>
      <c r="L52" s="98">
        <f>K52/C52</f>
        <v>0.02056584755488972</v>
      </c>
    </row>
    <row r="53" spans="1:12" ht="16.5" customHeight="1">
      <c r="A53" s="51"/>
      <c r="B53" s="56"/>
      <c r="C53" s="49">
        <f>C52+D52</f>
        <v>478005</v>
      </c>
      <c r="D53" s="50"/>
      <c r="E53" s="55">
        <f>E52+F52</f>
        <v>534094.3472415854</v>
      </c>
      <c r="F53" s="55"/>
      <c r="G53" s="53"/>
      <c r="H53" s="54"/>
      <c r="I53" s="46"/>
      <c r="J53" s="54"/>
      <c r="K53" s="47"/>
      <c r="L53" s="99"/>
    </row>
    <row r="54" spans="1:12" ht="16.5" customHeight="1">
      <c r="A54" s="51" t="s">
        <v>52</v>
      </c>
      <c r="B54" s="56" t="s">
        <v>53</v>
      </c>
      <c r="C54" s="21">
        <v>516310</v>
      </c>
      <c r="D54" s="21">
        <v>57368</v>
      </c>
      <c r="E54" s="11">
        <f>17229264.7/30.126</f>
        <v>571906.8147115448</v>
      </c>
      <c r="F54" s="11">
        <f>1914370.16/30.126</f>
        <v>63545.4477859656</v>
      </c>
      <c r="G54" s="53">
        <v>72141.78782447055</v>
      </c>
      <c r="H54" s="54">
        <f>G54/C55</f>
        <v>0.12575310160834222</v>
      </c>
      <c r="I54" s="46">
        <v>1148</v>
      </c>
      <c r="J54" s="54">
        <f>I54/C54</f>
        <v>0.0022234703956925104</v>
      </c>
      <c r="K54" s="47">
        <v>1155.9264422757751</v>
      </c>
      <c r="L54" s="98">
        <f>K54/C54</f>
        <v>0.002238822494772085</v>
      </c>
    </row>
    <row r="55" spans="1:12" ht="16.5" customHeight="1">
      <c r="A55" s="51"/>
      <c r="B55" s="56"/>
      <c r="C55" s="49">
        <f>C54+D54</f>
        <v>573678</v>
      </c>
      <c r="D55" s="50"/>
      <c r="E55" s="55">
        <f>E54+F54</f>
        <v>635452.2624975104</v>
      </c>
      <c r="F55" s="55"/>
      <c r="G55" s="53"/>
      <c r="H55" s="54"/>
      <c r="I55" s="46"/>
      <c r="J55" s="54"/>
      <c r="K55" s="47"/>
      <c r="L55" s="99"/>
    </row>
    <row r="56" spans="1:12" ht="16.5" customHeight="1">
      <c r="A56" s="51" t="s">
        <v>54</v>
      </c>
      <c r="B56" s="52" t="s">
        <v>55</v>
      </c>
      <c r="C56" s="20">
        <v>349850</v>
      </c>
      <c r="D56" s="20">
        <v>61738</v>
      </c>
      <c r="E56" s="11">
        <f>10605702.74/30.126</f>
        <v>352044.83635397995</v>
      </c>
      <c r="F56" s="11">
        <f>1871587.48/30.126</f>
        <v>62125.32297683064</v>
      </c>
      <c r="G56" s="53">
        <v>155740.79198831573</v>
      </c>
      <c r="H56" s="54">
        <f>G56/C57</f>
        <v>0.37839002106066194</v>
      </c>
      <c r="I56" s="46">
        <v>8673</v>
      </c>
      <c r="J56" s="54">
        <f>I56/C56</f>
        <v>0.02479062455338002</v>
      </c>
      <c r="K56" s="47">
        <v>0</v>
      </c>
      <c r="L56" s="98">
        <f>K56/C56</f>
        <v>0</v>
      </c>
    </row>
    <row r="57" spans="1:12" ht="25.5" customHeight="1">
      <c r="A57" s="44"/>
      <c r="B57" s="52"/>
      <c r="C57" s="49">
        <f>C56+D56</f>
        <v>411588</v>
      </c>
      <c r="D57" s="50"/>
      <c r="E57" s="48">
        <f>E56+F56</f>
        <v>414170.1593308106</v>
      </c>
      <c r="F57" s="43"/>
      <c r="G57" s="53"/>
      <c r="H57" s="54"/>
      <c r="I57" s="46"/>
      <c r="J57" s="54"/>
      <c r="K57" s="47"/>
      <c r="L57" s="99"/>
    </row>
    <row r="58" spans="1:12" ht="16.5" customHeight="1">
      <c r="A58" s="51" t="s">
        <v>56</v>
      </c>
      <c r="B58" s="52" t="s">
        <v>57</v>
      </c>
      <c r="C58" s="20">
        <v>373009</v>
      </c>
      <c r="D58" s="20">
        <v>65825</v>
      </c>
      <c r="E58" s="9">
        <f>12555855.95/30.126</f>
        <v>416778.06379871204</v>
      </c>
      <c r="F58" s="11">
        <f>2215735.32/30.126</f>
        <v>73548.9384584744</v>
      </c>
      <c r="G58" s="53">
        <v>349958.893651995</v>
      </c>
      <c r="H58" s="54">
        <f>G58/C59</f>
        <v>0.7974744291736625</v>
      </c>
      <c r="I58" s="46">
        <v>131405</v>
      </c>
      <c r="J58" s="54">
        <f>I58/C58</f>
        <v>0.35228372505757233</v>
      </c>
      <c r="K58" s="47">
        <v>2541.4266746332073</v>
      </c>
      <c r="L58" s="98">
        <f>K58/C58</f>
        <v>0.0068133119432324885</v>
      </c>
    </row>
    <row r="59" spans="1:12" ht="16.5" customHeight="1">
      <c r="A59" s="51"/>
      <c r="B59" s="52"/>
      <c r="C59" s="49">
        <f>C58+D58</f>
        <v>438834</v>
      </c>
      <c r="D59" s="50"/>
      <c r="E59" s="48">
        <f>E58+F58</f>
        <v>490327.00225718645</v>
      </c>
      <c r="F59" s="48"/>
      <c r="G59" s="53"/>
      <c r="H59" s="54"/>
      <c r="I59" s="46"/>
      <c r="J59" s="54"/>
      <c r="K59" s="47"/>
      <c r="L59" s="99"/>
    </row>
    <row r="60" spans="1:12" ht="16.5" customHeight="1">
      <c r="A60" s="51" t="s">
        <v>58</v>
      </c>
      <c r="B60" s="52" t="s">
        <v>59</v>
      </c>
      <c r="C60" s="20">
        <v>363068</v>
      </c>
      <c r="D60" s="20">
        <v>64071</v>
      </c>
      <c r="E60" s="9">
        <f>12199447.86/30.126</f>
        <v>404947.48257319257</v>
      </c>
      <c r="F60" s="11">
        <f>2152849.68/30.126</f>
        <v>71461.51762597093</v>
      </c>
      <c r="G60" s="53">
        <v>130997.27811856868</v>
      </c>
      <c r="H60" s="54">
        <f>G60/C61</f>
        <v>0.3066853603126118</v>
      </c>
      <c r="I60" s="46">
        <v>19380</v>
      </c>
      <c r="J60" s="54">
        <f>I60/C60</f>
        <v>0.053378430486850946</v>
      </c>
      <c r="K60" s="47">
        <v>19387.54</v>
      </c>
      <c r="L60" s="98">
        <f>K60/C60</f>
        <v>0.05339919794639021</v>
      </c>
    </row>
    <row r="61" spans="1:12" ht="16.5" customHeight="1">
      <c r="A61" s="51"/>
      <c r="B61" s="52"/>
      <c r="C61" s="49">
        <f>C60+D60</f>
        <v>427139</v>
      </c>
      <c r="D61" s="50"/>
      <c r="E61" s="48">
        <f>E60+F60</f>
        <v>476409.0001991635</v>
      </c>
      <c r="F61" s="48"/>
      <c r="G61" s="53"/>
      <c r="H61" s="54"/>
      <c r="I61" s="46"/>
      <c r="J61" s="54"/>
      <c r="K61" s="47"/>
      <c r="L61" s="99"/>
    </row>
    <row r="62" spans="1:12" ht="16.5" customHeight="1">
      <c r="A62" s="51" t="s">
        <v>60</v>
      </c>
      <c r="B62" s="52" t="s">
        <v>61</v>
      </c>
      <c r="C62" s="20">
        <v>531275</v>
      </c>
      <c r="D62" s="20">
        <v>93754</v>
      </c>
      <c r="E62" s="9">
        <f>17718552.525/30.126</f>
        <v>588148.1950806611</v>
      </c>
      <c r="F62" s="9">
        <f>3126789.66/30.126</f>
        <v>103790.40231029675</v>
      </c>
      <c r="G62" s="53">
        <v>657341.6377268804</v>
      </c>
      <c r="H62" s="54">
        <f>G62/C63</f>
        <v>1.051697821584087</v>
      </c>
      <c r="I62" s="46">
        <v>368995</v>
      </c>
      <c r="J62" s="54">
        <f>I62/C62</f>
        <v>0.6945461390052233</v>
      </c>
      <c r="K62" s="47">
        <v>0</v>
      </c>
      <c r="L62" s="98">
        <f>K62/C62</f>
        <v>0</v>
      </c>
    </row>
    <row r="63" spans="1:12" ht="16.5" customHeight="1">
      <c r="A63" s="44"/>
      <c r="B63" s="52"/>
      <c r="C63" s="49">
        <f>C62+D62</f>
        <v>625029</v>
      </c>
      <c r="D63" s="50"/>
      <c r="E63" s="48">
        <f>E62+F62</f>
        <v>691938.5973909579</v>
      </c>
      <c r="F63" s="48"/>
      <c r="G63" s="73"/>
      <c r="H63" s="54"/>
      <c r="I63" s="46"/>
      <c r="J63" s="54"/>
      <c r="K63" s="47"/>
      <c r="L63" s="99"/>
    </row>
    <row r="64" spans="1:12" ht="16.5" customHeight="1">
      <c r="A64" s="51" t="s">
        <v>62</v>
      </c>
      <c r="B64" s="52" t="s">
        <v>63</v>
      </c>
      <c r="C64" s="20">
        <v>1208322</v>
      </c>
      <c r="D64" s="20">
        <v>213233</v>
      </c>
      <c r="E64" s="8">
        <f>40321705.14/30.126</f>
        <v>1338435.4092810196</v>
      </c>
      <c r="F64" s="8">
        <f>7115585.22/30.126</f>
        <v>236194.15853415654</v>
      </c>
      <c r="G64" s="53">
        <v>868074.5999999999</v>
      </c>
      <c r="H64" s="54">
        <f>G64/C65</f>
        <v>0.6106514345206481</v>
      </c>
      <c r="I64" s="46">
        <v>0</v>
      </c>
      <c r="J64" s="54">
        <f>I64/C64</f>
        <v>0</v>
      </c>
      <c r="K64" s="47">
        <v>0</v>
      </c>
      <c r="L64" s="98">
        <f>K64/C64</f>
        <v>0</v>
      </c>
    </row>
    <row r="65" spans="1:12" ht="16.5" customHeight="1">
      <c r="A65" s="51"/>
      <c r="B65" s="52"/>
      <c r="C65" s="49">
        <f>C64+D64</f>
        <v>1421555</v>
      </c>
      <c r="D65" s="50"/>
      <c r="E65" s="48">
        <f>E64+F64</f>
        <v>1574629.5678151762</v>
      </c>
      <c r="F65" s="48"/>
      <c r="G65" s="53"/>
      <c r="H65" s="54"/>
      <c r="I65" s="46"/>
      <c r="J65" s="54"/>
      <c r="K65" s="47"/>
      <c r="L65" s="99"/>
    </row>
    <row r="66" spans="1:12" ht="16.5" customHeight="1">
      <c r="A66" s="51" t="s">
        <v>64</v>
      </c>
      <c r="B66" s="52" t="s">
        <v>65</v>
      </c>
      <c r="C66" s="20">
        <v>445486</v>
      </c>
      <c r="D66" s="20">
        <v>83528.7</v>
      </c>
      <c r="E66" s="9">
        <f>13502680.66/30.126</f>
        <v>448206.8864104096</v>
      </c>
      <c r="F66" s="9">
        <f>2531763.99/30.126</f>
        <v>84039.1684923322</v>
      </c>
      <c r="G66" s="53">
        <v>327867.18000000005</v>
      </c>
      <c r="H66" s="54">
        <f>G66/C67</f>
        <v>0.619769507350174</v>
      </c>
      <c r="I66" s="59">
        <v>240189</v>
      </c>
      <c r="J66" s="54">
        <f>I66/C66</f>
        <v>0.5391617244986374</v>
      </c>
      <c r="K66" s="47">
        <v>0</v>
      </c>
      <c r="L66" s="98">
        <f>K66/C66</f>
        <v>0</v>
      </c>
    </row>
    <row r="67" spans="1:12" ht="16.5" customHeight="1">
      <c r="A67" s="44"/>
      <c r="B67" s="52"/>
      <c r="C67" s="49">
        <f>C66+D66</f>
        <v>529014.7</v>
      </c>
      <c r="D67" s="50"/>
      <c r="E67" s="48">
        <f>E66+F66</f>
        <v>532246.0549027418</v>
      </c>
      <c r="F67" s="73"/>
      <c r="G67" s="53"/>
      <c r="H67" s="54"/>
      <c r="I67" s="59"/>
      <c r="J67" s="54"/>
      <c r="K67" s="47"/>
      <c r="L67" s="99"/>
    </row>
    <row r="68" spans="1:12" ht="16.5" customHeight="1">
      <c r="A68" s="51" t="s">
        <v>66</v>
      </c>
      <c r="B68" s="52" t="s">
        <v>67</v>
      </c>
      <c r="C68" s="20">
        <v>318229</v>
      </c>
      <c r="D68" s="20">
        <v>56158</v>
      </c>
      <c r="E68" s="9">
        <f>9645520.99/30.126</f>
        <v>320172.6412401248</v>
      </c>
      <c r="F68" s="8">
        <f>1702148.98/30.126</f>
        <v>56500.99515368784</v>
      </c>
      <c r="G68" s="53">
        <v>103844.7</v>
      </c>
      <c r="H68" s="54">
        <f>G68/C69</f>
        <v>0.27737261176269473</v>
      </c>
      <c r="I68" s="59">
        <v>3036</v>
      </c>
      <c r="J68" s="54">
        <f>I68/C68</f>
        <v>0.009540299595574257</v>
      </c>
      <c r="K68" s="74">
        <v>3036</v>
      </c>
      <c r="L68" s="98">
        <f>K68/C68</f>
        <v>0.009540299595574257</v>
      </c>
    </row>
    <row r="69" spans="1:14" ht="16.5" customHeight="1">
      <c r="A69" s="44"/>
      <c r="B69" s="52"/>
      <c r="C69" s="49">
        <f>C68+D68</f>
        <v>374387</v>
      </c>
      <c r="D69" s="50"/>
      <c r="E69" s="48">
        <f>E68+F68</f>
        <v>376673.63639381266</v>
      </c>
      <c r="F69" s="73"/>
      <c r="G69" s="73"/>
      <c r="H69" s="54"/>
      <c r="I69" s="59"/>
      <c r="J69" s="54"/>
      <c r="K69" s="74"/>
      <c r="L69" s="99"/>
      <c r="N69" s="27"/>
    </row>
    <row r="70" spans="1:14" ht="16.5" customHeight="1">
      <c r="A70" s="64" t="s">
        <v>68</v>
      </c>
      <c r="B70" s="66" t="s">
        <v>69</v>
      </c>
      <c r="C70" s="20">
        <v>668184</v>
      </c>
      <c r="D70" s="20">
        <v>117915</v>
      </c>
      <c r="E70" s="9">
        <f>20255997.96/30.126</f>
        <v>672375.9529974109</v>
      </c>
      <c r="F70" s="13">
        <f>3574593.22/30.126</f>
        <v>118654.75735245303</v>
      </c>
      <c r="G70" s="45">
        <v>688862.62</v>
      </c>
      <c r="H70" s="54">
        <f aca="true" t="shared" si="0" ref="H70:H80">G70/C71</f>
        <v>0.8763051727581386</v>
      </c>
      <c r="I70" s="46">
        <v>2816</v>
      </c>
      <c r="J70" s="54">
        <f>I70/C70</f>
        <v>0.004214408007375214</v>
      </c>
      <c r="K70" s="47">
        <v>2816</v>
      </c>
      <c r="L70" s="98">
        <f>K70/C70</f>
        <v>0.004214408007375214</v>
      </c>
      <c r="N70" s="101"/>
    </row>
    <row r="71" spans="1:14" ht="16.5" customHeight="1">
      <c r="A71" s="65"/>
      <c r="B71" s="67"/>
      <c r="C71" s="49">
        <f>C70+D70</f>
        <v>786099</v>
      </c>
      <c r="D71" s="50"/>
      <c r="E71" s="48">
        <f>E70+F70</f>
        <v>791030.710349864</v>
      </c>
      <c r="F71" s="73"/>
      <c r="G71" s="41"/>
      <c r="H71" s="54"/>
      <c r="I71" s="46"/>
      <c r="J71" s="54"/>
      <c r="K71" s="47"/>
      <c r="L71" s="99"/>
      <c r="M71" s="28"/>
      <c r="N71" s="101"/>
    </row>
    <row r="72" spans="1:14" ht="16.5" customHeight="1">
      <c r="A72" s="51" t="s">
        <v>81</v>
      </c>
      <c r="B72" s="71" t="s">
        <v>82</v>
      </c>
      <c r="C72" s="21">
        <v>316361</v>
      </c>
      <c r="D72" s="26">
        <v>55828</v>
      </c>
      <c r="E72" s="9">
        <v>350426.70419239195</v>
      </c>
      <c r="F72" s="9">
        <v>61840.00662218681</v>
      </c>
      <c r="G72" s="107">
        <v>0</v>
      </c>
      <c r="H72" s="54">
        <f t="shared" si="0"/>
        <v>0</v>
      </c>
      <c r="I72" s="46">
        <v>0</v>
      </c>
      <c r="J72" s="54">
        <f>I72/C72</f>
        <v>0</v>
      </c>
      <c r="K72" s="109">
        <v>0</v>
      </c>
      <c r="L72" s="98">
        <f>K72/C72</f>
        <v>0</v>
      </c>
      <c r="M72" s="28"/>
      <c r="N72" s="24"/>
    </row>
    <row r="73" spans="1:14" ht="16.5" customHeight="1">
      <c r="A73" s="44"/>
      <c r="B73" s="110"/>
      <c r="C73" s="111">
        <f>C72+D72</f>
        <v>372189</v>
      </c>
      <c r="D73" s="112"/>
      <c r="E73" s="114">
        <v>412266.71081457875</v>
      </c>
      <c r="F73" s="115"/>
      <c r="G73" s="113"/>
      <c r="H73" s="54"/>
      <c r="I73" s="46"/>
      <c r="J73" s="54"/>
      <c r="K73" s="109"/>
      <c r="L73" s="99"/>
      <c r="M73" s="28"/>
      <c r="N73" s="24"/>
    </row>
    <row r="74" spans="1:14" ht="16.5" customHeight="1">
      <c r="A74" s="69" t="s">
        <v>79</v>
      </c>
      <c r="B74" s="71" t="s">
        <v>80</v>
      </c>
      <c r="C74" s="21">
        <v>395205</v>
      </c>
      <c r="D74" s="26">
        <v>69742</v>
      </c>
      <c r="E74" s="37">
        <v>396700.45</v>
      </c>
      <c r="F74" s="29">
        <v>70005.96</v>
      </c>
      <c r="G74" s="107">
        <v>0</v>
      </c>
      <c r="H74" s="54">
        <f t="shared" si="0"/>
        <v>0</v>
      </c>
      <c r="I74" s="46">
        <v>0</v>
      </c>
      <c r="J74" s="54">
        <f>I74/C74</f>
        <v>0</v>
      </c>
      <c r="K74" s="109">
        <v>0</v>
      </c>
      <c r="L74" s="98">
        <f>K74/C74</f>
        <v>0</v>
      </c>
      <c r="M74" s="28"/>
      <c r="N74" s="24"/>
    </row>
    <row r="75" spans="1:14" ht="16.5" customHeight="1">
      <c r="A75" s="70"/>
      <c r="B75" s="72"/>
      <c r="C75" s="49">
        <f>C74+D74</f>
        <v>464947</v>
      </c>
      <c r="D75" s="104"/>
      <c r="E75" s="105">
        <f>E74+F74</f>
        <v>466706.41000000003</v>
      </c>
      <c r="F75" s="106"/>
      <c r="G75" s="108"/>
      <c r="H75" s="54"/>
      <c r="I75" s="46"/>
      <c r="J75" s="54"/>
      <c r="K75" s="109"/>
      <c r="L75" s="99"/>
      <c r="M75" s="28"/>
      <c r="N75" s="24"/>
    </row>
    <row r="76" spans="1:14" ht="16.5" customHeight="1">
      <c r="A76" s="69" t="s">
        <v>86</v>
      </c>
      <c r="B76" s="71" t="s">
        <v>83</v>
      </c>
      <c r="C76" s="21">
        <v>594579</v>
      </c>
      <c r="D76" s="36">
        <v>104926</v>
      </c>
      <c r="E76" s="20">
        <v>643643.98</v>
      </c>
      <c r="F76" s="38">
        <v>113584.23</v>
      </c>
      <c r="G76" s="107">
        <v>0</v>
      </c>
      <c r="H76" s="54">
        <f t="shared" si="0"/>
        <v>0</v>
      </c>
      <c r="I76" s="46">
        <v>0</v>
      </c>
      <c r="J76" s="54">
        <f>I76/C76</f>
        <v>0</v>
      </c>
      <c r="K76" s="109">
        <v>0</v>
      </c>
      <c r="L76" s="98">
        <f>K76/C76</f>
        <v>0</v>
      </c>
      <c r="M76" s="28"/>
      <c r="N76" s="24"/>
    </row>
    <row r="77" spans="1:14" ht="16.5" customHeight="1">
      <c r="A77" s="70"/>
      <c r="B77" s="72"/>
      <c r="C77" s="111">
        <f>C76+D76</f>
        <v>699505</v>
      </c>
      <c r="D77" s="112"/>
      <c r="E77" s="105">
        <f>E76+F76</f>
        <v>757228.21</v>
      </c>
      <c r="F77" s="106"/>
      <c r="G77" s="108"/>
      <c r="H77" s="54"/>
      <c r="I77" s="46"/>
      <c r="J77" s="54"/>
      <c r="K77" s="109"/>
      <c r="L77" s="99"/>
      <c r="M77" s="28"/>
      <c r="N77" s="24"/>
    </row>
    <row r="78" spans="1:14" ht="16.5" customHeight="1">
      <c r="A78" s="69" t="s">
        <v>87</v>
      </c>
      <c r="B78" s="71" t="s">
        <v>84</v>
      </c>
      <c r="C78" s="21">
        <v>285376</v>
      </c>
      <c r="D78" s="36">
        <v>50361</v>
      </c>
      <c r="E78" s="20">
        <v>286456.35</v>
      </c>
      <c r="F78" s="38">
        <v>50551.12</v>
      </c>
      <c r="G78" s="107">
        <v>0</v>
      </c>
      <c r="H78" s="54">
        <f t="shared" si="0"/>
        <v>0</v>
      </c>
      <c r="I78" s="46">
        <v>0</v>
      </c>
      <c r="J78" s="54">
        <f>I78/C78</f>
        <v>0</v>
      </c>
      <c r="K78" s="109">
        <v>0</v>
      </c>
      <c r="L78" s="98">
        <f>K78/C78</f>
        <v>0</v>
      </c>
      <c r="M78" s="28"/>
      <c r="N78" s="24"/>
    </row>
    <row r="79" spans="1:14" ht="16.5" customHeight="1">
      <c r="A79" s="70"/>
      <c r="B79" s="72"/>
      <c r="C79" s="111">
        <f>C78+D78</f>
        <v>335737</v>
      </c>
      <c r="D79" s="112"/>
      <c r="E79" s="105">
        <f>E78+F78</f>
        <v>337007.47</v>
      </c>
      <c r="F79" s="106"/>
      <c r="G79" s="108"/>
      <c r="H79" s="54"/>
      <c r="I79" s="46"/>
      <c r="J79" s="54"/>
      <c r="K79" s="109"/>
      <c r="L79" s="99"/>
      <c r="M79" s="28"/>
      <c r="N79" s="24"/>
    </row>
    <row r="80" spans="1:14" ht="16.5" customHeight="1">
      <c r="A80" s="69" t="s">
        <v>88</v>
      </c>
      <c r="B80" s="71" t="s">
        <v>85</v>
      </c>
      <c r="C80" s="21">
        <v>1265400</v>
      </c>
      <c r="D80" s="36">
        <v>223325</v>
      </c>
      <c r="E80" s="20">
        <f>723826.83*2</f>
        <v>1447653.66</v>
      </c>
      <c r="F80" s="38">
        <f>127734.15*2</f>
        <v>255468.3</v>
      </c>
      <c r="G80" s="107">
        <v>752157.44</v>
      </c>
      <c r="H80" s="54">
        <f t="shared" si="0"/>
        <v>0.5052359838116509</v>
      </c>
      <c r="I80" s="79">
        <v>173731</v>
      </c>
      <c r="J80" s="54">
        <f>I80/C80</f>
        <v>0.1372933459775565</v>
      </c>
      <c r="K80" s="109">
        <v>181864.54</v>
      </c>
      <c r="L80" s="98">
        <f>K80/C80</f>
        <v>0.1437209894104631</v>
      </c>
      <c r="M80" s="28"/>
      <c r="N80" s="24"/>
    </row>
    <row r="81" spans="1:14" ht="16.5" customHeight="1">
      <c r="A81" s="70"/>
      <c r="B81" s="72"/>
      <c r="C81" s="111">
        <f>C80+D80</f>
        <v>1488725</v>
      </c>
      <c r="D81" s="112"/>
      <c r="E81" s="105">
        <f>E80+F80</f>
        <v>1703121.96</v>
      </c>
      <c r="F81" s="106"/>
      <c r="G81" s="108"/>
      <c r="H81" s="54"/>
      <c r="I81" s="79"/>
      <c r="J81" s="54"/>
      <c r="K81" s="109"/>
      <c r="L81" s="99"/>
      <c r="M81" s="28"/>
      <c r="N81" s="24"/>
    </row>
    <row r="82" spans="1:13" ht="30" customHeight="1" thickBot="1">
      <c r="A82" s="16" t="s">
        <v>90</v>
      </c>
      <c r="B82" s="17" t="s">
        <v>70</v>
      </c>
      <c r="C82" s="102">
        <f>C7+C9+C11+C13+C15+C17+C19+C21+C23+C25+C27+C29+C31+C33+C35+C37+C39+C41+C43+C45+C47+C49+C51+C53+C55+C57+C59+C61+C63+C65+C67+C69+C71+C73+C75+C77+C79+C81</f>
        <v>20367879.7</v>
      </c>
      <c r="D82" s="103"/>
      <c r="E82" s="68">
        <f>E7+E9+E11+E13+E15+E17+E19+E21+E23+E25+E27+E29+E31+E33+E35+E37+E39+E41+E43+E45+E47+E49+E51+E53+E55+E57+E59+E61+E63+E65+E67+E69+E71+E73+E75+E77+E79+E81</f>
        <v>22318843.94537277</v>
      </c>
      <c r="F82" s="68"/>
      <c r="G82" s="18">
        <f>SUM(G6:G81)</f>
        <v>11393758.981734047</v>
      </c>
      <c r="H82" s="25">
        <f>G82/C82</f>
        <v>0.5593983836095638</v>
      </c>
      <c r="I82" s="18">
        <f>SUM(I6:I81)</f>
        <v>4341638</v>
      </c>
      <c r="J82" s="40">
        <f>I82/(C82*0.85)</f>
        <v>0.25077766988994477</v>
      </c>
      <c r="K82" s="19">
        <f>SUM(K6:K81)</f>
        <v>3232533.269350063</v>
      </c>
      <c r="L82" s="35">
        <f>K82/C82</f>
        <v>0.15870740189760957</v>
      </c>
      <c r="M82" s="22"/>
    </row>
    <row r="83" spans="1:12" ht="12.75">
      <c r="A83" s="1" t="s">
        <v>72</v>
      </c>
      <c r="L83" s="23"/>
    </row>
    <row r="84" spans="2:6" ht="12.75">
      <c r="B84" s="7"/>
      <c r="C84" s="7"/>
      <c r="D84" s="7"/>
      <c r="E84" s="63"/>
      <c r="F84" s="63"/>
    </row>
    <row r="85" spans="2:6" ht="12.75">
      <c r="B85" s="7"/>
      <c r="C85" s="7"/>
      <c r="D85" s="7"/>
      <c r="E85" s="7"/>
      <c r="F85" s="7"/>
    </row>
    <row r="86" spans="2:6" ht="12.75">
      <c r="B86" s="32"/>
      <c r="C86" s="32"/>
      <c r="D86" s="33"/>
      <c r="E86" s="63"/>
      <c r="F86" s="63"/>
    </row>
    <row r="87" spans="2:10" ht="12.75">
      <c r="B87" s="32"/>
      <c r="C87" s="32"/>
      <c r="D87" s="34"/>
      <c r="E87" s="7"/>
      <c r="J87" s="39"/>
    </row>
    <row r="88" spans="2:4" ht="12.75">
      <c r="B88" s="10"/>
      <c r="C88" s="10"/>
      <c r="D88" s="10"/>
    </row>
    <row r="89" spans="2:11" ht="12.75">
      <c r="B89" s="10"/>
      <c r="C89" s="10"/>
      <c r="D89" s="10"/>
      <c r="K89" s="2">
        <f>K82+'[1]BG'!$P$31</f>
        <v>3631764.1467981143</v>
      </c>
    </row>
    <row r="90" spans="2:4" ht="12.75">
      <c r="B90" s="10"/>
      <c r="C90" s="10"/>
      <c r="D90" s="10"/>
    </row>
    <row r="91" spans="2:8" ht="12.75">
      <c r="B91" s="33"/>
      <c r="C91" s="10"/>
      <c r="D91" s="10"/>
      <c r="H91" s="30"/>
    </row>
    <row r="92" spans="2:8" ht="12.75">
      <c r="B92" s="34"/>
      <c r="C92" s="10"/>
      <c r="D92" s="10"/>
      <c r="G92" s="2">
        <f>G82+'[2]BG'!$G$22</f>
        <v>18171172.164364997</v>
      </c>
      <c r="H92" s="31"/>
    </row>
  </sheetData>
  <sheetProtection/>
  <mergeCells count="553">
    <mergeCell ref="A80:A81"/>
    <mergeCell ref="B80:B81"/>
    <mergeCell ref="G80:G81"/>
    <mergeCell ref="H80:H81"/>
    <mergeCell ref="G78:G79"/>
    <mergeCell ref="H78:H79"/>
    <mergeCell ref="L80:L81"/>
    <mergeCell ref="C81:D81"/>
    <mergeCell ref="E81:F81"/>
    <mergeCell ref="I80:I81"/>
    <mergeCell ref="J80:J81"/>
    <mergeCell ref="K80:K81"/>
    <mergeCell ref="C79:D79"/>
    <mergeCell ref="E79:F79"/>
    <mergeCell ref="A78:A79"/>
    <mergeCell ref="B78:B79"/>
    <mergeCell ref="A76:A77"/>
    <mergeCell ref="B76:B77"/>
    <mergeCell ref="G76:G77"/>
    <mergeCell ref="H76:H77"/>
    <mergeCell ref="C77:D77"/>
    <mergeCell ref="E77:F77"/>
    <mergeCell ref="K76:K77"/>
    <mergeCell ref="L76:L77"/>
    <mergeCell ref="J78:J79"/>
    <mergeCell ref="K78:K79"/>
    <mergeCell ref="L78:L79"/>
    <mergeCell ref="I76:I77"/>
    <mergeCell ref="I78:I79"/>
    <mergeCell ref="I72:I73"/>
    <mergeCell ref="J72:J73"/>
    <mergeCell ref="J76:J77"/>
    <mergeCell ref="A72:A73"/>
    <mergeCell ref="B72:B73"/>
    <mergeCell ref="C73:D73"/>
    <mergeCell ref="L72:L73"/>
    <mergeCell ref="G72:G73"/>
    <mergeCell ref="E73:F73"/>
    <mergeCell ref="H72:H73"/>
    <mergeCell ref="J74:J75"/>
    <mergeCell ref="K72:K73"/>
    <mergeCell ref="K74:K75"/>
    <mergeCell ref="L74:L75"/>
    <mergeCell ref="E75:F75"/>
    <mergeCell ref="G74:G75"/>
    <mergeCell ref="H74:H75"/>
    <mergeCell ref="I74:I75"/>
    <mergeCell ref="J66:J67"/>
    <mergeCell ref="J68:J69"/>
    <mergeCell ref="J70:J71"/>
    <mergeCell ref="N70:N71"/>
    <mergeCell ref="J52:J53"/>
    <mergeCell ref="J54:J55"/>
    <mergeCell ref="J56:J57"/>
    <mergeCell ref="J58:J59"/>
    <mergeCell ref="J44:J45"/>
    <mergeCell ref="J46:J47"/>
    <mergeCell ref="J48:J49"/>
    <mergeCell ref="J50:J51"/>
    <mergeCell ref="J36:J37"/>
    <mergeCell ref="J38:J39"/>
    <mergeCell ref="J40:J41"/>
    <mergeCell ref="J42:J43"/>
    <mergeCell ref="J26:J27"/>
    <mergeCell ref="J28:J29"/>
    <mergeCell ref="J30:J31"/>
    <mergeCell ref="J32:J33"/>
    <mergeCell ref="L70:L71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L62:L63"/>
    <mergeCell ref="L64:L65"/>
    <mergeCell ref="L66:L67"/>
    <mergeCell ref="L68:L69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L30:L31"/>
    <mergeCell ref="L32:L33"/>
    <mergeCell ref="L34:L35"/>
    <mergeCell ref="L36:L37"/>
    <mergeCell ref="L22:L23"/>
    <mergeCell ref="L24:L25"/>
    <mergeCell ref="L26:L27"/>
    <mergeCell ref="L28:L29"/>
    <mergeCell ref="C57:D57"/>
    <mergeCell ref="C59:D59"/>
    <mergeCell ref="L6:L7"/>
    <mergeCell ref="L8:L9"/>
    <mergeCell ref="L10:L11"/>
    <mergeCell ref="L12:L13"/>
    <mergeCell ref="L14:L15"/>
    <mergeCell ref="L16:L17"/>
    <mergeCell ref="L18:L19"/>
    <mergeCell ref="L20:L21"/>
    <mergeCell ref="C45:D45"/>
    <mergeCell ref="C47:D47"/>
    <mergeCell ref="C53:D53"/>
    <mergeCell ref="C55:D55"/>
    <mergeCell ref="C35:D35"/>
    <mergeCell ref="C37:D37"/>
    <mergeCell ref="C41:D41"/>
    <mergeCell ref="C43:D43"/>
    <mergeCell ref="C19:D19"/>
    <mergeCell ref="C21:D21"/>
    <mergeCell ref="C31:D31"/>
    <mergeCell ref="C33:D33"/>
    <mergeCell ref="C5:D5"/>
    <mergeCell ref="C7:D7"/>
    <mergeCell ref="C9:D9"/>
    <mergeCell ref="C11:D11"/>
    <mergeCell ref="I16:I17"/>
    <mergeCell ref="H16:H17"/>
    <mergeCell ref="K16:K17"/>
    <mergeCell ref="A4:A5"/>
    <mergeCell ref="B4:B5"/>
    <mergeCell ref="B16:B17"/>
    <mergeCell ref="E17:F17"/>
    <mergeCell ref="G4:G5"/>
    <mergeCell ref="E7:F7"/>
    <mergeCell ref="A8:A9"/>
    <mergeCell ref="V4:V5"/>
    <mergeCell ref="H4:H5"/>
    <mergeCell ref="I4:I5"/>
    <mergeCell ref="K4:K5"/>
    <mergeCell ref="L4:L5"/>
    <mergeCell ref="N4:N5"/>
    <mergeCell ref="O4:O5"/>
    <mergeCell ref="P4:P5"/>
    <mergeCell ref="Q4:U4"/>
    <mergeCell ref="AL4:AL5"/>
    <mergeCell ref="AM4:AM5"/>
    <mergeCell ref="W4:W5"/>
    <mergeCell ref="X4:X5"/>
    <mergeCell ref="Y4:Y5"/>
    <mergeCell ref="Z4:Z5"/>
    <mergeCell ref="AA4:AB4"/>
    <mergeCell ref="AC4:AC5"/>
    <mergeCell ref="AD4:AD5"/>
    <mergeCell ref="AE4:AE5"/>
    <mergeCell ref="AF4:AJ4"/>
    <mergeCell ref="AK4:AK5"/>
    <mergeCell ref="BC4:BC5"/>
    <mergeCell ref="BD4:BD5"/>
    <mergeCell ref="AN4:AN5"/>
    <mergeCell ref="AO4:AO5"/>
    <mergeCell ref="AP4:AQ4"/>
    <mergeCell ref="AR4:AR5"/>
    <mergeCell ref="AS4:AS5"/>
    <mergeCell ref="AT4:AT5"/>
    <mergeCell ref="AU4:AY4"/>
    <mergeCell ref="AZ4:AZ5"/>
    <mergeCell ref="BA4:BA5"/>
    <mergeCell ref="BB4:BB5"/>
    <mergeCell ref="BT4:BU4"/>
    <mergeCell ref="BV4:BV5"/>
    <mergeCell ref="BE4:BF4"/>
    <mergeCell ref="BG4:BG5"/>
    <mergeCell ref="BH4:BH5"/>
    <mergeCell ref="BI4:BI5"/>
    <mergeCell ref="BJ4:BN4"/>
    <mergeCell ref="BO4:BO5"/>
    <mergeCell ref="BP4:BP5"/>
    <mergeCell ref="BQ4:BQ5"/>
    <mergeCell ref="BR4:BR5"/>
    <mergeCell ref="BS4:BS5"/>
    <mergeCell ref="CL4:CL5"/>
    <mergeCell ref="CM4:CM5"/>
    <mergeCell ref="BW4:BW5"/>
    <mergeCell ref="BX4:BX5"/>
    <mergeCell ref="BY4:CC4"/>
    <mergeCell ref="CD4:CD5"/>
    <mergeCell ref="CE4:CE5"/>
    <mergeCell ref="CF4:CF5"/>
    <mergeCell ref="CG4:CG5"/>
    <mergeCell ref="CH4:CH5"/>
    <mergeCell ref="CI4:CJ4"/>
    <mergeCell ref="CK4:CK5"/>
    <mergeCell ref="DC4:DG4"/>
    <mergeCell ref="DH4:DH5"/>
    <mergeCell ref="CN4:CR4"/>
    <mergeCell ref="CS4:CS5"/>
    <mergeCell ref="CT4:CT5"/>
    <mergeCell ref="CU4:CU5"/>
    <mergeCell ref="CV4:CV5"/>
    <mergeCell ref="CW4:CW5"/>
    <mergeCell ref="CX4:CY4"/>
    <mergeCell ref="CZ4:CZ5"/>
    <mergeCell ref="DA4:DA5"/>
    <mergeCell ref="DB4:DB5"/>
    <mergeCell ref="DX4:DX5"/>
    <mergeCell ref="DY4:DY5"/>
    <mergeCell ref="DI4:DI5"/>
    <mergeCell ref="DJ4:DJ5"/>
    <mergeCell ref="DK4:DK5"/>
    <mergeCell ref="DL4:DL5"/>
    <mergeCell ref="DM4:DN4"/>
    <mergeCell ref="DO4:DO5"/>
    <mergeCell ref="DP4:DP5"/>
    <mergeCell ref="DQ4:DQ5"/>
    <mergeCell ref="DR4:DV4"/>
    <mergeCell ref="DW4:DW5"/>
    <mergeCell ref="EO4:EO5"/>
    <mergeCell ref="EP4:EP5"/>
    <mergeCell ref="DZ4:DZ5"/>
    <mergeCell ref="EA4:EA5"/>
    <mergeCell ref="EB4:EC4"/>
    <mergeCell ref="ED4:ED5"/>
    <mergeCell ref="EE4:EE5"/>
    <mergeCell ref="EF4:EF5"/>
    <mergeCell ref="EG4:EK4"/>
    <mergeCell ref="EL4:EL5"/>
    <mergeCell ref="EM4:EM5"/>
    <mergeCell ref="EN4:EN5"/>
    <mergeCell ref="FF4:FG4"/>
    <mergeCell ref="FH4:FH5"/>
    <mergeCell ref="EQ4:ER4"/>
    <mergeCell ref="ES4:ES5"/>
    <mergeCell ref="ET4:ET5"/>
    <mergeCell ref="EU4:EU5"/>
    <mergeCell ref="EV4:EZ4"/>
    <mergeCell ref="FA4:FA5"/>
    <mergeCell ref="FB4:FB5"/>
    <mergeCell ref="FC4:FC5"/>
    <mergeCell ref="FD4:FD5"/>
    <mergeCell ref="FE4:FE5"/>
    <mergeCell ref="FX4:FX5"/>
    <mergeCell ref="FY4:FY5"/>
    <mergeCell ref="FI4:FI5"/>
    <mergeCell ref="FJ4:FJ5"/>
    <mergeCell ref="FK4:FO4"/>
    <mergeCell ref="FP4:FP5"/>
    <mergeCell ref="FQ4:FQ5"/>
    <mergeCell ref="FR4:FR5"/>
    <mergeCell ref="FS4:FS5"/>
    <mergeCell ref="FT4:FT5"/>
    <mergeCell ref="FU4:FV4"/>
    <mergeCell ref="FW4:FW5"/>
    <mergeCell ref="GO4:GS4"/>
    <mergeCell ref="GT4:GT5"/>
    <mergeCell ref="FZ4:GD4"/>
    <mergeCell ref="GE4:GE5"/>
    <mergeCell ref="GF4:GF5"/>
    <mergeCell ref="GG4:GG5"/>
    <mergeCell ref="GH4:GH5"/>
    <mergeCell ref="GI4:GI5"/>
    <mergeCell ref="GJ4:GK4"/>
    <mergeCell ref="GL4:GL5"/>
    <mergeCell ref="GM4:GM5"/>
    <mergeCell ref="GN4:GN5"/>
    <mergeCell ref="GY4:GZ4"/>
    <mergeCell ref="HA4:HA5"/>
    <mergeCell ref="HB4:HB5"/>
    <mergeCell ref="HC4:HC5"/>
    <mergeCell ref="GU4:GU5"/>
    <mergeCell ref="GV4:GV5"/>
    <mergeCell ref="GW4:GW5"/>
    <mergeCell ref="GX4:GX5"/>
    <mergeCell ref="HD4:HH4"/>
    <mergeCell ref="HI4:HI5"/>
    <mergeCell ref="HZ4:HZ5"/>
    <mergeCell ref="IA4:IA5"/>
    <mergeCell ref="HJ4:HJ5"/>
    <mergeCell ref="HK4:HK5"/>
    <mergeCell ref="IB4:IB5"/>
    <mergeCell ref="HL4:HL5"/>
    <mergeCell ref="HM4:HM5"/>
    <mergeCell ref="HN4:HO4"/>
    <mergeCell ref="HP4:HP5"/>
    <mergeCell ref="HQ4:HQ5"/>
    <mergeCell ref="HR4:HR5"/>
    <mergeCell ref="IO4:IO5"/>
    <mergeCell ref="A6:A7"/>
    <mergeCell ref="B6:B7"/>
    <mergeCell ref="G6:G7"/>
    <mergeCell ref="H6:H7"/>
    <mergeCell ref="I6:I7"/>
    <mergeCell ref="K6:K7"/>
    <mergeCell ref="IC4:ID4"/>
    <mergeCell ref="IE4:IE5"/>
    <mergeCell ref="IF4:IF5"/>
    <mergeCell ref="H8:H9"/>
    <mergeCell ref="IN4:IN5"/>
    <mergeCell ref="IG4:IG5"/>
    <mergeCell ref="IH4:IL4"/>
    <mergeCell ref="IM4:IM5"/>
    <mergeCell ref="HS4:HW4"/>
    <mergeCell ref="I8:I9"/>
    <mergeCell ref="K8:K9"/>
    <mergeCell ref="HX4:HX5"/>
    <mergeCell ref="HY4:HY5"/>
    <mergeCell ref="E9:F9"/>
    <mergeCell ref="A10:A11"/>
    <mergeCell ref="B10:B11"/>
    <mergeCell ref="G10:G11"/>
    <mergeCell ref="B8:B9"/>
    <mergeCell ref="G8:G9"/>
    <mergeCell ref="I14:I15"/>
    <mergeCell ref="K14:K15"/>
    <mergeCell ref="K10:K11"/>
    <mergeCell ref="E11:F11"/>
    <mergeCell ref="K12:K13"/>
    <mergeCell ref="H10:H11"/>
    <mergeCell ref="I10:I11"/>
    <mergeCell ref="G12:G13"/>
    <mergeCell ref="H12:H13"/>
    <mergeCell ref="I12:I13"/>
    <mergeCell ref="G14:G15"/>
    <mergeCell ref="H14:H15"/>
    <mergeCell ref="A16:A17"/>
    <mergeCell ref="G16:G17"/>
    <mergeCell ref="C15:D15"/>
    <mergeCell ref="C17:D17"/>
    <mergeCell ref="E15:F15"/>
    <mergeCell ref="E13:F13"/>
    <mergeCell ref="A14:A15"/>
    <mergeCell ref="B14:B15"/>
    <mergeCell ref="A12:A13"/>
    <mergeCell ref="B12:B13"/>
    <mergeCell ref="C13:D13"/>
    <mergeCell ref="A22:A23"/>
    <mergeCell ref="B22:B23"/>
    <mergeCell ref="G22:G23"/>
    <mergeCell ref="A18:A19"/>
    <mergeCell ref="B18:B19"/>
    <mergeCell ref="G18:G19"/>
    <mergeCell ref="C23:D23"/>
    <mergeCell ref="G20:G21"/>
    <mergeCell ref="B20:B21"/>
    <mergeCell ref="A20:A21"/>
    <mergeCell ref="A30:A31"/>
    <mergeCell ref="G48:G49"/>
    <mergeCell ref="A26:A27"/>
    <mergeCell ref="B26:B27"/>
    <mergeCell ref="G26:G27"/>
    <mergeCell ref="E39:F39"/>
    <mergeCell ref="A40:A41"/>
    <mergeCell ref="B40:B41"/>
    <mergeCell ref="C27:D27"/>
    <mergeCell ref="C29:D29"/>
    <mergeCell ref="A32:A33"/>
    <mergeCell ref="B32:B33"/>
    <mergeCell ref="G32:G33"/>
    <mergeCell ref="H32:H33"/>
    <mergeCell ref="I32:I33"/>
    <mergeCell ref="K32:K33"/>
    <mergeCell ref="E33:F33"/>
    <mergeCell ref="G30:G31"/>
    <mergeCell ref="H30:H31"/>
    <mergeCell ref="K38:K39"/>
    <mergeCell ref="K34:K35"/>
    <mergeCell ref="E35:F35"/>
    <mergeCell ref="A34:A35"/>
    <mergeCell ref="B34:B35"/>
    <mergeCell ref="G34:G35"/>
    <mergeCell ref="H34:H35"/>
    <mergeCell ref="I34:I35"/>
    <mergeCell ref="C39:D39"/>
    <mergeCell ref="J34:J35"/>
    <mergeCell ref="A38:A39"/>
    <mergeCell ref="G38:G39"/>
    <mergeCell ref="H38:H39"/>
    <mergeCell ref="I38:I39"/>
    <mergeCell ref="H56:H57"/>
    <mergeCell ref="I56:I57"/>
    <mergeCell ref="A58:A59"/>
    <mergeCell ref="A44:A45"/>
    <mergeCell ref="B44:B45"/>
    <mergeCell ref="G44:G45"/>
    <mergeCell ref="H44:H45"/>
    <mergeCell ref="I44:I45"/>
    <mergeCell ref="A48:A49"/>
    <mergeCell ref="E45:F45"/>
    <mergeCell ref="K66:K67"/>
    <mergeCell ref="E67:F67"/>
    <mergeCell ref="G62:G63"/>
    <mergeCell ref="H62:H63"/>
    <mergeCell ref="I62:I63"/>
    <mergeCell ref="K62:K63"/>
    <mergeCell ref="E63:F63"/>
    <mergeCell ref="K64:K65"/>
    <mergeCell ref="H64:H65"/>
    <mergeCell ref="G64:G65"/>
    <mergeCell ref="K70:K71"/>
    <mergeCell ref="E71:F71"/>
    <mergeCell ref="A68:A69"/>
    <mergeCell ref="B68:B69"/>
    <mergeCell ref="G68:G69"/>
    <mergeCell ref="H68:H69"/>
    <mergeCell ref="I68:I69"/>
    <mergeCell ref="K68:K69"/>
    <mergeCell ref="E69:F69"/>
    <mergeCell ref="C69:D69"/>
    <mergeCell ref="E86:F86"/>
    <mergeCell ref="A70:A71"/>
    <mergeCell ref="B70:B71"/>
    <mergeCell ref="A64:A65"/>
    <mergeCell ref="E82:F82"/>
    <mergeCell ref="C65:D65"/>
    <mergeCell ref="C67:D67"/>
    <mergeCell ref="C71:D71"/>
    <mergeCell ref="A74:A75"/>
    <mergeCell ref="B74:B75"/>
    <mergeCell ref="E84:F84"/>
    <mergeCell ref="A66:A67"/>
    <mergeCell ref="B66:B67"/>
    <mergeCell ref="A62:A63"/>
    <mergeCell ref="B62:B63"/>
    <mergeCell ref="C63:D63"/>
    <mergeCell ref="E65:F65"/>
    <mergeCell ref="B64:B65"/>
    <mergeCell ref="C82:D82"/>
    <mergeCell ref="C75:D75"/>
    <mergeCell ref="G70:G71"/>
    <mergeCell ref="H70:H71"/>
    <mergeCell ref="I70:I71"/>
    <mergeCell ref="G66:G67"/>
    <mergeCell ref="H66:H67"/>
    <mergeCell ref="I66:I67"/>
    <mergeCell ref="E5:F5"/>
    <mergeCell ref="A2:K2"/>
    <mergeCell ref="I3:K3"/>
    <mergeCell ref="E57:F57"/>
    <mergeCell ref="B38:B39"/>
    <mergeCell ref="B30:B31"/>
    <mergeCell ref="A56:A57"/>
    <mergeCell ref="A42:A43"/>
    <mergeCell ref="K56:K57"/>
    <mergeCell ref="B56:B57"/>
    <mergeCell ref="H20:H21"/>
    <mergeCell ref="I20:I21"/>
    <mergeCell ref="K20:K21"/>
    <mergeCell ref="E19:F19"/>
    <mergeCell ref="E21:F21"/>
    <mergeCell ref="H18:H19"/>
    <mergeCell ref="I24:I25"/>
    <mergeCell ref="K24:K25"/>
    <mergeCell ref="I18:I19"/>
    <mergeCell ref="K18:K19"/>
    <mergeCell ref="J22:J23"/>
    <mergeCell ref="J24:J25"/>
    <mergeCell ref="A24:A25"/>
    <mergeCell ref="B24:B25"/>
    <mergeCell ref="G24:G25"/>
    <mergeCell ref="H24:H25"/>
    <mergeCell ref="E25:F25"/>
    <mergeCell ref="C25:D25"/>
    <mergeCell ref="H22:H23"/>
    <mergeCell ref="I22:I23"/>
    <mergeCell ref="K22:K23"/>
    <mergeCell ref="E23:F23"/>
    <mergeCell ref="I26:I27"/>
    <mergeCell ref="K26:K27"/>
    <mergeCell ref="E27:F27"/>
    <mergeCell ref="A28:A29"/>
    <mergeCell ref="B28:B29"/>
    <mergeCell ref="G28:G29"/>
    <mergeCell ref="H28:H29"/>
    <mergeCell ref="I28:I29"/>
    <mergeCell ref="K28:K29"/>
    <mergeCell ref="H26:H27"/>
    <mergeCell ref="A36:A37"/>
    <mergeCell ref="B36:B37"/>
    <mergeCell ref="G36:G37"/>
    <mergeCell ref="H36:H37"/>
    <mergeCell ref="E37:F37"/>
    <mergeCell ref="E41:F41"/>
    <mergeCell ref="K42:K43"/>
    <mergeCell ref="E43:F43"/>
    <mergeCell ref="I30:I31"/>
    <mergeCell ref="K30:K31"/>
    <mergeCell ref="E31:F31"/>
    <mergeCell ref="I36:I37"/>
    <mergeCell ref="K36:K37"/>
    <mergeCell ref="G42:G43"/>
    <mergeCell ref="H42:H43"/>
    <mergeCell ref="G40:G41"/>
    <mergeCell ref="H40:H41"/>
    <mergeCell ref="I40:I41"/>
    <mergeCell ref="K40:K41"/>
    <mergeCell ref="A46:A47"/>
    <mergeCell ref="G46:G47"/>
    <mergeCell ref="H46:H47"/>
    <mergeCell ref="I46:I47"/>
    <mergeCell ref="E47:F47"/>
    <mergeCell ref="B46:B47"/>
    <mergeCell ref="B50:B51"/>
    <mergeCell ref="G50:G51"/>
    <mergeCell ref="H50:H51"/>
    <mergeCell ref="I50:I51"/>
    <mergeCell ref="C51:D51"/>
    <mergeCell ref="B42:B43"/>
    <mergeCell ref="I48:I49"/>
    <mergeCell ref="K48:K49"/>
    <mergeCell ref="B48:B49"/>
    <mergeCell ref="E49:F49"/>
    <mergeCell ref="K46:K47"/>
    <mergeCell ref="K44:K45"/>
    <mergeCell ref="I42:I43"/>
    <mergeCell ref="H48:H49"/>
    <mergeCell ref="C49:D49"/>
    <mergeCell ref="K50:K51"/>
    <mergeCell ref="E51:F51"/>
    <mergeCell ref="A52:A53"/>
    <mergeCell ref="G52:G53"/>
    <mergeCell ref="H52:H53"/>
    <mergeCell ref="I52:I53"/>
    <mergeCell ref="K52:K53"/>
    <mergeCell ref="E53:F53"/>
    <mergeCell ref="B52:B53"/>
    <mergeCell ref="A50:A51"/>
    <mergeCell ref="K58:K59"/>
    <mergeCell ref="E59:F59"/>
    <mergeCell ref="A54:A55"/>
    <mergeCell ref="G54:G55"/>
    <mergeCell ref="H54:H55"/>
    <mergeCell ref="I54:I55"/>
    <mergeCell ref="K54:K55"/>
    <mergeCell ref="E55:F55"/>
    <mergeCell ref="B54:B55"/>
    <mergeCell ref="G56:G57"/>
    <mergeCell ref="B58:B59"/>
    <mergeCell ref="G58:G59"/>
    <mergeCell ref="H58:H59"/>
    <mergeCell ref="I58:I59"/>
    <mergeCell ref="C61:D61"/>
    <mergeCell ref="A60:A61"/>
    <mergeCell ref="B60:B61"/>
    <mergeCell ref="G60:G61"/>
    <mergeCell ref="I64:I65"/>
    <mergeCell ref="I60:I61"/>
    <mergeCell ref="K60:K61"/>
    <mergeCell ref="E61:F61"/>
    <mergeCell ref="H60:H61"/>
    <mergeCell ref="J60:J61"/>
    <mergeCell ref="J62:J63"/>
    <mergeCell ref="J64:J6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67" r:id="rId1"/>
  <headerFooter alignWithMargins="0">
    <oddHeader>&amp;R&amp;"Arial,Kurzíva"Príloha č. 6</oddHeader>
    <oddFooter>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</dc:creator>
  <cp:keywords/>
  <dc:description/>
  <cp:lastModifiedBy>durkova</cp:lastModifiedBy>
  <cp:lastPrinted>2009-09-18T11:48:39Z</cp:lastPrinted>
  <dcterms:created xsi:type="dcterms:W3CDTF">2009-04-28T07:17:27Z</dcterms:created>
  <dcterms:modified xsi:type="dcterms:W3CDTF">2009-09-18T11:49:27Z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