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601" activeTab="0"/>
  </bookViews>
  <sheets>
    <sheet name="od 2002" sheetId="1" r:id="rId1"/>
  </sheets>
  <definedNames/>
  <calcPr fullCalcOnLoad="1"/>
</workbook>
</file>

<file path=xl/sharedStrings.xml><?xml version="1.0" encoding="utf-8"?>
<sst xmlns="http://schemas.openxmlformats.org/spreadsheetml/2006/main" count="387" uniqueCount="78">
  <si>
    <t>El. Nováky - odsírenie</t>
  </si>
  <si>
    <t>JEMO - Sociéte Gen. Paris</t>
  </si>
  <si>
    <t>Slovenské elektrárne, a.s.</t>
  </si>
  <si>
    <t>JEMO - Kom. Banka Praha</t>
  </si>
  <si>
    <t>JEMO - Čes. spor. a.s. Praha</t>
  </si>
  <si>
    <t>JEMO - VÚB + SLSP dev.úver</t>
  </si>
  <si>
    <t>JEMO - VÚB + SLSP</t>
  </si>
  <si>
    <t>Spolu</t>
  </si>
  <si>
    <t>Vodohospodárska výstavba,š.p.</t>
  </si>
  <si>
    <t>Bankers Trust - fiduc. úver</t>
  </si>
  <si>
    <t>Bankers Trust</t>
  </si>
  <si>
    <t>EBRD</t>
  </si>
  <si>
    <t xml:space="preserve">EIB </t>
  </si>
  <si>
    <t>WB</t>
  </si>
  <si>
    <t>CCF Paris</t>
  </si>
  <si>
    <t>Štát. fond cest. hospodárstva</t>
  </si>
  <si>
    <t>KfW</t>
  </si>
  <si>
    <t>JEMO - KfW Frankfurt n/M</t>
  </si>
  <si>
    <t>Credit Suisse F. Boston</t>
  </si>
  <si>
    <t>Železnice SR</t>
  </si>
  <si>
    <t>FUJI Bank</t>
  </si>
  <si>
    <t>SLSP, a.s.</t>
  </si>
  <si>
    <t>VÚB, a.s.</t>
  </si>
  <si>
    <t>EIB</t>
  </si>
  <si>
    <t>Názov organizácie a projektu</t>
  </si>
  <si>
    <t xml:space="preserve">Dátum </t>
  </si>
  <si>
    <t>prevzatia</t>
  </si>
  <si>
    <t>št. záruky</t>
  </si>
  <si>
    <t>Mena</t>
  </si>
  <si>
    <t>DEM</t>
  </si>
  <si>
    <t>ATS</t>
  </si>
  <si>
    <t>USD</t>
  </si>
  <si>
    <t>Sk</t>
  </si>
  <si>
    <t>EUR</t>
  </si>
  <si>
    <t xml:space="preserve">DEM </t>
  </si>
  <si>
    <t>FRF</t>
  </si>
  <si>
    <t>CZK</t>
  </si>
  <si>
    <t>istina</t>
  </si>
  <si>
    <t>úrok</t>
  </si>
  <si>
    <t>Chemicelulóza, š.p. Žilina</t>
  </si>
  <si>
    <t>I.</t>
  </si>
  <si>
    <t>Pozagas, a.s. Malacky</t>
  </si>
  <si>
    <t>Láb IV</t>
  </si>
  <si>
    <t>Riadit. diaľnic, š.p.</t>
  </si>
  <si>
    <t>Slovenský plyn. priemysel, š.p.</t>
  </si>
  <si>
    <t>NIB</t>
  </si>
  <si>
    <t>Slovenská. zár. a rozvojová banka</t>
  </si>
  <si>
    <t>Imuna, š.p. Šarišské Michaľany</t>
  </si>
  <si>
    <t>Paroplyn. cyklus, a.s. Bratislava</t>
  </si>
  <si>
    <t>SPOLU</t>
  </si>
  <si>
    <t>The Chase Manhattan Bank</t>
  </si>
  <si>
    <t>Poľnobanka, a.s. Bratislava</t>
  </si>
  <si>
    <t>Slovenské telekomunikácie, a.s.</t>
  </si>
  <si>
    <t>Tatra banka, a.s.</t>
  </si>
  <si>
    <t>Citibank Slovakia, Depfa</t>
  </si>
  <si>
    <t>J.P.Morgan</t>
  </si>
  <si>
    <t>DMD FIN, a.s.</t>
  </si>
  <si>
    <t>Slov. vodohosp. podnik, š.p.</t>
  </si>
  <si>
    <t>Depfa a Citibank</t>
  </si>
  <si>
    <t>Commerzbank</t>
  </si>
  <si>
    <t>ZŤS Dubnica nad Váhom Plus, a.s.</t>
  </si>
  <si>
    <t>Poľnobanka, a.s.</t>
  </si>
  <si>
    <t>Všeobecná úverová banka, a.s.</t>
  </si>
  <si>
    <t>EIB 2</t>
  </si>
  <si>
    <t>Letové prevádzkové služby</t>
  </si>
  <si>
    <t>EIB - I.tranža</t>
  </si>
  <si>
    <t>EIB - II.tranža</t>
  </si>
  <si>
    <t>EIB - III.tranža</t>
  </si>
  <si>
    <t>Fond národného majetku SR</t>
  </si>
  <si>
    <t>Slovenská sporiteľňa,a.s.</t>
  </si>
  <si>
    <t>Credit Suisse First Boston</t>
  </si>
  <si>
    <t>Tatra banka, a.s. + 2 banky</t>
  </si>
  <si>
    <t>Výstavba diaľnic, CSFB</t>
  </si>
  <si>
    <t>Most Košická - Metro Blava,a.s.</t>
  </si>
  <si>
    <t xml:space="preserve">Zostatok záväzku zo </t>
  </si>
  <si>
    <t>Splácanie úverov v rokoch (v mil. Sk)</t>
  </si>
  <si>
    <t>štátnej záruky v mil. Sk</t>
  </si>
  <si>
    <t>Kurz k 28.09.2001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</si>
</sst>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/mmmm\ yyyy"/>
    <numFmt numFmtId="165" formatCode="_-* #,##0.000\ _S_k_-;\-* #,##0.000\ _S_k_-;_-* &quot;-&quot;??\ _S_k_-;_-@_-"/>
    <numFmt numFmtId="166" formatCode="_-* #,##0.0\ _S_k_-;\-* #,##0.0\ _S_k_-;_-* &quot;-&quot;??\ _S_k_-;_-@_-"/>
    <numFmt numFmtId="167" formatCode="_-* #,##0\ _S_k_-;\-* #,##0\ _S_k_-;_-* &quot;-&quot;??\ _S_k_-;_-@_-"/>
  </numFmts>
  <fonts count="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1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7" xfId="0" applyNumberForma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23" xfId="0" applyFont="1" applyBorder="1" applyAlignment="1">
      <alignment/>
    </xf>
    <xf numFmtId="14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4" fontId="0" fillId="0" borderId="7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0" fontId="2" fillId="0" borderId="21" xfId="0" applyFont="1" applyBorder="1" applyAlignment="1">
      <alignment/>
    </xf>
    <xf numFmtId="4" fontId="0" fillId="0" borderId="0" xfId="0" applyNumberFormat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4" fontId="1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4" fontId="0" fillId="0" borderId="29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30" xfId="0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14" fontId="0" fillId="0" borderId="4" xfId="0" applyNumberFormat="1" applyBorder="1" applyAlignment="1">
      <alignment/>
    </xf>
    <xf numFmtId="0" fontId="2" fillId="0" borderId="31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Font="1" applyBorder="1" applyAlignment="1">
      <alignment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0" fillId="0" borderId="16" xfId="0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5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2" xfId="0" applyNumberFormat="1" applyBorder="1" applyAlignment="1">
      <alignment horizontal="right"/>
    </xf>
    <xf numFmtId="49" fontId="0" fillId="0" borderId="0" xfId="0" applyNumberFormat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14" fontId="0" fillId="0" borderId="3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4" fontId="0" fillId="0" borderId="6" xfId="0" applyNumberFormat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28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37" xfId="0" applyBorder="1" applyAlignment="1">
      <alignment/>
    </xf>
    <xf numFmtId="43" fontId="4" fillId="0" borderId="2" xfId="16" applyFont="1" applyBorder="1" applyAlignment="1">
      <alignment horizontal="right"/>
    </xf>
    <xf numFmtId="43" fontId="1" fillId="0" borderId="2" xfId="16" applyNumberFormat="1" applyFont="1" applyBorder="1" applyAlignment="1">
      <alignment/>
    </xf>
    <xf numFmtId="4" fontId="0" fillId="0" borderId="7" xfId="0" applyNumberFormat="1" applyBorder="1" applyAlignment="1">
      <alignment horizontal="right"/>
    </xf>
    <xf numFmtId="0" fontId="2" fillId="0" borderId="24" xfId="0" applyFont="1" applyBorder="1" applyAlignment="1">
      <alignment/>
    </xf>
    <xf numFmtId="4" fontId="0" fillId="0" borderId="38" xfId="0" applyNumberFormat="1" applyBorder="1" applyAlignment="1">
      <alignment/>
    </xf>
    <xf numFmtId="0" fontId="1" fillId="0" borderId="24" xfId="0" applyFont="1" applyBorder="1" applyAlignment="1">
      <alignment/>
    </xf>
    <xf numFmtId="0" fontId="0" fillId="0" borderId="8" xfId="0" applyBorder="1" applyAlignment="1">
      <alignment/>
    </xf>
    <xf numFmtId="4" fontId="0" fillId="0" borderId="7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Border="1" applyAlignment="1">
      <alignment/>
    </xf>
    <xf numFmtId="4" fontId="1" fillId="0" borderId="42" xfId="0" applyNumberFormat="1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48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49" xfId="0" applyBorder="1" applyAlignment="1">
      <alignment/>
    </xf>
    <xf numFmtId="0" fontId="2" fillId="0" borderId="50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52" xfId="0" applyBorder="1" applyAlignment="1">
      <alignment/>
    </xf>
    <xf numFmtId="0" fontId="1" fillId="0" borderId="53" xfId="0" applyFont="1" applyBorder="1" applyAlignment="1">
      <alignment/>
    </xf>
    <xf numFmtId="0" fontId="2" fillId="0" borderId="53" xfId="0" applyFont="1" applyBorder="1" applyAlignment="1">
      <alignment/>
    </xf>
    <xf numFmtId="4" fontId="0" fillId="0" borderId="46" xfId="0" applyNumberFormat="1" applyBorder="1" applyAlignment="1">
      <alignment/>
    </xf>
    <xf numFmtId="4" fontId="2" fillId="0" borderId="45" xfId="0" applyNumberFormat="1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0" fillId="0" borderId="56" xfId="0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0" fillId="0" borderId="60" xfId="0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27" xfId="0" applyFont="1" applyBorder="1" applyAlignment="1">
      <alignment/>
    </xf>
    <xf numFmtId="4" fontId="5" fillId="0" borderId="27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0" fontId="2" fillId="0" borderId="27" xfId="0" applyFont="1" applyBorder="1" applyAlignment="1">
      <alignment/>
    </xf>
    <xf numFmtId="0" fontId="2" fillId="0" borderId="61" xfId="0" applyFont="1" applyBorder="1" applyAlignment="1">
      <alignment/>
    </xf>
    <xf numFmtId="0" fontId="0" fillId="0" borderId="62" xfId="0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0" fontId="1" fillId="0" borderId="37" xfId="0" applyFont="1" applyBorder="1" applyAlignment="1">
      <alignment/>
    </xf>
    <xf numFmtId="4" fontId="0" fillId="0" borderId="22" xfId="0" applyNumberFormat="1" applyBorder="1" applyAlignment="1">
      <alignment/>
    </xf>
    <xf numFmtId="0" fontId="1" fillId="0" borderId="6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35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37"/>
  <sheetViews>
    <sheetView tabSelected="1" zoomScale="75" zoomScaleNormal="75" workbookViewId="0" topLeftCell="A208">
      <selection activeCell="A229" sqref="A229"/>
    </sheetView>
  </sheetViews>
  <sheetFormatPr defaultColWidth="9.00390625" defaultRowHeight="12.75"/>
  <cols>
    <col min="1" max="1" width="32.75390625" style="0" customWidth="1"/>
    <col min="2" max="2" width="11.75390625" style="0" customWidth="1"/>
    <col min="3" max="3" width="5.875" style="0" customWidth="1"/>
    <col min="4" max="5" width="12.75390625" style="0" customWidth="1"/>
    <col min="6" max="6" width="6.625" style="0" customWidth="1"/>
    <col min="7" max="19" width="10.75390625" style="0" customWidth="1"/>
    <col min="20" max="23" width="8.75390625" style="0" customWidth="1"/>
    <col min="28" max="28" width="24.125" style="0" customWidth="1"/>
  </cols>
  <sheetData>
    <row r="1" spans="24:45" ht="12.75"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3:45" ht="13.5" thickBot="1">
      <c r="C2" s="92"/>
      <c r="D2" s="92"/>
      <c r="E2" s="92"/>
      <c r="S2" s="92"/>
      <c r="T2" s="92"/>
      <c r="U2" s="92"/>
      <c r="V2" s="92"/>
      <c r="W2" s="92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</row>
    <row r="3" spans="1:45" s="1" customFormat="1" ht="12.75">
      <c r="A3" s="16" t="s">
        <v>24</v>
      </c>
      <c r="B3" s="17" t="s">
        <v>25</v>
      </c>
      <c r="C3" s="18" t="s">
        <v>28</v>
      </c>
      <c r="D3" s="3" t="s">
        <v>74</v>
      </c>
      <c r="E3" s="137"/>
      <c r="F3" s="18"/>
      <c r="G3" s="19"/>
      <c r="H3" s="19"/>
      <c r="I3" s="19" t="s">
        <v>75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10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s="1" customFormat="1" ht="12.75">
      <c r="A4" s="20"/>
      <c r="B4" s="3" t="s">
        <v>26</v>
      </c>
      <c r="C4" s="8"/>
      <c r="D4" s="159" t="s">
        <v>76</v>
      </c>
      <c r="E4" s="160"/>
      <c r="F4" s="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33"/>
      <c r="T4" s="133"/>
      <c r="U4" s="133"/>
      <c r="V4" s="133"/>
      <c r="W4" s="13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ht="13.5" thickBot="1">
      <c r="A5" s="21"/>
      <c r="B5" s="11" t="s">
        <v>27</v>
      </c>
      <c r="C5" s="12"/>
      <c r="D5" s="13" t="s">
        <v>37</v>
      </c>
      <c r="E5" s="13" t="s">
        <v>38</v>
      </c>
      <c r="F5" s="12"/>
      <c r="G5" s="82">
        <v>2002</v>
      </c>
      <c r="H5" s="82">
        <v>2003</v>
      </c>
      <c r="I5" s="82">
        <v>2004</v>
      </c>
      <c r="J5" s="82">
        <v>2005</v>
      </c>
      <c r="K5" s="82">
        <v>2006</v>
      </c>
      <c r="L5" s="82">
        <v>2007</v>
      </c>
      <c r="M5" s="82">
        <v>2008</v>
      </c>
      <c r="N5" s="82">
        <v>2009</v>
      </c>
      <c r="O5" s="82">
        <v>2010</v>
      </c>
      <c r="P5" s="82">
        <v>2011</v>
      </c>
      <c r="Q5" s="82">
        <v>2012</v>
      </c>
      <c r="R5" s="82">
        <v>2013</v>
      </c>
      <c r="S5" s="91">
        <v>2014</v>
      </c>
      <c r="T5" s="83">
        <v>2015</v>
      </c>
      <c r="U5" s="83">
        <v>2016</v>
      </c>
      <c r="V5" s="83">
        <v>2017</v>
      </c>
      <c r="W5" s="111">
        <v>2018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1:45" ht="13.5" thickTop="1">
      <c r="A6" s="22" t="s">
        <v>2</v>
      </c>
      <c r="B6" s="9"/>
      <c r="C6" s="9"/>
      <c r="D6" s="9"/>
      <c r="E6" s="9"/>
      <c r="F6" s="9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9"/>
      <c r="U6" s="9"/>
      <c r="V6" s="9"/>
      <c r="W6" s="112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3" t="s">
        <v>0</v>
      </c>
      <c r="B7" s="7">
        <v>33472</v>
      </c>
      <c r="C7" s="6" t="s">
        <v>30</v>
      </c>
      <c r="D7" s="33">
        <f>SUM(G7:H7)</f>
        <v>134.3063566908</v>
      </c>
      <c r="E7" s="6"/>
      <c r="F7" s="6" t="s">
        <v>37</v>
      </c>
      <c r="G7" s="33">
        <f>28236383.2*B226</f>
        <v>89.5375711272</v>
      </c>
      <c r="H7" s="33">
        <f>14118191.6*B226</f>
        <v>44.7687855636</v>
      </c>
      <c r="I7" s="6"/>
      <c r="J7" s="33"/>
      <c r="K7" s="33"/>
      <c r="L7" s="33"/>
      <c r="M7" s="33"/>
      <c r="N7" s="33"/>
      <c r="O7" s="33"/>
      <c r="P7" s="33"/>
      <c r="Q7" s="33"/>
      <c r="R7" s="33"/>
      <c r="S7" s="33"/>
      <c r="T7" s="6"/>
      <c r="U7" s="6"/>
      <c r="V7" s="6"/>
      <c r="W7" s="113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ht="12.75">
      <c r="A8" s="23"/>
      <c r="B8" s="6"/>
      <c r="C8" s="6"/>
      <c r="D8" s="6"/>
      <c r="E8" s="33">
        <f>SUM(G8:H8)</f>
        <v>11.393158579319998</v>
      </c>
      <c r="F8" s="6" t="s">
        <v>38</v>
      </c>
      <c r="G8" s="33">
        <f>3197613.55*B226</f>
        <v>10.139632567049999</v>
      </c>
      <c r="H8" s="33">
        <f>395309.37*B226</f>
        <v>1.2535260122699998</v>
      </c>
      <c r="I8" s="6"/>
      <c r="J8" s="33"/>
      <c r="K8" s="33"/>
      <c r="L8" s="33"/>
      <c r="M8" s="33"/>
      <c r="N8" s="33"/>
      <c r="O8" s="33"/>
      <c r="P8" s="33"/>
      <c r="Q8" s="33"/>
      <c r="R8" s="33"/>
      <c r="S8" s="33"/>
      <c r="T8" s="6"/>
      <c r="U8" s="6"/>
      <c r="V8" s="6"/>
      <c r="W8" s="113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ht="12.75">
      <c r="A9" s="23" t="s">
        <v>17</v>
      </c>
      <c r="B9" s="7">
        <v>35271</v>
      </c>
      <c r="C9" s="6" t="s">
        <v>29</v>
      </c>
      <c r="D9" s="33">
        <f>SUM(G9:N9)</f>
        <v>1778.8847581330003</v>
      </c>
      <c r="E9" s="6"/>
      <c r="F9" s="6" t="s">
        <v>37</v>
      </c>
      <c r="G9" s="33">
        <f>10965002*B222</f>
        <v>244.662089626</v>
      </c>
      <c r="H9" s="33">
        <f>10965002*B222</f>
        <v>244.662089626</v>
      </c>
      <c r="I9" s="33">
        <f>10965002*B222</f>
        <v>244.662089626</v>
      </c>
      <c r="J9" s="33">
        <f>10965002*B222</f>
        <v>244.662089626</v>
      </c>
      <c r="K9" s="33">
        <f>10965002*B222</f>
        <v>244.662089626</v>
      </c>
      <c r="L9" s="33">
        <f>10965002*B222</f>
        <v>244.662089626</v>
      </c>
      <c r="M9" s="33">
        <f>10965002*B222</f>
        <v>244.662089626</v>
      </c>
      <c r="N9" s="33">
        <f>2969127*B222</f>
        <v>66.250130751</v>
      </c>
      <c r="O9" s="6"/>
      <c r="P9" s="33"/>
      <c r="Q9" s="33"/>
      <c r="R9" s="33"/>
      <c r="S9" s="33"/>
      <c r="T9" s="6"/>
      <c r="U9" s="6"/>
      <c r="V9" s="6"/>
      <c r="W9" s="113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ht="12.75">
      <c r="A10" s="23"/>
      <c r="B10" s="6"/>
      <c r="C10" s="6"/>
      <c r="D10" s="6"/>
      <c r="E10" s="33">
        <f>SUM(G10:N10)</f>
        <v>390.22845835936</v>
      </c>
      <c r="F10" s="6" t="s">
        <v>38</v>
      </c>
      <c r="G10" s="33">
        <f>4342472.99*B222</f>
        <v>96.89359982587001</v>
      </c>
      <c r="H10" s="33">
        <f>3723571.68*B222</f>
        <v>83.08405489584001</v>
      </c>
      <c r="I10" s="33">
        <f>3109660.14*B222</f>
        <v>69.38584670382001</v>
      </c>
      <c r="J10" s="33">
        <f>2485769.03*B222</f>
        <v>55.46496436639</v>
      </c>
      <c r="K10" s="33">
        <f>1866867.7*B222</f>
        <v>41.6554189901</v>
      </c>
      <c r="L10" s="33">
        <f>1247966.38*B222</f>
        <v>27.84587383694</v>
      </c>
      <c r="M10" s="33">
        <f>630425.91*B222</f>
        <v>14.066693329830002</v>
      </c>
      <c r="N10" s="33">
        <f>82104.89*B222</f>
        <v>1.83200641057</v>
      </c>
      <c r="O10" s="6"/>
      <c r="P10" s="33"/>
      <c r="Q10" s="33"/>
      <c r="R10" s="33"/>
      <c r="S10" s="33"/>
      <c r="T10" s="6"/>
      <c r="U10" s="6"/>
      <c r="V10" s="6"/>
      <c r="W10" s="113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ht="12.75">
      <c r="A11" s="23" t="s">
        <v>1</v>
      </c>
      <c r="B11" s="7">
        <v>35271</v>
      </c>
      <c r="C11" s="6" t="s">
        <v>29</v>
      </c>
      <c r="D11" s="33">
        <f>SUM(G11:N11)</f>
        <v>1032.7404684649603</v>
      </c>
      <c r="E11" s="6"/>
      <c r="F11" s="6" t="s">
        <v>37</v>
      </c>
      <c r="G11" s="33">
        <f>6400000*B222</f>
        <v>142.8032</v>
      </c>
      <c r="H11" s="33">
        <f>6400000*B222</f>
        <v>142.8032</v>
      </c>
      <c r="I11" s="33">
        <f>6400000*B222</f>
        <v>142.8032</v>
      </c>
      <c r="J11" s="33">
        <f>6400000*B222</f>
        <v>142.8032</v>
      </c>
      <c r="K11" s="33">
        <f>6400000*B222</f>
        <v>142.8032</v>
      </c>
      <c r="L11" s="33">
        <f>6400000*B222</f>
        <v>142.8032</v>
      </c>
      <c r="M11" s="33">
        <f>6400000*B222</f>
        <v>142.8032</v>
      </c>
      <c r="N11" s="33">
        <f>1484249.92*B222</f>
        <v>33.11806846496</v>
      </c>
      <c r="O11" s="6"/>
      <c r="P11" s="33"/>
      <c r="Q11" s="33"/>
      <c r="R11" s="33"/>
      <c r="S11" s="33"/>
      <c r="T11" s="6"/>
      <c r="U11" s="6"/>
      <c r="V11" s="6"/>
      <c r="W11" s="113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</row>
    <row r="12" spans="1:45" ht="12.75">
      <c r="A12" s="23"/>
      <c r="B12" s="6"/>
      <c r="C12" s="6"/>
      <c r="D12" s="6"/>
      <c r="E12" s="33">
        <f>SUM(G12:N12)</f>
        <v>141.90107916236002</v>
      </c>
      <c r="F12" s="6" t="s">
        <v>38</v>
      </c>
      <c r="G12" s="33">
        <f>1585370.68*B222</f>
        <v>35.37437598284</v>
      </c>
      <c r="H12" s="33">
        <f>1358259.57*B222</f>
        <v>30.306845785410005</v>
      </c>
      <c r="I12" s="33">
        <f>1134403.87*B222</f>
        <v>25.311953551310005</v>
      </c>
      <c r="J12" s="33">
        <f>906372.68*B222</f>
        <v>20.22389360884</v>
      </c>
      <c r="K12" s="33">
        <f>676259*B222</f>
        <v>15.089367067000001</v>
      </c>
      <c r="L12" s="33">
        <f>449314.7*B222</f>
        <v>10.0255589011</v>
      </c>
      <c r="M12" s="33">
        <f>223470.54*B222</f>
        <v>4.98629815902</v>
      </c>
      <c r="N12" s="33">
        <f>26118.68*B222</f>
        <v>0.5827861068400001</v>
      </c>
      <c r="O12" s="6"/>
      <c r="P12" s="33"/>
      <c r="Q12" s="33"/>
      <c r="R12" s="33"/>
      <c r="S12" s="33"/>
      <c r="T12" s="6"/>
      <c r="U12" s="6"/>
      <c r="V12" s="6"/>
      <c r="W12" s="113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1:45" ht="12.75">
      <c r="A13" s="23" t="s">
        <v>3</v>
      </c>
      <c r="B13" s="7">
        <v>35237</v>
      </c>
      <c r="C13" s="6" t="s">
        <v>31</v>
      </c>
      <c r="D13" s="33">
        <f>SUM(G13:M13)</f>
        <v>6150.43</v>
      </c>
      <c r="E13" s="6"/>
      <c r="F13" s="6" t="s">
        <v>37</v>
      </c>
      <c r="G13" s="33">
        <f>20000000*B223</f>
        <v>946.22</v>
      </c>
      <c r="H13" s="33">
        <f>20000000*B223</f>
        <v>946.22</v>
      </c>
      <c r="I13" s="33">
        <f>20000000*B223</f>
        <v>946.22</v>
      </c>
      <c r="J13" s="33">
        <f>20000000*B223</f>
        <v>946.22</v>
      </c>
      <c r="K13" s="33">
        <f>20000000*B223</f>
        <v>946.22</v>
      </c>
      <c r="L13" s="33">
        <f>20000000*B223</f>
        <v>946.22</v>
      </c>
      <c r="M13" s="33">
        <f>10000000*B223</f>
        <v>473.11</v>
      </c>
      <c r="N13" s="6"/>
      <c r="O13" s="33"/>
      <c r="P13" s="33"/>
      <c r="Q13" s="33"/>
      <c r="R13" s="33"/>
      <c r="S13" s="33"/>
      <c r="T13" s="6"/>
      <c r="U13" s="6"/>
      <c r="V13" s="6"/>
      <c r="W13" s="113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</row>
    <row r="14" spans="1:45" ht="12.75">
      <c r="A14" s="23"/>
      <c r="B14" s="6"/>
      <c r="C14" s="6"/>
      <c r="D14" s="6"/>
      <c r="E14" s="33">
        <f>SUM(G14:M14)</f>
        <v>1421.1764432995801</v>
      </c>
      <c r="F14" s="6" t="s">
        <v>38</v>
      </c>
      <c r="G14" s="33">
        <f>8235138.89*B223</f>
        <v>389.61265602479</v>
      </c>
      <c r="H14" s="33">
        <f>6917083.33*B223</f>
        <v>327.25412942563</v>
      </c>
      <c r="I14" s="33">
        <f>5615277.78*B223</f>
        <v>265.66440704958</v>
      </c>
      <c r="J14" s="33">
        <f>4280972.22*B223</f>
        <v>202.53707670042</v>
      </c>
      <c r="K14" s="33">
        <f>2962916.67*B223</f>
        <v>140.17855057437</v>
      </c>
      <c r="L14" s="33">
        <f>1644861.11*B223</f>
        <v>77.82002397521</v>
      </c>
      <c r="M14" s="33">
        <f>382777.78*B223</f>
        <v>18.10959954958</v>
      </c>
      <c r="N14" s="6"/>
      <c r="O14" s="33"/>
      <c r="P14" s="33"/>
      <c r="Q14" s="33"/>
      <c r="R14" s="33"/>
      <c r="S14" s="33"/>
      <c r="T14" s="6"/>
      <c r="U14" s="6"/>
      <c r="V14" s="6"/>
      <c r="W14" s="113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45" ht="12.75">
      <c r="A15" s="23" t="s">
        <v>4</v>
      </c>
      <c r="B15" s="7">
        <v>35242</v>
      </c>
      <c r="C15" s="6" t="s">
        <v>29</v>
      </c>
      <c r="D15" s="33">
        <f>SUM(G15:M15)</f>
        <v>1561.9100000000003</v>
      </c>
      <c r="E15" s="6"/>
      <c r="F15" s="6" t="s">
        <v>37</v>
      </c>
      <c r="G15" s="33">
        <f>10000000*B222</f>
        <v>223.13000000000002</v>
      </c>
      <c r="H15" s="33">
        <f>10000000*B222</f>
        <v>223.13000000000002</v>
      </c>
      <c r="I15" s="33">
        <f>10000000*B222</f>
        <v>223.13000000000002</v>
      </c>
      <c r="J15" s="33">
        <f>10000000*B222</f>
        <v>223.13000000000002</v>
      </c>
      <c r="K15" s="33">
        <f>10000000*B222</f>
        <v>223.13000000000002</v>
      </c>
      <c r="L15" s="33">
        <f>10000000*B222</f>
        <v>223.13000000000002</v>
      </c>
      <c r="M15" s="33">
        <f>10000000*B222</f>
        <v>223.13000000000002</v>
      </c>
      <c r="N15" s="6"/>
      <c r="O15" s="33"/>
      <c r="P15" s="33"/>
      <c r="Q15" s="33"/>
      <c r="R15" s="33"/>
      <c r="S15" s="33"/>
      <c r="T15" s="6"/>
      <c r="U15" s="6"/>
      <c r="V15" s="6"/>
      <c r="W15" s="113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</row>
    <row r="16" spans="1:45" ht="12.75">
      <c r="A16" s="23"/>
      <c r="B16" s="6"/>
      <c r="C16" s="6"/>
      <c r="D16" s="6"/>
      <c r="E16" s="33">
        <f>SUM(G16:M16)</f>
        <v>258.60162674708005</v>
      </c>
      <c r="F16" s="6" t="s">
        <v>38</v>
      </c>
      <c r="G16" s="33">
        <f>2977937.5*B222</f>
        <v>66.44671943750001</v>
      </c>
      <c r="H16" s="33">
        <f>2536895.83*B222</f>
        <v>56.60575665479001</v>
      </c>
      <c r="I16" s="33">
        <f>2101291.67*B222</f>
        <v>46.88612103271</v>
      </c>
      <c r="J16" s="33">
        <f>1654812.5*B222</f>
        <v>36.9238313125</v>
      </c>
      <c r="K16" s="33">
        <f>1213770.83*B222</f>
        <v>27.08286852979</v>
      </c>
      <c r="L16" s="33">
        <f>772729.17*B222</f>
        <v>17.241905970210002</v>
      </c>
      <c r="M16" s="33">
        <f>332291.66*B222</f>
        <v>7.41442380958</v>
      </c>
      <c r="N16" s="6"/>
      <c r="O16" s="33"/>
      <c r="P16" s="33"/>
      <c r="Q16" s="33"/>
      <c r="R16" s="33"/>
      <c r="S16" s="33"/>
      <c r="T16" s="6"/>
      <c r="U16" s="6"/>
      <c r="V16" s="6"/>
      <c r="W16" s="113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1:45" ht="12.75">
      <c r="A17" s="23" t="s">
        <v>5</v>
      </c>
      <c r="B17" s="7">
        <v>35268</v>
      </c>
      <c r="C17" s="6" t="s">
        <v>31</v>
      </c>
      <c r="D17" s="33">
        <f>SUM(G17:L17)</f>
        <v>3370.9087499999996</v>
      </c>
      <c r="E17" s="6"/>
      <c r="F17" s="6" t="s">
        <v>37</v>
      </c>
      <c r="G17" s="33">
        <f>11875000*B223</f>
        <v>561.818125</v>
      </c>
      <c r="H17" s="33">
        <f>11875000*B223</f>
        <v>561.818125</v>
      </c>
      <c r="I17" s="33">
        <f>11875000*B223</f>
        <v>561.818125</v>
      </c>
      <c r="J17" s="33">
        <f>11875000*B223</f>
        <v>561.818125</v>
      </c>
      <c r="K17" s="33">
        <f>11875000*B223</f>
        <v>561.818125</v>
      </c>
      <c r="L17" s="33">
        <f>11875000*B223</f>
        <v>561.818125</v>
      </c>
      <c r="M17" s="6"/>
      <c r="N17" s="33"/>
      <c r="O17" s="33"/>
      <c r="P17" s="33"/>
      <c r="Q17" s="33"/>
      <c r="R17" s="33"/>
      <c r="S17" s="33"/>
      <c r="T17" s="6"/>
      <c r="U17" s="6"/>
      <c r="V17" s="6"/>
      <c r="W17" s="113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</row>
    <row r="18" spans="1:45" ht="12.75">
      <c r="A18" s="23"/>
      <c r="B18" s="6"/>
      <c r="C18" s="6"/>
      <c r="D18" s="6"/>
      <c r="E18" s="33">
        <f>SUM(G18:L18)</f>
        <v>717.8318972058299</v>
      </c>
      <c r="F18" s="6" t="s">
        <v>38</v>
      </c>
      <c r="G18" s="33">
        <f>4634218.75*B223</f>
        <v>219.24952328125002</v>
      </c>
      <c r="H18" s="33">
        <f>3791423.61*B223</f>
        <v>179.37604241271</v>
      </c>
      <c r="I18" s="33">
        <f>2957864.58*B223</f>
        <v>139.93953114438</v>
      </c>
      <c r="J18" s="33">
        <f>2105833.34*B223</f>
        <v>99.62908114874</v>
      </c>
      <c r="K18" s="33">
        <f>1263038.19*B223</f>
        <v>59.75559980709</v>
      </c>
      <c r="L18" s="33">
        <f>420243.06*B223</f>
        <v>19.88211941166</v>
      </c>
      <c r="M18" s="6"/>
      <c r="N18" s="33"/>
      <c r="O18" s="33"/>
      <c r="P18" s="33"/>
      <c r="Q18" s="33"/>
      <c r="R18" s="33"/>
      <c r="S18" s="33"/>
      <c r="T18" s="6"/>
      <c r="U18" s="6"/>
      <c r="V18" s="6"/>
      <c r="W18" s="113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45" ht="12.75">
      <c r="A19" s="23" t="s">
        <v>6</v>
      </c>
      <c r="B19" s="7">
        <v>35268</v>
      </c>
      <c r="C19" s="6" t="s">
        <v>32</v>
      </c>
      <c r="D19" s="33">
        <f>SUM(G19:K19)</f>
        <v>4500</v>
      </c>
      <c r="E19" s="6"/>
      <c r="F19" s="6" t="s">
        <v>37</v>
      </c>
      <c r="G19" s="33">
        <f>900000000*B231</f>
        <v>900</v>
      </c>
      <c r="H19" s="33">
        <f>900000000*B231</f>
        <v>900</v>
      </c>
      <c r="I19" s="33">
        <f>900000000*B231</f>
        <v>900</v>
      </c>
      <c r="J19" s="33">
        <f>900000000*B231</f>
        <v>900</v>
      </c>
      <c r="K19" s="33">
        <f>900000000*B231</f>
        <v>900</v>
      </c>
      <c r="L19" s="6"/>
      <c r="M19" s="33"/>
      <c r="N19" s="33"/>
      <c r="O19" s="33"/>
      <c r="P19" s="33"/>
      <c r="Q19" s="33"/>
      <c r="R19" s="33"/>
      <c r="S19" s="33"/>
      <c r="T19" s="6"/>
      <c r="U19" s="6"/>
      <c r="V19" s="6"/>
      <c r="W19" s="113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</row>
    <row r="20" spans="1:45" ht="12.75">
      <c r="A20" s="23"/>
      <c r="B20" s="6"/>
      <c r="C20" s="6"/>
      <c r="D20" s="6"/>
      <c r="E20" s="33">
        <f>SUM(G20:K20)</f>
        <v>1180.2075</v>
      </c>
      <c r="F20" s="6" t="s">
        <v>38</v>
      </c>
      <c r="G20" s="33">
        <f>438450000*B231</f>
        <v>438.45</v>
      </c>
      <c r="H20" s="33">
        <f>337162500*B231</f>
        <v>337.16249999999997</v>
      </c>
      <c r="I20" s="33">
        <f>236707500*B231</f>
        <v>236.70749999999998</v>
      </c>
      <c r="J20" s="33">
        <f>134587500*B231</f>
        <v>134.5875</v>
      </c>
      <c r="K20" s="33">
        <f>33300000*B231</f>
        <v>33.3</v>
      </c>
      <c r="L20" s="6"/>
      <c r="M20" s="33"/>
      <c r="N20" s="33"/>
      <c r="O20" s="33"/>
      <c r="P20" s="33"/>
      <c r="Q20" s="33"/>
      <c r="R20" s="33"/>
      <c r="S20" s="33"/>
      <c r="T20" s="6"/>
      <c r="U20" s="6"/>
      <c r="V20" s="6"/>
      <c r="W20" s="113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</row>
    <row r="21" spans="1:45" ht="12.75">
      <c r="A21" s="23" t="s">
        <v>50</v>
      </c>
      <c r="B21" s="7">
        <v>36501</v>
      </c>
      <c r="C21" s="6" t="s">
        <v>31</v>
      </c>
      <c r="D21" s="33">
        <f>25000000*B223</f>
        <v>1182.775</v>
      </c>
      <c r="E21" s="33"/>
      <c r="F21" s="6" t="s">
        <v>37</v>
      </c>
      <c r="G21" s="33">
        <f>25000000*B223</f>
        <v>1182.775</v>
      </c>
      <c r="H21" s="33"/>
      <c r="I21" s="33"/>
      <c r="J21" s="33"/>
      <c r="K21" s="33"/>
      <c r="L21" s="6"/>
      <c r="M21" s="33"/>
      <c r="N21" s="33"/>
      <c r="O21" s="33"/>
      <c r="P21" s="33"/>
      <c r="Q21" s="33"/>
      <c r="R21" s="33"/>
      <c r="S21" s="33"/>
      <c r="T21" s="6"/>
      <c r="U21" s="6"/>
      <c r="V21" s="6"/>
      <c r="W21" s="113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</row>
    <row r="22" spans="1:45" ht="12.75">
      <c r="A22" s="23"/>
      <c r="B22" s="6"/>
      <c r="C22" s="6"/>
      <c r="D22" s="6"/>
      <c r="E22" s="33">
        <f>SUM(G22:G22)</f>
        <v>107.51424750000001</v>
      </c>
      <c r="F22" s="6" t="s">
        <v>38</v>
      </c>
      <c r="G22" s="33">
        <f>2272500*B223</f>
        <v>107.51424750000001</v>
      </c>
      <c r="H22" s="6"/>
      <c r="I22" s="33"/>
      <c r="J22" s="33"/>
      <c r="K22" s="33"/>
      <c r="L22" s="6"/>
      <c r="M22" s="33"/>
      <c r="N22" s="33"/>
      <c r="O22" s="33"/>
      <c r="P22" s="33"/>
      <c r="Q22" s="33"/>
      <c r="R22" s="33"/>
      <c r="S22" s="33"/>
      <c r="T22" s="6"/>
      <c r="U22" s="6"/>
      <c r="V22" s="6"/>
      <c r="W22" s="113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</row>
    <row r="23" spans="1:45" ht="12.75">
      <c r="A23" s="47" t="s">
        <v>51</v>
      </c>
      <c r="B23" s="64">
        <v>36503</v>
      </c>
      <c r="C23" s="9" t="s">
        <v>32</v>
      </c>
      <c r="D23" s="32">
        <f>1500000000*B231</f>
        <v>1500</v>
      </c>
      <c r="E23" s="32"/>
      <c r="F23" s="9" t="s">
        <v>37</v>
      </c>
      <c r="G23" s="6"/>
      <c r="H23" s="32">
        <f>1500000000*B231</f>
        <v>1500</v>
      </c>
      <c r="I23" s="32"/>
      <c r="J23" s="32"/>
      <c r="K23" s="32"/>
      <c r="L23" s="9"/>
      <c r="M23" s="32"/>
      <c r="N23" s="32"/>
      <c r="O23" s="32"/>
      <c r="P23" s="32"/>
      <c r="Q23" s="32"/>
      <c r="R23" s="32"/>
      <c r="S23" s="32"/>
      <c r="T23" s="6"/>
      <c r="U23" s="6"/>
      <c r="V23" s="6"/>
      <c r="W23" s="113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</row>
    <row r="24" spans="1:45" ht="12.75">
      <c r="A24" s="61"/>
      <c r="B24" s="62"/>
      <c r="C24" s="62"/>
      <c r="D24" s="62"/>
      <c r="E24" s="63">
        <f>SUM(G24:H24)</f>
        <v>408.71999999999997</v>
      </c>
      <c r="F24" s="62" t="s">
        <v>38</v>
      </c>
      <c r="G24" s="63">
        <f>204360000*B231</f>
        <v>204.35999999999999</v>
      </c>
      <c r="H24" s="63">
        <f>204360000*B231</f>
        <v>204.35999999999999</v>
      </c>
      <c r="I24" s="6"/>
      <c r="J24" s="63"/>
      <c r="K24" s="33"/>
      <c r="L24" s="6"/>
      <c r="M24" s="33"/>
      <c r="N24" s="33"/>
      <c r="O24" s="33"/>
      <c r="P24" s="33"/>
      <c r="Q24" s="33"/>
      <c r="R24" s="33"/>
      <c r="S24" s="33"/>
      <c r="T24" s="6"/>
      <c r="U24" s="6"/>
      <c r="V24" s="6"/>
      <c r="W24" s="113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1:45" ht="12.75">
      <c r="A25" s="23" t="s">
        <v>53</v>
      </c>
      <c r="B25" s="7">
        <v>36643</v>
      </c>
      <c r="C25" s="6" t="s">
        <v>32</v>
      </c>
      <c r="D25" s="33">
        <f>SUM(G25:N25)</f>
        <v>1000</v>
      </c>
      <c r="E25" s="6"/>
      <c r="F25" s="6" t="s">
        <v>37</v>
      </c>
      <c r="G25" s="33"/>
      <c r="H25" s="33">
        <f>250000000*B231</f>
        <v>250</v>
      </c>
      <c r="I25" s="33">
        <f>250000000*B231</f>
        <v>250</v>
      </c>
      <c r="J25" s="33">
        <f>500000000*B231</f>
        <v>500</v>
      </c>
      <c r="K25" s="33"/>
      <c r="L25" s="6"/>
      <c r="M25" s="33"/>
      <c r="N25" s="33"/>
      <c r="O25" s="33"/>
      <c r="P25" s="33"/>
      <c r="Q25" s="33"/>
      <c r="R25" s="33"/>
      <c r="S25" s="33"/>
      <c r="T25" s="6"/>
      <c r="U25" s="6"/>
      <c r="V25" s="6"/>
      <c r="W25" s="113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</row>
    <row r="26" spans="1:45" ht="12.75">
      <c r="A26" s="23"/>
      <c r="B26" s="6"/>
      <c r="C26" s="6"/>
      <c r="D26" s="6"/>
      <c r="E26" s="33">
        <f>SUM(G26:N26)</f>
        <v>250</v>
      </c>
      <c r="F26" s="6" t="s">
        <v>38</v>
      </c>
      <c r="G26" s="33">
        <f>100000000*B231</f>
        <v>100</v>
      </c>
      <c r="H26" s="33">
        <f>75000000*B231</f>
        <v>75</v>
      </c>
      <c r="I26" s="33">
        <f>62500000*B231</f>
        <v>62.5</v>
      </c>
      <c r="J26" s="33">
        <f>12500000*B231</f>
        <v>12.5</v>
      </c>
      <c r="K26" s="32"/>
      <c r="L26" s="9"/>
      <c r="M26" s="32"/>
      <c r="N26" s="32"/>
      <c r="O26" s="32"/>
      <c r="P26" s="32"/>
      <c r="Q26" s="32"/>
      <c r="R26" s="32"/>
      <c r="S26" s="32"/>
      <c r="T26" s="6"/>
      <c r="U26" s="6"/>
      <c r="V26" s="6"/>
      <c r="W26" s="113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</row>
    <row r="27" spans="1:45" ht="12.75">
      <c r="A27" s="23" t="s">
        <v>53</v>
      </c>
      <c r="B27" s="7">
        <v>36672</v>
      </c>
      <c r="C27" s="6" t="s">
        <v>32</v>
      </c>
      <c r="D27" s="33">
        <f>SUM(G27:N27)</f>
        <v>3000</v>
      </c>
      <c r="E27" s="6"/>
      <c r="F27" s="6" t="s">
        <v>37</v>
      </c>
      <c r="G27" s="33"/>
      <c r="H27" s="33"/>
      <c r="I27" s="33"/>
      <c r="J27" s="33">
        <f>3000000000*B231</f>
        <v>3000</v>
      </c>
      <c r="K27" s="33"/>
      <c r="L27" s="6"/>
      <c r="M27" s="33"/>
      <c r="N27" s="33"/>
      <c r="O27" s="33"/>
      <c r="P27" s="33"/>
      <c r="Q27" s="33"/>
      <c r="R27" s="33"/>
      <c r="S27" s="33"/>
      <c r="T27" s="6"/>
      <c r="U27" s="6"/>
      <c r="V27" s="6"/>
      <c r="W27" s="113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</row>
    <row r="28" spans="1:45" ht="12.75">
      <c r="A28" s="23"/>
      <c r="B28" s="6"/>
      <c r="C28" s="6"/>
      <c r="D28" s="6"/>
      <c r="E28" s="33">
        <f>SUM(G28:N28)</f>
        <v>1025</v>
      </c>
      <c r="F28" s="6" t="s">
        <v>38</v>
      </c>
      <c r="G28" s="33">
        <f>300000000*B231</f>
        <v>300</v>
      </c>
      <c r="H28" s="33">
        <f>300000000*B231</f>
        <v>300</v>
      </c>
      <c r="I28" s="33">
        <f>300000000*B231</f>
        <v>300</v>
      </c>
      <c r="J28" s="33">
        <f>125000000*B231</f>
        <v>125</v>
      </c>
      <c r="K28" s="33"/>
      <c r="L28" s="6"/>
      <c r="M28" s="33"/>
      <c r="N28" s="33"/>
      <c r="O28" s="33"/>
      <c r="P28" s="33"/>
      <c r="Q28" s="33"/>
      <c r="R28" s="33"/>
      <c r="S28" s="33"/>
      <c r="T28" s="6"/>
      <c r="U28" s="6"/>
      <c r="V28" s="6"/>
      <c r="W28" s="113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1:45" ht="12.75">
      <c r="A29" s="23" t="s">
        <v>21</v>
      </c>
      <c r="B29" s="7">
        <v>36717</v>
      </c>
      <c r="C29" s="6" t="s">
        <v>32</v>
      </c>
      <c r="D29" s="33">
        <f>SUM(G29:N29)</f>
        <v>4100</v>
      </c>
      <c r="E29" s="6"/>
      <c r="F29" s="6" t="s">
        <v>37</v>
      </c>
      <c r="G29" s="33"/>
      <c r="H29" s="33"/>
      <c r="I29" s="33"/>
      <c r="J29" s="33">
        <f>4100000000*B231</f>
        <v>4100</v>
      </c>
      <c r="K29" s="32"/>
      <c r="L29" s="9"/>
      <c r="M29" s="32"/>
      <c r="N29" s="32"/>
      <c r="O29" s="32"/>
      <c r="P29" s="32"/>
      <c r="Q29" s="32"/>
      <c r="R29" s="32"/>
      <c r="S29" s="32"/>
      <c r="T29" s="6"/>
      <c r="U29" s="6"/>
      <c r="V29" s="6"/>
      <c r="W29" s="11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</row>
    <row r="30" spans="1:56" ht="12.75">
      <c r="A30" s="23"/>
      <c r="B30" s="6"/>
      <c r="C30" s="6"/>
      <c r="D30" s="6"/>
      <c r="E30" s="33">
        <f>SUM(G30:N30)</f>
        <v>1680.3999999999999</v>
      </c>
      <c r="F30" s="6" t="s">
        <v>38</v>
      </c>
      <c r="G30" s="33">
        <f>479700000*B231</f>
        <v>479.7</v>
      </c>
      <c r="H30" s="33">
        <f>479700000*B231</f>
        <v>479.7</v>
      </c>
      <c r="I30" s="33">
        <f>479700000*B231</f>
        <v>479.7</v>
      </c>
      <c r="J30" s="33">
        <f>241300000*B231</f>
        <v>241.29999999999998</v>
      </c>
      <c r="K30" s="33"/>
      <c r="L30" s="6"/>
      <c r="M30" s="33"/>
      <c r="N30" s="33"/>
      <c r="O30" s="33"/>
      <c r="P30" s="33"/>
      <c r="Q30" s="33"/>
      <c r="R30" s="33"/>
      <c r="S30" s="33"/>
      <c r="T30" s="6"/>
      <c r="U30" s="6"/>
      <c r="V30" s="6"/>
      <c r="W30" s="11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BD30" s="63"/>
    </row>
    <row r="31" spans="1:45" ht="12.75">
      <c r="A31" s="23" t="s">
        <v>71</v>
      </c>
      <c r="B31" s="7">
        <v>36993</v>
      </c>
      <c r="C31" s="6" t="s">
        <v>32</v>
      </c>
      <c r="D31" s="33">
        <f>SUM(G31:N31)</f>
        <v>3000</v>
      </c>
      <c r="E31" s="63"/>
      <c r="F31" s="6" t="s">
        <v>37</v>
      </c>
      <c r="G31" s="32"/>
      <c r="H31" s="32"/>
      <c r="I31" s="32"/>
      <c r="J31" s="32"/>
      <c r="K31" s="32">
        <f>3000000000*B231</f>
        <v>3000</v>
      </c>
      <c r="L31" s="9"/>
      <c r="M31" s="32"/>
      <c r="N31" s="32"/>
      <c r="O31" s="32"/>
      <c r="P31" s="32"/>
      <c r="Q31" s="32"/>
      <c r="R31" s="32"/>
      <c r="S31" s="32"/>
      <c r="T31" s="9"/>
      <c r="U31" s="9"/>
      <c r="V31" s="9"/>
      <c r="W31" s="112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</row>
    <row r="32" spans="1:45" ht="13.5" thickBot="1">
      <c r="A32" s="61"/>
      <c r="B32" s="62"/>
      <c r="C32" s="62"/>
      <c r="D32" s="62"/>
      <c r="E32" s="33">
        <f>SUM(G32:N32)</f>
        <v>1123.6999999999998</v>
      </c>
      <c r="F32" s="6" t="s">
        <v>38</v>
      </c>
      <c r="G32" s="63">
        <f>267900000*B231</f>
        <v>267.9</v>
      </c>
      <c r="H32" s="63">
        <f>267900000*B231</f>
        <v>267.9</v>
      </c>
      <c r="I32" s="63">
        <f>267900000*B231</f>
        <v>267.9</v>
      </c>
      <c r="J32" s="63">
        <f>267900000*B231</f>
        <v>267.9</v>
      </c>
      <c r="K32" s="63">
        <f>52100000*B231</f>
        <v>52.099999999999994</v>
      </c>
      <c r="L32" s="62"/>
      <c r="M32" s="63"/>
      <c r="N32" s="63"/>
      <c r="O32" s="63"/>
      <c r="P32" s="63"/>
      <c r="Q32" s="63"/>
      <c r="R32" s="63"/>
      <c r="S32" s="63"/>
      <c r="T32" s="62"/>
      <c r="U32" s="62"/>
      <c r="V32" s="62"/>
      <c r="W32" s="1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  <row r="33" spans="1:45" s="2" customFormat="1" ht="14.25" thickBot="1" thickTop="1">
      <c r="A33" s="25" t="s">
        <v>7</v>
      </c>
      <c r="B33" s="15"/>
      <c r="C33" s="15"/>
      <c r="D33" s="35">
        <f>SUM(D7:D32)</f>
        <v>32311.955333288763</v>
      </c>
      <c r="E33" s="35">
        <f>SUM(E7:E32)</f>
        <v>8716.674410853531</v>
      </c>
      <c r="F33" s="15"/>
      <c r="G33" s="35">
        <f aca="true" t="shared" si="0" ref="G33:N33">SUM(G7:G32)</f>
        <v>7006.5867403725</v>
      </c>
      <c r="H33" s="35">
        <f t="shared" si="0"/>
        <v>7155.405055376249</v>
      </c>
      <c r="I33" s="35">
        <f t="shared" si="0"/>
        <v>5162.6287741077995</v>
      </c>
      <c r="J33" s="35">
        <f t="shared" si="0"/>
        <v>11814.69976176289</v>
      </c>
      <c r="K33" s="35">
        <f t="shared" si="0"/>
        <v>6387.795219594351</v>
      </c>
      <c r="L33" s="35">
        <f t="shared" si="0"/>
        <v>2271.44889672112</v>
      </c>
      <c r="M33" s="35">
        <f t="shared" si="0"/>
        <v>1128.2823044740103</v>
      </c>
      <c r="N33" s="35">
        <f t="shared" si="0"/>
        <v>101.78299173337</v>
      </c>
      <c r="O33" s="35"/>
      <c r="P33" s="35"/>
      <c r="Q33" s="35"/>
      <c r="R33" s="35"/>
      <c r="S33" s="35"/>
      <c r="T33" s="15"/>
      <c r="U33" s="15"/>
      <c r="V33" s="15"/>
      <c r="W33" s="115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</row>
    <row r="34" spans="1:45" ht="13.5" thickBot="1">
      <c r="A34" s="104"/>
      <c r="B34" s="14"/>
      <c r="C34" s="14"/>
      <c r="D34" s="92"/>
      <c r="E34" s="92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31"/>
      <c r="T34" s="31"/>
      <c r="U34" s="31"/>
      <c r="V34" s="31"/>
      <c r="W34" s="31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45" s="1" customFormat="1" ht="12.75">
      <c r="A35" s="16" t="s">
        <v>24</v>
      </c>
      <c r="B35" s="17" t="s">
        <v>25</v>
      </c>
      <c r="C35" s="18" t="s">
        <v>28</v>
      </c>
      <c r="D35" s="3" t="s">
        <v>74</v>
      </c>
      <c r="E35" s="137"/>
      <c r="F35" s="18"/>
      <c r="G35" s="19"/>
      <c r="H35" s="19"/>
      <c r="I35" s="19" t="s">
        <v>75</v>
      </c>
      <c r="J35" s="19"/>
      <c r="K35" s="19"/>
      <c r="L35" s="19"/>
      <c r="M35" s="19"/>
      <c r="N35" s="19"/>
      <c r="O35" s="19"/>
      <c r="P35" s="19"/>
      <c r="Q35" s="19"/>
      <c r="R35" s="19"/>
      <c r="T35" s="4"/>
      <c r="U35" s="4"/>
      <c r="V35" s="4"/>
      <c r="W35" s="110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s="1" customFormat="1" ht="12.75">
      <c r="A36" s="20"/>
      <c r="B36" s="3" t="s">
        <v>26</v>
      </c>
      <c r="C36" s="8"/>
      <c r="D36" s="159" t="s">
        <v>76</v>
      </c>
      <c r="E36" s="160"/>
      <c r="F36" s="8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33"/>
      <c r="U36" s="133"/>
      <c r="V36" s="133"/>
      <c r="W36" s="13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ht="13.5" thickBot="1">
      <c r="A37" s="21"/>
      <c r="B37" s="11" t="s">
        <v>27</v>
      </c>
      <c r="C37" s="12"/>
      <c r="D37" s="13" t="s">
        <v>37</v>
      </c>
      <c r="E37" s="13" t="s">
        <v>38</v>
      </c>
      <c r="F37" s="12"/>
      <c r="G37" s="82">
        <v>2002</v>
      </c>
      <c r="H37" s="82">
        <v>2003</v>
      </c>
      <c r="I37" s="82">
        <v>2004</v>
      </c>
      <c r="J37" s="82">
        <v>2005</v>
      </c>
      <c r="K37" s="82">
        <v>2006</v>
      </c>
      <c r="L37" s="82">
        <v>2007</v>
      </c>
      <c r="M37" s="82">
        <v>2008</v>
      </c>
      <c r="N37" s="82">
        <v>2009</v>
      </c>
      <c r="O37" s="82">
        <v>2010</v>
      </c>
      <c r="P37" s="82">
        <v>2011</v>
      </c>
      <c r="Q37" s="82">
        <v>2012</v>
      </c>
      <c r="R37" s="82">
        <v>2013</v>
      </c>
      <c r="S37" s="90">
        <v>2014</v>
      </c>
      <c r="T37" s="12">
        <v>2015</v>
      </c>
      <c r="U37" s="12">
        <v>2016</v>
      </c>
      <c r="V37" s="12">
        <v>2017</v>
      </c>
      <c r="W37" s="135">
        <v>2018</v>
      </c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</row>
    <row r="38" spans="1:45" ht="13.5" thickTop="1">
      <c r="A38" s="22" t="s">
        <v>8</v>
      </c>
      <c r="B38" s="9"/>
      <c r="C38" s="9"/>
      <c r="D38" s="9"/>
      <c r="E38" s="9"/>
      <c r="F38" s="9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9"/>
      <c r="U38" s="9"/>
      <c r="V38" s="9"/>
      <c r="W38" s="112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</row>
    <row r="39" spans="1:45" ht="12.75">
      <c r="A39" s="23" t="s">
        <v>9</v>
      </c>
      <c r="B39" s="7">
        <v>35415</v>
      </c>
      <c r="C39" s="6" t="s">
        <v>31</v>
      </c>
      <c r="D39" s="33">
        <f>SUM(K39)</f>
        <v>9462.2</v>
      </c>
      <c r="E39" s="6"/>
      <c r="F39" s="6" t="s">
        <v>37</v>
      </c>
      <c r="G39" s="33"/>
      <c r="H39" s="33"/>
      <c r="I39" s="33"/>
      <c r="J39" s="33"/>
      <c r="K39" s="33">
        <f>200000000*B223</f>
        <v>9462.2</v>
      </c>
      <c r="L39" s="6"/>
      <c r="M39" s="33"/>
      <c r="N39" s="33"/>
      <c r="O39" s="33"/>
      <c r="P39" s="33"/>
      <c r="Q39" s="33"/>
      <c r="R39" s="33"/>
      <c r="S39" s="33"/>
      <c r="T39" s="6"/>
      <c r="U39" s="6"/>
      <c r="V39" s="6"/>
      <c r="W39" s="113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</row>
    <row r="40" spans="1:45" ht="12.75">
      <c r="A40" s="23"/>
      <c r="B40" s="6"/>
      <c r="C40" s="6"/>
      <c r="D40" s="6"/>
      <c r="E40" s="33">
        <f>SUM(G40:K40)</f>
        <v>3430.0475</v>
      </c>
      <c r="F40" s="6" t="s">
        <v>38</v>
      </c>
      <c r="G40" s="33">
        <f>14500000*B223</f>
        <v>686.0095</v>
      </c>
      <c r="H40" s="33">
        <f>14500000*B223</f>
        <v>686.0095</v>
      </c>
      <c r="I40" s="33">
        <f>14500000*B223</f>
        <v>686.0095</v>
      </c>
      <c r="J40" s="33">
        <f>14500000*B223</f>
        <v>686.0095</v>
      </c>
      <c r="K40" s="33">
        <f>14500000*B223</f>
        <v>686.0095</v>
      </c>
      <c r="L40" s="6"/>
      <c r="M40" s="33"/>
      <c r="N40" s="33"/>
      <c r="O40" s="33"/>
      <c r="P40" s="33"/>
      <c r="Q40" s="33"/>
      <c r="R40" s="33"/>
      <c r="S40" s="33"/>
      <c r="T40" s="6"/>
      <c r="U40" s="6"/>
      <c r="V40" s="6"/>
      <c r="W40" s="113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</row>
    <row r="41" spans="1:45" ht="12.75">
      <c r="A41" s="23" t="s">
        <v>10</v>
      </c>
      <c r="B41" s="7">
        <v>36370</v>
      </c>
      <c r="C41" s="6" t="s">
        <v>33</v>
      </c>
      <c r="D41" s="33">
        <f>SUM(G41)</f>
        <v>1745.6000000000001</v>
      </c>
      <c r="E41" s="6"/>
      <c r="F41" s="6" t="s">
        <v>37</v>
      </c>
      <c r="G41" s="33">
        <f>40000000*B225</f>
        <v>1745.6000000000001</v>
      </c>
      <c r="H41" s="6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6"/>
      <c r="U41" s="6"/>
      <c r="V41" s="6"/>
      <c r="W41" s="113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</row>
    <row r="42" spans="1:45" ht="13.5" thickBot="1">
      <c r="A42" s="24"/>
      <c r="B42" s="13"/>
      <c r="C42" s="13"/>
      <c r="D42" s="13"/>
      <c r="E42" s="34">
        <f>SUM(G42:G42)</f>
        <v>160.02788</v>
      </c>
      <c r="F42" s="13" t="s">
        <v>38</v>
      </c>
      <c r="G42" s="34">
        <f>3667000*B225</f>
        <v>160.02788</v>
      </c>
      <c r="H42" s="13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3"/>
      <c r="U42" s="13"/>
      <c r="V42" s="13"/>
      <c r="W42" s="118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</row>
    <row r="43" spans="1:45" s="2" customFormat="1" ht="14.25" thickBot="1" thickTop="1">
      <c r="A43" s="26" t="s">
        <v>7</v>
      </c>
      <c r="B43" s="27"/>
      <c r="C43" s="27"/>
      <c r="D43" s="36">
        <f>SUM(D39:D42)</f>
        <v>11207.800000000001</v>
      </c>
      <c r="E43" s="36">
        <f>SUM(E39:E42)</f>
        <v>3590.07538</v>
      </c>
      <c r="F43" s="27"/>
      <c r="G43" s="36">
        <f>SUM(G39:G42)</f>
        <v>2591.63738</v>
      </c>
      <c r="H43" s="36">
        <f>SUM(H39:H42)</f>
        <v>686.0095</v>
      </c>
      <c r="I43" s="36">
        <f>SUM(I39:I42)</f>
        <v>686.0095</v>
      </c>
      <c r="J43" s="36">
        <f>SUM(J39:J42)</f>
        <v>686.0095</v>
      </c>
      <c r="K43" s="36">
        <f>SUM(K39:K42)</f>
        <v>10148.2095</v>
      </c>
      <c r="L43" s="27"/>
      <c r="M43" s="27"/>
      <c r="N43" s="27"/>
      <c r="O43" s="27"/>
      <c r="P43" s="27"/>
      <c r="Q43" s="27"/>
      <c r="R43" s="27"/>
      <c r="S43" s="27"/>
      <c r="T43" s="15"/>
      <c r="U43" s="15"/>
      <c r="V43" s="15"/>
      <c r="W43" s="115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</row>
    <row r="44" spans="1:45" ht="13.5" thickBot="1">
      <c r="A44" s="104"/>
      <c r="B44" s="14"/>
      <c r="C44" s="14"/>
      <c r="D44" s="92"/>
      <c r="E44" s="92"/>
      <c r="F44" s="14"/>
      <c r="G44" s="14"/>
      <c r="H44" s="14"/>
      <c r="I44" s="31"/>
      <c r="J44" s="14"/>
      <c r="K44" s="14"/>
      <c r="L44" s="14"/>
      <c r="M44" s="14"/>
      <c r="N44" s="14"/>
      <c r="O44" s="14"/>
      <c r="P44" s="14"/>
      <c r="Q44" s="14"/>
      <c r="R44" s="14"/>
      <c r="S44" s="106"/>
      <c r="T44" s="105"/>
      <c r="U44" s="105"/>
      <c r="V44" s="105"/>
      <c r="W44" s="105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</row>
    <row r="45" spans="1:45" s="1" customFormat="1" ht="12.75">
      <c r="A45" s="16" t="s">
        <v>24</v>
      </c>
      <c r="B45" s="17" t="s">
        <v>25</v>
      </c>
      <c r="C45" s="18" t="s">
        <v>28</v>
      </c>
      <c r="D45" s="3" t="s">
        <v>74</v>
      </c>
      <c r="E45" s="137"/>
      <c r="F45" s="18"/>
      <c r="G45" s="19"/>
      <c r="H45" s="19"/>
      <c r="I45" s="19" t="s">
        <v>75</v>
      </c>
      <c r="J45" s="19"/>
      <c r="K45" s="19"/>
      <c r="L45" s="19"/>
      <c r="M45" s="19"/>
      <c r="N45" s="19"/>
      <c r="O45" s="19"/>
      <c r="P45" s="19"/>
      <c r="Q45" s="19"/>
      <c r="R45" s="19"/>
      <c r="T45" s="4"/>
      <c r="U45" s="4"/>
      <c r="V45" s="4"/>
      <c r="W45" s="110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s="1" customFormat="1" ht="12.75">
      <c r="A46" s="20"/>
      <c r="B46" s="3" t="s">
        <v>26</v>
      </c>
      <c r="C46" s="8"/>
      <c r="D46" s="159" t="s">
        <v>76</v>
      </c>
      <c r="E46" s="160"/>
      <c r="F46" s="8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33"/>
      <c r="U46" s="133"/>
      <c r="V46" s="133"/>
      <c r="W46" s="13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3.5" thickBot="1">
      <c r="A47" s="21"/>
      <c r="B47" s="11" t="s">
        <v>27</v>
      </c>
      <c r="C47" s="12"/>
      <c r="D47" s="13" t="s">
        <v>37</v>
      </c>
      <c r="E47" s="13" t="s">
        <v>38</v>
      </c>
      <c r="F47" s="12"/>
      <c r="G47" s="82">
        <v>2002</v>
      </c>
      <c r="H47" s="82">
        <v>2003</v>
      </c>
      <c r="I47" s="82">
        <v>2004</v>
      </c>
      <c r="J47" s="82">
        <v>2005</v>
      </c>
      <c r="K47" s="82">
        <v>2006</v>
      </c>
      <c r="L47" s="82">
        <v>2007</v>
      </c>
      <c r="M47" s="82">
        <v>2008</v>
      </c>
      <c r="N47" s="82">
        <v>2009</v>
      </c>
      <c r="O47" s="82">
        <v>2010</v>
      </c>
      <c r="P47" s="82">
        <v>2011</v>
      </c>
      <c r="Q47" s="82">
        <v>2012</v>
      </c>
      <c r="R47" s="82">
        <v>2013</v>
      </c>
      <c r="S47" s="90">
        <v>2014</v>
      </c>
      <c r="T47" s="13">
        <v>2015</v>
      </c>
      <c r="U47" s="13">
        <v>2016</v>
      </c>
      <c r="V47" s="13">
        <v>2017</v>
      </c>
      <c r="W47" s="118">
        <v>2018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</row>
    <row r="48" spans="1:45" ht="13.5" thickTop="1">
      <c r="A48" s="22" t="s">
        <v>52</v>
      </c>
      <c r="B48" s="9"/>
      <c r="C48" s="9"/>
      <c r="D48" s="9"/>
      <c r="E48" s="9"/>
      <c r="F48" s="9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6"/>
      <c r="U48" s="6"/>
      <c r="V48" s="6"/>
      <c r="W48" s="113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</row>
    <row r="49" spans="1:45" ht="12.75">
      <c r="A49" s="23" t="s">
        <v>12</v>
      </c>
      <c r="B49" s="7">
        <v>34150</v>
      </c>
      <c r="C49" s="6" t="s">
        <v>34</v>
      </c>
      <c r="D49" s="33">
        <f>SUM(G49:M49)</f>
        <v>425.61824369999994</v>
      </c>
      <c r="E49" s="6"/>
      <c r="F49" s="6" t="s">
        <v>37</v>
      </c>
      <c r="G49" s="33">
        <f>2934600*B222</f>
        <v>65.4797298</v>
      </c>
      <c r="H49" s="33">
        <f>2934600*B222</f>
        <v>65.4797298</v>
      </c>
      <c r="I49" s="33">
        <f>2934600*B222</f>
        <v>65.4797298</v>
      </c>
      <c r="J49" s="33">
        <f>2934600*B222</f>
        <v>65.4797298</v>
      </c>
      <c r="K49" s="33">
        <f>2934600*B222</f>
        <v>65.4797298</v>
      </c>
      <c r="L49" s="33">
        <f>2934600*B222</f>
        <v>65.4797298</v>
      </c>
      <c r="M49" s="33">
        <f>1467300*B222</f>
        <v>32.7398649</v>
      </c>
      <c r="N49" s="33"/>
      <c r="O49" s="33"/>
      <c r="P49" s="33"/>
      <c r="Q49" s="33"/>
      <c r="R49" s="33"/>
      <c r="S49" s="33"/>
      <c r="T49" s="6"/>
      <c r="U49" s="6"/>
      <c r="V49" s="6"/>
      <c r="W49" s="113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</row>
    <row r="50" spans="1:45" ht="12.75">
      <c r="A50" s="23"/>
      <c r="B50" s="6"/>
      <c r="C50" s="6"/>
      <c r="D50" s="6"/>
      <c r="E50" s="33">
        <f>SUM(G50:M50)</f>
        <v>93.803852</v>
      </c>
      <c r="F50" s="6" t="s">
        <v>38</v>
      </c>
      <c r="G50" s="33">
        <f>1175000*B222</f>
        <v>26.217775000000003</v>
      </c>
      <c r="H50" s="33">
        <f>987000*B222</f>
        <v>22.022931</v>
      </c>
      <c r="I50" s="33">
        <f>799000*B222</f>
        <v>17.828087</v>
      </c>
      <c r="J50" s="33">
        <f>611000*B222</f>
        <v>13.633243</v>
      </c>
      <c r="K50" s="33">
        <f>423000*B222</f>
        <v>9.438399</v>
      </c>
      <c r="L50" s="33">
        <f>188000*B222</f>
        <v>4.194844000000001</v>
      </c>
      <c r="M50" s="33">
        <f>21000*B222</f>
        <v>0.468573</v>
      </c>
      <c r="N50" s="33"/>
      <c r="O50" s="33"/>
      <c r="P50" s="33"/>
      <c r="Q50" s="33"/>
      <c r="R50" s="33"/>
      <c r="S50" s="33"/>
      <c r="T50" s="6"/>
      <c r="U50" s="6"/>
      <c r="V50" s="6"/>
      <c r="W50" s="113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</row>
    <row r="51" spans="1:45" ht="12.75">
      <c r="A51" s="23" t="s">
        <v>13</v>
      </c>
      <c r="B51" s="7">
        <v>34470</v>
      </c>
      <c r="C51" s="6" t="s">
        <v>31</v>
      </c>
      <c r="D51" s="33">
        <f>SUM(G51:O51)</f>
        <v>1843.7522025889998</v>
      </c>
      <c r="E51" s="6"/>
      <c r="F51" s="6" t="s">
        <v>37</v>
      </c>
      <c r="G51" s="33">
        <f>3178700*B223</f>
        <v>150.3874757</v>
      </c>
      <c r="H51" s="33">
        <f>3417700*B223</f>
        <v>161.6948047</v>
      </c>
      <c r="I51" s="33">
        <f>3674700*B223</f>
        <v>173.8537317</v>
      </c>
      <c r="J51" s="33">
        <f>3958700*B223</f>
        <v>187.2900557</v>
      </c>
      <c r="K51" s="33">
        <f>4251800*B223</f>
        <v>201.1569098</v>
      </c>
      <c r="L51" s="33">
        <f>4576500*B223</f>
        <v>216.51879150000002</v>
      </c>
      <c r="M51" s="33">
        <f>4923600*B223</f>
        <v>232.94043960000002</v>
      </c>
      <c r="N51" s="33">
        <f>5293400*B223</f>
        <v>250.4360474</v>
      </c>
      <c r="O51" s="33">
        <f>5695799*B223</f>
        <v>269.473946489</v>
      </c>
      <c r="P51" s="6"/>
      <c r="Q51" s="33"/>
      <c r="R51" s="33"/>
      <c r="S51" s="33"/>
      <c r="T51" s="6"/>
      <c r="U51" s="6"/>
      <c r="V51" s="6"/>
      <c r="W51" s="113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</row>
    <row r="52" spans="1:45" ht="12.75">
      <c r="A52" s="23"/>
      <c r="B52" s="6"/>
      <c r="C52" s="6"/>
      <c r="D52" s="6"/>
      <c r="E52" s="33">
        <f>SUM(G52:O52)</f>
        <v>523.3708408499999</v>
      </c>
      <c r="F52" s="6" t="s">
        <v>38</v>
      </c>
      <c r="G52" s="33">
        <f>2069946*B223</f>
        <v>97.931215206</v>
      </c>
      <c r="H52" s="33">
        <f>1894483*B223</f>
        <v>89.62988521300001</v>
      </c>
      <c r="I52" s="33">
        <f>1705823*B223</f>
        <v>80.704191953</v>
      </c>
      <c r="J52" s="33">
        <f>1502866*B223</f>
        <v>71.102093326</v>
      </c>
      <c r="K52" s="33">
        <f>1284394*B223</f>
        <v>60.765964534000005</v>
      </c>
      <c r="L52" s="33">
        <f>1049670*B223</f>
        <v>49.66093737</v>
      </c>
      <c r="M52" s="33">
        <f>796981*B223</f>
        <v>37.705968091</v>
      </c>
      <c r="N52" s="33">
        <f>525233*B223</f>
        <v>24.849298463</v>
      </c>
      <c r="O52" s="33">
        <f>232954*B223</f>
        <v>11.021286694</v>
      </c>
      <c r="P52" s="6"/>
      <c r="Q52" s="33"/>
      <c r="R52" s="33"/>
      <c r="S52" s="33"/>
      <c r="T52" s="6"/>
      <c r="U52" s="6"/>
      <c r="V52" s="6"/>
      <c r="W52" s="113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</row>
    <row r="53" spans="1:45" ht="12.75">
      <c r="A53" s="23" t="s">
        <v>63</v>
      </c>
      <c r="B53" s="7">
        <v>34582</v>
      </c>
      <c r="C53" s="6" t="s">
        <v>29</v>
      </c>
      <c r="D53" s="33">
        <f>SUM(G53:N53)</f>
        <v>335.60715544000004</v>
      </c>
      <c r="E53" s="6"/>
      <c r="F53" s="6" t="s">
        <v>37</v>
      </c>
      <c r="G53" s="33">
        <f>1880110*B222</f>
        <v>41.950894430000005</v>
      </c>
      <c r="H53" s="33">
        <f>1880110*B222</f>
        <v>41.950894430000005</v>
      </c>
      <c r="I53" s="33">
        <f>1880110*B222</f>
        <v>41.950894430000005</v>
      </c>
      <c r="J53" s="33">
        <f>1880110*B222</f>
        <v>41.950894430000005</v>
      </c>
      <c r="K53" s="33">
        <f>1880110*B222</f>
        <v>41.950894430000005</v>
      </c>
      <c r="L53" s="33">
        <f>1880110*B222</f>
        <v>41.950894430000005</v>
      </c>
      <c r="M53" s="33">
        <f>1880110*B222</f>
        <v>41.950894430000005</v>
      </c>
      <c r="N53" s="33">
        <f>1880110*B222</f>
        <v>41.950894430000005</v>
      </c>
      <c r="O53" s="6"/>
      <c r="P53" s="33"/>
      <c r="Q53" s="33"/>
      <c r="R53" s="33"/>
      <c r="S53" s="33"/>
      <c r="T53" s="6"/>
      <c r="U53" s="6"/>
      <c r="V53" s="6"/>
      <c r="W53" s="113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</row>
    <row r="54" spans="1:45" ht="12.75">
      <c r="A54" s="23"/>
      <c r="B54" s="6"/>
      <c r="C54" s="6"/>
      <c r="D54" s="6"/>
      <c r="E54" s="33">
        <f>SUM(G54:N54)</f>
        <v>91.28248300000003</v>
      </c>
      <c r="F54" s="6" t="s">
        <v>38</v>
      </c>
      <c r="G54" s="33">
        <f>932000*B222</f>
        <v>20.795716000000002</v>
      </c>
      <c r="H54" s="33">
        <f>812000*B222</f>
        <v>18.118156000000003</v>
      </c>
      <c r="I54" s="33">
        <f>692000*B222</f>
        <v>15.440596000000001</v>
      </c>
      <c r="J54" s="33">
        <f>572000*B222</f>
        <v>12.763036000000001</v>
      </c>
      <c r="K54" s="33">
        <f>452000*B222</f>
        <v>10.085476</v>
      </c>
      <c r="L54" s="33">
        <f>331000*B222</f>
        <v>7.385603000000001</v>
      </c>
      <c r="M54" s="33">
        <f>210000*B222</f>
        <v>4.68573</v>
      </c>
      <c r="N54" s="33">
        <f>90000*B222</f>
        <v>2.0081700000000002</v>
      </c>
      <c r="O54" s="6"/>
      <c r="P54" s="33"/>
      <c r="Q54" s="33"/>
      <c r="R54" s="33"/>
      <c r="S54" s="33"/>
      <c r="T54" s="6"/>
      <c r="U54" s="6"/>
      <c r="V54" s="6"/>
      <c r="W54" s="113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</row>
    <row r="55" spans="1:45" ht="12.75">
      <c r="A55" s="23"/>
      <c r="B55" s="6"/>
      <c r="C55" s="6" t="s">
        <v>31</v>
      </c>
      <c r="D55" s="33">
        <f>SUM(G55:N55)</f>
        <v>478.408832</v>
      </c>
      <c r="E55" s="6"/>
      <c r="F55" s="6" t="s">
        <v>37</v>
      </c>
      <c r="G55" s="33">
        <f>1264000*B223</f>
        <v>59.801104</v>
      </c>
      <c r="H55" s="33">
        <f>1264000*B223</f>
        <v>59.801104</v>
      </c>
      <c r="I55" s="33">
        <f>1264000*B223</f>
        <v>59.801104</v>
      </c>
      <c r="J55" s="33">
        <f>1264000*B223</f>
        <v>59.801104</v>
      </c>
      <c r="K55" s="33">
        <f>1264000*B223</f>
        <v>59.801104</v>
      </c>
      <c r="L55" s="33">
        <f>1264000*B223</f>
        <v>59.801104</v>
      </c>
      <c r="M55" s="33">
        <f>1264000*B223</f>
        <v>59.801104</v>
      </c>
      <c r="N55" s="33">
        <f>1264000*B223</f>
        <v>59.801104</v>
      </c>
      <c r="O55" s="6"/>
      <c r="P55" s="33"/>
      <c r="Q55" s="33"/>
      <c r="R55" s="33"/>
      <c r="S55" s="33"/>
      <c r="T55" s="6"/>
      <c r="U55" s="6"/>
      <c r="V55" s="6"/>
      <c r="W55" s="113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</row>
    <row r="56" spans="1:45" ht="12.75">
      <c r="A56" s="23"/>
      <c r="B56" s="6"/>
      <c r="C56" s="6"/>
      <c r="D56" s="6"/>
      <c r="E56" s="33">
        <f>SUM(G56:N56)</f>
        <v>123.670954</v>
      </c>
      <c r="F56" s="6" t="s">
        <v>38</v>
      </c>
      <c r="G56" s="33">
        <f>600000*B223</f>
        <v>28.3866</v>
      </c>
      <c r="H56" s="33">
        <f>523000*B223</f>
        <v>24.743653000000002</v>
      </c>
      <c r="I56" s="33">
        <f>445000*B223</f>
        <v>21.053395000000002</v>
      </c>
      <c r="J56" s="33">
        <f>368000*B223</f>
        <v>17.410448</v>
      </c>
      <c r="K56" s="33">
        <f>291000*B223</f>
        <v>13.767501000000001</v>
      </c>
      <c r="L56" s="33">
        <f>213000*B223</f>
        <v>10.077243000000001</v>
      </c>
      <c r="M56" s="33">
        <f>135000*B223</f>
        <v>6.386985</v>
      </c>
      <c r="N56" s="33">
        <f>39000*B223</f>
        <v>1.845129</v>
      </c>
      <c r="O56" s="6"/>
      <c r="P56" s="33"/>
      <c r="Q56" s="33"/>
      <c r="R56" s="33"/>
      <c r="S56" s="33"/>
      <c r="T56" s="6"/>
      <c r="U56" s="6"/>
      <c r="V56" s="6"/>
      <c r="W56" s="113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</row>
    <row r="57" spans="1:45" ht="12.75">
      <c r="A57" s="23" t="s">
        <v>14</v>
      </c>
      <c r="B57" s="7">
        <v>34884</v>
      </c>
      <c r="C57" s="6" t="s">
        <v>35</v>
      </c>
      <c r="D57" s="33">
        <f>SUM(G57:G57)</f>
        <v>1.31456627</v>
      </c>
      <c r="E57" s="6"/>
      <c r="F57" s="6" t="s">
        <v>37</v>
      </c>
      <c r="G57" s="33">
        <f>197590*B227</f>
        <v>1.31456627</v>
      </c>
      <c r="H57" s="6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6"/>
      <c r="U57" s="6"/>
      <c r="V57" s="6"/>
      <c r="W57" s="113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</row>
    <row r="58" spans="1:45" ht="13.5" thickBot="1">
      <c r="A58" s="24"/>
      <c r="B58" s="13"/>
      <c r="C58" s="13"/>
      <c r="D58" s="13"/>
      <c r="E58" s="34">
        <f>SUM(G58:G58)</f>
        <v>0.06566511</v>
      </c>
      <c r="F58" s="13" t="s">
        <v>38</v>
      </c>
      <c r="G58" s="34">
        <f>9870*B227</f>
        <v>0.06566511</v>
      </c>
      <c r="H58" s="13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13"/>
      <c r="U58" s="13"/>
      <c r="V58" s="13"/>
      <c r="W58" s="118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</row>
    <row r="59" spans="1:45" s="2" customFormat="1" ht="14.25" thickBot="1" thickTop="1">
      <c r="A59" s="25" t="s">
        <v>7</v>
      </c>
      <c r="B59" s="15"/>
      <c r="C59" s="15"/>
      <c r="D59" s="35">
        <f>SUM(D49:D58)</f>
        <v>3084.7009999989996</v>
      </c>
      <c r="E59" s="35">
        <f>SUM(E49:E58)</f>
        <v>832.1937949600001</v>
      </c>
      <c r="F59" s="15"/>
      <c r="G59" s="35">
        <f aca="true" t="shared" si="1" ref="G59:O59">SUM(G49:G58)</f>
        <v>492.33074151600005</v>
      </c>
      <c r="H59" s="35">
        <f t="shared" si="1"/>
        <v>483.441158143</v>
      </c>
      <c r="I59" s="35">
        <f t="shared" si="1"/>
        <v>476.11172988300007</v>
      </c>
      <c r="J59" s="35">
        <f t="shared" si="1"/>
        <v>469.430604256</v>
      </c>
      <c r="K59" s="35">
        <f t="shared" si="1"/>
        <v>462.445978564</v>
      </c>
      <c r="L59" s="35">
        <f t="shared" si="1"/>
        <v>455.06914710000007</v>
      </c>
      <c r="M59" s="35">
        <f t="shared" si="1"/>
        <v>416.679559021</v>
      </c>
      <c r="N59" s="35">
        <f t="shared" si="1"/>
        <v>380.89064329300004</v>
      </c>
      <c r="O59" s="35">
        <f t="shared" si="1"/>
        <v>280.49523318300004</v>
      </c>
      <c r="P59" s="35"/>
      <c r="Q59" s="35"/>
      <c r="R59" s="35"/>
      <c r="S59" s="35"/>
      <c r="T59" s="15"/>
      <c r="U59" s="15"/>
      <c r="V59" s="15"/>
      <c r="W59" s="139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</row>
    <row r="60" spans="1:45" s="2" customFormat="1" ht="12.75">
      <c r="A60" s="140"/>
      <c r="B60" s="140"/>
      <c r="C60" s="140"/>
      <c r="D60" s="141"/>
      <c r="E60" s="141"/>
      <c r="F60" s="140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0"/>
      <c r="U60" s="140"/>
      <c r="V60" s="140"/>
      <c r="W60" s="140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</row>
    <row r="61" spans="1:45" s="2" customFormat="1" ht="12.75">
      <c r="A61" s="140"/>
      <c r="B61" s="140"/>
      <c r="C61" s="140"/>
      <c r="D61" s="141"/>
      <c r="E61" s="141"/>
      <c r="F61" s="140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0"/>
      <c r="U61" s="140"/>
      <c r="V61" s="140"/>
      <c r="W61" s="140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</row>
    <row r="62" spans="1:45" s="2" customFormat="1" ht="12.75">
      <c r="A62" s="140"/>
      <c r="B62" s="140"/>
      <c r="C62" s="140"/>
      <c r="D62" s="141"/>
      <c r="E62" s="141"/>
      <c r="F62" s="140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0"/>
      <c r="U62" s="140"/>
      <c r="V62" s="140"/>
      <c r="W62" s="140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</row>
    <row r="63" spans="1:45" s="2" customFormat="1" ht="12.75">
      <c r="A63" s="140"/>
      <c r="B63" s="140"/>
      <c r="C63" s="140"/>
      <c r="D63" s="141"/>
      <c r="E63" s="141"/>
      <c r="F63" s="140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0"/>
      <c r="U63" s="140"/>
      <c r="V63" s="140"/>
      <c r="W63" s="140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</row>
    <row r="64" spans="1:45" ht="13.5" thickBot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142"/>
      <c r="T64" s="143"/>
      <c r="U64" s="143"/>
      <c r="V64" s="143"/>
      <c r="W64" s="143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</row>
    <row r="65" spans="1:23" s="1" customFormat="1" ht="12.75">
      <c r="A65" s="20" t="s">
        <v>24</v>
      </c>
      <c r="B65" s="3" t="s">
        <v>25</v>
      </c>
      <c r="C65" s="8" t="s">
        <v>28</v>
      </c>
      <c r="D65" s="157" t="s">
        <v>74</v>
      </c>
      <c r="E65" s="158"/>
      <c r="F65" s="8"/>
      <c r="G65" s="4"/>
      <c r="H65" s="4"/>
      <c r="I65" s="19" t="s">
        <v>75</v>
      </c>
      <c r="J65" s="4"/>
      <c r="K65" s="4"/>
      <c r="L65" s="4"/>
      <c r="M65" s="4"/>
      <c r="N65" s="4"/>
      <c r="O65" s="4"/>
      <c r="P65" s="4"/>
      <c r="Q65" s="4"/>
      <c r="R65" s="4"/>
      <c r="T65" s="4"/>
      <c r="U65" s="4"/>
      <c r="V65" s="4"/>
      <c r="W65" s="138"/>
    </row>
    <row r="66" spans="1:23" s="1" customFormat="1" ht="12.75">
      <c r="A66" s="20"/>
      <c r="B66" s="3" t="s">
        <v>26</v>
      </c>
      <c r="C66" s="8"/>
      <c r="D66" s="159" t="s">
        <v>76</v>
      </c>
      <c r="E66" s="160"/>
      <c r="F66" s="8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133"/>
      <c r="U66" s="133"/>
      <c r="V66" s="133"/>
      <c r="W66" s="134"/>
    </row>
    <row r="67" spans="1:23" ht="13.5" thickBot="1">
      <c r="A67" s="21"/>
      <c r="B67" s="11" t="s">
        <v>27</v>
      </c>
      <c r="C67" s="12"/>
      <c r="D67" s="13" t="s">
        <v>37</v>
      </c>
      <c r="E67" s="13" t="s">
        <v>38</v>
      </c>
      <c r="F67" s="12"/>
      <c r="G67" s="82">
        <v>2002</v>
      </c>
      <c r="H67" s="82">
        <v>2003</v>
      </c>
      <c r="I67" s="82">
        <v>2004</v>
      </c>
      <c r="J67" s="82">
        <v>2005</v>
      </c>
      <c r="K67" s="82">
        <v>2006</v>
      </c>
      <c r="L67" s="82">
        <v>2007</v>
      </c>
      <c r="M67" s="82">
        <v>2008</v>
      </c>
      <c r="N67" s="82">
        <v>2009</v>
      </c>
      <c r="O67" s="82">
        <v>2010</v>
      </c>
      <c r="P67" s="82">
        <v>2011</v>
      </c>
      <c r="Q67" s="82">
        <v>2012</v>
      </c>
      <c r="R67" s="82">
        <v>2013</v>
      </c>
      <c r="S67" s="90">
        <v>2014</v>
      </c>
      <c r="T67" s="13">
        <v>2015</v>
      </c>
      <c r="U67" s="13">
        <v>2016</v>
      </c>
      <c r="V67" s="13">
        <v>2017</v>
      </c>
      <c r="W67" s="118">
        <v>2018</v>
      </c>
    </row>
    <row r="68" spans="1:23" ht="13.5" thickTop="1">
      <c r="A68" s="22" t="s">
        <v>15</v>
      </c>
      <c r="B68" s="9"/>
      <c r="C68" s="9"/>
      <c r="D68" s="9"/>
      <c r="E68" s="9"/>
      <c r="F68" s="9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6"/>
      <c r="U68" s="6"/>
      <c r="V68" s="6"/>
      <c r="W68" s="113"/>
    </row>
    <row r="69" spans="1:23" ht="12.75">
      <c r="A69" s="23" t="s">
        <v>16</v>
      </c>
      <c r="B69" s="7">
        <v>36096</v>
      </c>
      <c r="C69" s="6" t="s">
        <v>29</v>
      </c>
      <c r="D69" s="33">
        <f>SUM(G69:M69)</f>
        <v>1657.537136482</v>
      </c>
      <c r="E69" s="33"/>
      <c r="F69" s="6" t="s">
        <v>37</v>
      </c>
      <c r="G69" s="33">
        <f>11428572*B222</f>
        <v>255.00572703600002</v>
      </c>
      <c r="H69" s="33">
        <f>11428572*B222</f>
        <v>255.00572703600002</v>
      </c>
      <c r="I69" s="33">
        <f>11428572*B222</f>
        <v>255.00572703600002</v>
      </c>
      <c r="J69" s="33">
        <f>11428572*B222</f>
        <v>255.00572703600002</v>
      </c>
      <c r="K69" s="33">
        <f>11428572*B222</f>
        <v>255.00572703600002</v>
      </c>
      <c r="L69" s="33">
        <f>11428572*B222</f>
        <v>255.00572703600002</v>
      </c>
      <c r="M69" s="33">
        <f>5714282*B222</f>
        <v>127.502774266</v>
      </c>
      <c r="N69" s="6"/>
      <c r="O69" s="33"/>
      <c r="P69" s="33"/>
      <c r="Q69" s="33"/>
      <c r="R69" s="33"/>
      <c r="S69" s="33"/>
      <c r="T69" s="6"/>
      <c r="U69" s="6"/>
      <c r="V69" s="6"/>
      <c r="W69" s="113"/>
    </row>
    <row r="70" spans="1:23" ht="12.75">
      <c r="A70" s="23"/>
      <c r="B70" s="6"/>
      <c r="C70" s="6"/>
      <c r="D70" s="6"/>
      <c r="E70" s="33">
        <f>SUM(G70:M70)</f>
        <v>348.08278259585995</v>
      </c>
      <c r="F70" s="6" t="s">
        <v>38</v>
      </c>
      <c r="G70" s="33">
        <f>4285714.26*B222</f>
        <v>95.62714228338</v>
      </c>
      <c r="H70" s="33">
        <f>3599999.94*B222</f>
        <v>80.32679866122001</v>
      </c>
      <c r="I70" s="33">
        <f>2914285.62*B222</f>
        <v>65.02645503906001</v>
      </c>
      <c r="J70" s="33">
        <f>2228571.3*B222</f>
        <v>49.7261114169</v>
      </c>
      <c r="K70" s="33">
        <f>1542856.98*B222</f>
        <v>34.425767794740004</v>
      </c>
      <c r="L70" s="33">
        <f>857142.66*B222</f>
        <v>19.12542417258</v>
      </c>
      <c r="M70" s="33">
        <f>171428.46*B222</f>
        <v>3.82508322798</v>
      </c>
      <c r="N70" s="6"/>
      <c r="O70" s="33"/>
      <c r="P70" s="33"/>
      <c r="Q70" s="33"/>
      <c r="R70" s="33"/>
      <c r="S70" s="33"/>
      <c r="T70" s="6"/>
      <c r="U70" s="6"/>
      <c r="V70" s="6"/>
      <c r="W70" s="113"/>
    </row>
    <row r="71" spans="1:23" ht="12.75">
      <c r="A71" s="23" t="s">
        <v>16</v>
      </c>
      <c r="B71" s="7">
        <v>36300</v>
      </c>
      <c r="C71" s="6" t="s">
        <v>33</v>
      </c>
      <c r="D71" s="33">
        <f>SUM(G71:M71)</f>
        <v>1789.24</v>
      </c>
      <c r="E71" s="33"/>
      <c r="F71" s="6" t="s">
        <v>37</v>
      </c>
      <c r="G71" s="33">
        <f>5857142*B225</f>
        <v>255.60567688</v>
      </c>
      <c r="H71" s="33">
        <f>5857142*B225</f>
        <v>255.60567688</v>
      </c>
      <c r="I71" s="33">
        <f>5857142*B225</f>
        <v>255.60567688</v>
      </c>
      <c r="J71" s="33">
        <f>5857142*B225</f>
        <v>255.60567688</v>
      </c>
      <c r="K71" s="33">
        <f>5857142*B225</f>
        <v>255.60567688</v>
      </c>
      <c r="L71" s="33">
        <f>5857142*B225</f>
        <v>255.60567688</v>
      </c>
      <c r="M71" s="33">
        <f>5857148*B225</f>
        <v>255.60593872</v>
      </c>
      <c r="N71" s="6"/>
      <c r="O71" s="33"/>
      <c r="P71" s="33"/>
      <c r="Q71" s="33"/>
      <c r="R71" s="33"/>
      <c r="S71" s="33"/>
      <c r="T71" s="6"/>
      <c r="U71" s="6"/>
      <c r="V71" s="6"/>
      <c r="W71" s="113"/>
    </row>
    <row r="72" spans="1:23" ht="12.75">
      <c r="A72" s="23"/>
      <c r="B72" s="6"/>
      <c r="C72" s="6"/>
      <c r="D72" s="6"/>
      <c r="E72" s="58">
        <f>SUM(G72:M72)</f>
        <v>402.5790510588</v>
      </c>
      <c r="F72" s="6" t="s">
        <v>38</v>
      </c>
      <c r="G72" s="33">
        <f>2372142.87*B225</f>
        <v>103.5203148468</v>
      </c>
      <c r="H72" s="33">
        <f>2020714.35*B225</f>
        <v>88.183974234</v>
      </c>
      <c r="I72" s="33">
        <f>1669285.83*B225</f>
        <v>72.8476336212</v>
      </c>
      <c r="J72" s="33">
        <f>1317857.31*B225</f>
        <v>57.5112930084</v>
      </c>
      <c r="K72" s="33">
        <f>966428.79*B225</f>
        <v>42.1749523956</v>
      </c>
      <c r="L72" s="33">
        <f>615000.27*B225</f>
        <v>26.8386117828</v>
      </c>
      <c r="M72" s="33">
        <f>263571.75*B225</f>
        <v>11.50227117</v>
      </c>
      <c r="N72" s="6"/>
      <c r="O72" s="33"/>
      <c r="P72" s="33"/>
      <c r="Q72" s="33"/>
      <c r="R72" s="33"/>
      <c r="S72" s="33"/>
      <c r="T72" s="6"/>
      <c r="U72" s="6"/>
      <c r="V72" s="6"/>
      <c r="W72" s="113"/>
    </row>
    <row r="73" spans="1:23" ht="12.75">
      <c r="A73" s="57" t="s">
        <v>18</v>
      </c>
      <c r="B73" s="39">
        <v>36431</v>
      </c>
      <c r="C73" s="40" t="s">
        <v>33</v>
      </c>
      <c r="D73" s="41">
        <f>SUM(K73)</f>
        <v>5236.8</v>
      </c>
      <c r="E73" s="41"/>
      <c r="F73" s="40" t="s">
        <v>37</v>
      </c>
      <c r="G73" s="41"/>
      <c r="H73" s="41"/>
      <c r="I73" s="41"/>
      <c r="J73" s="41"/>
      <c r="K73" s="41">
        <f>120000000*B225</f>
        <v>5236.8</v>
      </c>
      <c r="L73" s="6"/>
      <c r="M73" s="41"/>
      <c r="N73" s="33"/>
      <c r="O73" s="41"/>
      <c r="P73" s="41"/>
      <c r="Q73" s="41"/>
      <c r="R73" s="41"/>
      <c r="S73" s="41"/>
      <c r="T73" s="6"/>
      <c r="U73" s="6"/>
      <c r="V73" s="6"/>
      <c r="W73" s="113"/>
    </row>
    <row r="74" spans="1:23" ht="12.75">
      <c r="A74" s="23"/>
      <c r="B74" s="6"/>
      <c r="C74" s="6"/>
      <c r="D74" s="6"/>
      <c r="E74" s="33">
        <f>SUM(G74:K74)</f>
        <v>2238.732</v>
      </c>
      <c r="F74" s="6" t="s">
        <v>38</v>
      </c>
      <c r="G74" s="33">
        <f>11400000*B225</f>
        <v>497.49600000000004</v>
      </c>
      <c r="H74" s="33">
        <f>11400000*B225</f>
        <v>497.49600000000004</v>
      </c>
      <c r="I74" s="33">
        <f>11400000*B225</f>
        <v>497.49600000000004</v>
      </c>
      <c r="J74" s="33">
        <f>11400000*B225</f>
        <v>497.49600000000004</v>
      </c>
      <c r="K74" s="33">
        <f>5700000*B225</f>
        <v>248.74800000000002</v>
      </c>
      <c r="L74" s="6"/>
      <c r="M74" s="33"/>
      <c r="N74" s="33"/>
      <c r="O74" s="33"/>
      <c r="P74" s="33"/>
      <c r="Q74" s="33"/>
      <c r="R74" s="33"/>
      <c r="S74" s="33"/>
      <c r="T74" s="6"/>
      <c r="U74" s="6"/>
      <c r="V74" s="6"/>
      <c r="W74" s="113"/>
    </row>
    <row r="75" spans="1:23" s="1" customFormat="1" ht="12.75">
      <c r="A75" s="23" t="s">
        <v>72</v>
      </c>
      <c r="B75" s="7">
        <v>36599</v>
      </c>
      <c r="C75" s="6" t="s">
        <v>33</v>
      </c>
      <c r="D75" s="33">
        <f>SUM(G75:L75)</f>
        <v>4364</v>
      </c>
      <c r="E75" s="6"/>
      <c r="F75" s="6" t="s">
        <v>37</v>
      </c>
      <c r="G75" s="33">
        <f>28571428.57*B225</f>
        <v>1246.8571427948</v>
      </c>
      <c r="H75" s="33">
        <f>28571428.57*B225</f>
        <v>1246.8571427948</v>
      </c>
      <c r="I75" s="33">
        <f>28571428.57*B225</f>
        <v>1246.8571427948</v>
      </c>
      <c r="J75" s="33">
        <f>14285714.29*B225</f>
        <v>623.4285716156</v>
      </c>
      <c r="K75" s="33"/>
      <c r="L75" s="33"/>
      <c r="M75" s="6"/>
      <c r="N75" s="33"/>
      <c r="O75" s="33"/>
      <c r="P75" s="33"/>
      <c r="Q75" s="33"/>
      <c r="R75" s="33"/>
      <c r="S75" s="33"/>
      <c r="T75" s="5"/>
      <c r="U75" s="5"/>
      <c r="V75" s="5"/>
      <c r="W75" s="117"/>
    </row>
    <row r="76" spans="1:23" s="1" customFormat="1" ht="12.75">
      <c r="A76" s="23"/>
      <c r="B76" s="6"/>
      <c r="C76" s="6"/>
      <c r="D76" s="6"/>
      <c r="E76" s="33">
        <f>SUM(G76:L76)</f>
        <v>645.6139702084</v>
      </c>
      <c r="F76" s="6" t="s">
        <v>38</v>
      </c>
      <c r="G76" s="33">
        <f>6868373.02*B225</f>
        <v>299.7357985928</v>
      </c>
      <c r="H76" s="33">
        <f>4753690.48*B225</f>
        <v>207.45105254720002</v>
      </c>
      <c r="I76" s="33">
        <f>2647698.41*B225</f>
        <v>115.54555861240001</v>
      </c>
      <c r="J76" s="33">
        <f>524325.4*B225</f>
        <v>22.881560456000003</v>
      </c>
      <c r="K76" s="33"/>
      <c r="L76" s="33"/>
      <c r="M76" s="6"/>
      <c r="N76" s="33"/>
      <c r="O76" s="33"/>
      <c r="P76" s="33"/>
      <c r="Q76" s="33"/>
      <c r="R76" s="33"/>
      <c r="S76" s="33"/>
      <c r="T76" s="5"/>
      <c r="U76" s="5"/>
      <c r="V76" s="5"/>
      <c r="W76" s="117"/>
    </row>
    <row r="77" spans="1:23" ht="12.75">
      <c r="A77" s="23" t="s">
        <v>54</v>
      </c>
      <c r="B77" s="7">
        <v>36711</v>
      </c>
      <c r="C77" s="6" t="s">
        <v>33</v>
      </c>
      <c r="D77" s="33">
        <f>SUM(G77:L77)</f>
        <v>1745.6000000000001</v>
      </c>
      <c r="E77" s="6"/>
      <c r="F77" s="6" t="s">
        <v>37</v>
      </c>
      <c r="G77" s="33"/>
      <c r="H77" s="33">
        <f>12000000*B225</f>
        <v>523.6800000000001</v>
      </c>
      <c r="I77" s="33">
        <f>12000000*B225</f>
        <v>523.6800000000001</v>
      </c>
      <c r="J77" s="33">
        <f>16000000*B225</f>
        <v>698.24</v>
      </c>
      <c r="K77" s="33"/>
      <c r="L77" s="33"/>
      <c r="M77" s="6"/>
      <c r="N77" s="6"/>
      <c r="O77" s="6"/>
      <c r="P77" s="6"/>
      <c r="Q77" s="6"/>
      <c r="R77" s="6"/>
      <c r="S77" s="6"/>
      <c r="T77" s="6"/>
      <c r="U77" s="6"/>
      <c r="V77" s="6"/>
      <c r="W77" s="113"/>
    </row>
    <row r="78" spans="1:23" ht="12.75">
      <c r="A78" s="23"/>
      <c r="B78" s="6"/>
      <c r="C78" s="6"/>
      <c r="D78" s="6"/>
      <c r="E78" s="33">
        <f>SUM(G78:S78)</f>
        <v>332.55687439999997</v>
      </c>
      <c r="F78" s="6" t="s">
        <v>38</v>
      </c>
      <c r="G78" s="33">
        <f>3018000*B225</f>
        <v>131.70552</v>
      </c>
      <c r="H78" s="33">
        <f>2565300*B225</f>
        <v>111.949692</v>
      </c>
      <c r="I78" s="33">
        <f>1660160*B225</f>
        <v>72.4493824</v>
      </c>
      <c r="J78" s="33">
        <f>377000*B225</f>
        <v>16.452280000000002</v>
      </c>
      <c r="K78" s="33"/>
      <c r="L78" s="33"/>
      <c r="M78" s="6"/>
      <c r="N78" s="6"/>
      <c r="O78" s="6"/>
      <c r="P78" s="6"/>
      <c r="Q78" s="6"/>
      <c r="R78" s="6"/>
      <c r="S78" s="59"/>
      <c r="T78" s="6"/>
      <c r="U78" s="6"/>
      <c r="V78" s="6"/>
      <c r="W78" s="113"/>
    </row>
    <row r="79" spans="1:23" ht="12.75">
      <c r="A79" s="23" t="s">
        <v>16</v>
      </c>
      <c r="B79" s="7">
        <v>36732</v>
      </c>
      <c r="C79" s="6" t="s">
        <v>33</v>
      </c>
      <c r="D79" s="33">
        <f>SUM(G79:S79)</f>
        <v>800.0666665212</v>
      </c>
      <c r="E79" s="6"/>
      <c r="F79" s="6" t="s">
        <v>37</v>
      </c>
      <c r="G79" s="33">
        <f>3333333.34*B225</f>
        <v>145.4666669576</v>
      </c>
      <c r="H79" s="33">
        <f>3333333.34*B225</f>
        <v>145.4666669576</v>
      </c>
      <c r="I79" s="33">
        <f>3333333.34*B225</f>
        <v>145.4666669576</v>
      </c>
      <c r="J79" s="33">
        <f>3333333.34*B225</f>
        <v>145.4666669576</v>
      </c>
      <c r="K79" s="33">
        <f>3333333.34*B225</f>
        <v>145.4666669576</v>
      </c>
      <c r="L79" s="33">
        <f>1666666.63*B225</f>
        <v>72.7333317332</v>
      </c>
      <c r="M79" s="6"/>
      <c r="N79" s="6"/>
      <c r="O79" s="6"/>
      <c r="P79" s="6"/>
      <c r="Q79" s="6"/>
      <c r="R79" s="6"/>
      <c r="S79" s="59"/>
      <c r="T79" s="6"/>
      <c r="U79" s="6"/>
      <c r="V79" s="6"/>
      <c r="W79" s="113"/>
    </row>
    <row r="80" spans="1:23" ht="12.75">
      <c r="A80" s="23"/>
      <c r="B80" s="6"/>
      <c r="C80" s="6"/>
      <c r="D80" s="6"/>
      <c r="E80" s="33">
        <f>SUM(G80:S80)</f>
        <v>163.44991059999998</v>
      </c>
      <c r="F80" s="6" t="s">
        <v>38</v>
      </c>
      <c r="G80" s="33">
        <f>1241082*B225</f>
        <v>54.16081848</v>
      </c>
      <c r="H80" s="33">
        <f>993163*B225</f>
        <v>43.34163332</v>
      </c>
      <c r="I80" s="33">
        <f>745245*B225</f>
        <v>32.522491800000005</v>
      </c>
      <c r="J80" s="33">
        <f>497326*B225</f>
        <v>21.70330664</v>
      </c>
      <c r="K80" s="33">
        <f>247919*B225</f>
        <v>10.81918516</v>
      </c>
      <c r="L80" s="33">
        <f>20680*B225</f>
        <v>0.9024752</v>
      </c>
      <c r="M80" s="6"/>
      <c r="N80" s="6"/>
      <c r="O80" s="6"/>
      <c r="P80" s="6"/>
      <c r="Q80" s="6"/>
      <c r="R80" s="6"/>
      <c r="S80" s="59"/>
      <c r="T80" s="6"/>
      <c r="U80" s="6"/>
      <c r="V80" s="6"/>
      <c r="W80" s="113"/>
    </row>
    <row r="81" spans="1:23" ht="12.75">
      <c r="A81" s="47" t="s">
        <v>59</v>
      </c>
      <c r="B81" s="64">
        <v>36804</v>
      </c>
      <c r="C81" s="9" t="s">
        <v>32</v>
      </c>
      <c r="D81" s="33">
        <f>SUM(G81:S81)</f>
        <v>1700</v>
      </c>
      <c r="E81" s="32"/>
      <c r="F81" s="6" t="s">
        <v>37</v>
      </c>
      <c r="G81" s="32">
        <f>242857142.86*B231</f>
        <v>242.85714286</v>
      </c>
      <c r="H81" s="32">
        <f>485714285.71*B231</f>
        <v>485.71428570999996</v>
      </c>
      <c r="I81" s="32">
        <f>485714285.71*B231</f>
        <v>485.71428570999996</v>
      </c>
      <c r="J81" s="32">
        <f>485714285.72*B231</f>
        <v>485.71428572</v>
      </c>
      <c r="K81" s="32"/>
      <c r="L81" s="32"/>
      <c r="M81" s="9"/>
      <c r="N81" s="9"/>
      <c r="O81" s="9"/>
      <c r="P81" s="9"/>
      <c r="Q81" s="9"/>
      <c r="R81" s="9"/>
      <c r="S81" s="85"/>
      <c r="T81" s="6"/>
      <c r="U81" s="6"/>
      <c r="V81" s="6"/>
      <c r="W81" s="113"/>
    </row>
    <row r="82" spans="1:23" ht="12.75">
      <c r="A82" s="47"/>
      <c r="B82" s="9"/>
      <c r="C82" s="9"/>
      <c r="D82" s="9"/>
      <c r="E82" s="33">
        <f>SUM(G82:S82)</f>
        <v>454.4545999999999</v>
      </c>
      <c r="F82" s="6" t="s">
        <v>38</v>
      </c>
      <c r="G82" s="32">
        <f>181436566.67*B231</f>
        <v>181.43656667</v>
      </c>
      <c r="H82" s="32">
        <f>142619900*B231</f>
        <v>142.6199</v>
      </c>
      <c r="I82" s="32">
        <f>91194900*B231</f>
        <v>91.19489999999999</v>
      </c>
      <c r="J82" s="32">
        <f>39203233.33*B231</f>
        <v>39.203233329999996</v>
      </c>
      <c r="K82" s="32"/>
      <c r="L82" s="32"/>
      <c r="M82" s="9"/>
      <c r="N82" s="9"/>
      <c r="O82" s="9"/>
      <c r="P82" s="9"/>
      <c r="Q82" s="9"/>
      <c r="R82" s="9"/>
      <c r="S82" s="85"/>
      <c r="T82" s="6"/>
      <c r="U82" s="6"/>
      <c r="V82" s="6"/>
      <c r="W82" s="113"/>
    </row>
    <row r="83" spans="1:23" ht="12.75">
      <c r="A83" s="79" t="s">
        <v>43</v>
      </c>
      <c r="B83" s="10"/>
      <c r="C83" s="10"/>
      <c r="D83" s="10"/>
      <c r="E83" s="10"/>
      <c r="F83" s="10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6"/>
      <c r="U83" s="6"/>
      <c r="V83" s="6"/>
      <c r="W83" s="113"/>
    </row>
    <row r="84" spans="1:23" ht="12.75">
      <c r="A84" s="23" t="s">
        <v>11</v>
      </c>
      <c r="B84" s="7">
        <v>34086</v>
      </c>
      <c r="C84" s="6" t="s">
        <v>33</v>
      </c>
      <c r="D84" s="33">
        <f>SUM(G84:M84)</f>
        <v>354.575</v>
      </c>
      <c r="E84" s="33"/>
      <c r="F84" s="6" t="s">
        <v>37</v>
      </c>
      <c r="G84" s="33">
        <f>1250000*B225</f>
        <v>54.550000000000004</v>
      </c>
      <c r="H84" s="33">
        <f>1250000*B225</f>
        <v>54.550000000000004</v>
      </c>
      <c r="I84" s="33">
        <f>1250000*B225</f>
        <v>54.550000000000004</v>
      </c>
      <c r="J84" s="33">
        <f>1250000*B225</f>
        <v>54.550000000000004</v>
      </c>
      <c r="K84" s="33">
        <f>1250000*B225</f>
        <v>54.550000000000004</v>
      </c>
      <c r="L84" s="33">
        <f>1250000*B225</f>
        <v>54.550000000000004</v>
      </c>
      <c r="M84" s="33">
        <f>625000*B225</f>
        <v>27.275000000000002</v>
      </c>
      <c r="N84" s="6"/>
      <c r="O84" s="33"/>
      <c r="P84" s="33"/>
      <c r="Q84" s="33"/>
      <c r="R84" s="33"/>
      <c r="S84" s="33"/>
      <c r="T84" s="6"/>
      <c r="U84" s="6"/>
      <c r="V84" s="6"/>
      <c r="W84" s="113"/>
    </row>
    <row r="85" spans="1:23" ht="12.75">
      <c r="A85" s="23"/>
      <c r="B85" s="6"/>
      <c r="C85" s="6"/>
      <c r="D85" s="6"/>
      <c r="E85" s="33">
        <f>SUM(G85:M85)</f>
        <v>99.281</v>
      </c>
      <c r="F85" s="6" t="s">
        <v>38</v>
      </c>
      <c r="G85" s="80">
        <f>625000*B225</f>
        <v>27.275000000000002</v>
      </c>
      <c r="H85" s="33">
        <f>525000*B225</f>
        <v>22.911</v>
      </c>
      <c r="I85" s="33">
        <f>425000*B225</f>
        <v>18.547</v>
      </c>
      <c r="J85" s="33">
        <f>325000*B225</f>
        <v>14.183000000000002</v>
      </c>
      <c r="K85" s="33">
        <f>225000*B225</f>
        <v>9.819</v>
      </c>
      <c r="L85" s="33">
        <f>125000*B225</f>
        <v>5.455</v>
      </c>
      <c r="M85" s="33">
        <f>25000*B225</f>
        <v>1.091</v>
      </c>
      <c r="N85" s="14"/>
      <c r="O85" s="33"/>
      <c r="P85" s="33"/>
      <c r="Q85" s="33"/>
      <c r="R85" s="33"/>
      <c r="S85" s="33"/>
      <c r="T85" s="6"/>
      <c r="U85" s="6"/>
      <c r="V85" s="6"/>
      <c r="W85" s="113"/>
    </row>
    <row r="86" spans="1:23" ht="12.75">
      <c r="A86" s="23" t="s">
        <v>23</v>
      </c>
      <c r="B86" s="7">
        <v>34086</v>
      </c>
      <c r="C86" s="6" t="s">
        <v>33</v>
      </c>
      <c r="D86" s="33">
        <f>SUM(G86:L86)</f>
        <v>240.01999999999998</v>
      </c>
      <c r="E86" s="6"/>
      <c r="F86" s="6" t="s">
        <v>37</v>
      </c>
      <c r="G86" s="33">
        <f>1000000*B225</f>
        <v>43.64</v>
      </c>
      <c r="H86" s="33">
        <f>1000000*B225</f>
        <v>43.64</v>
      </c>
      <c r="I86" s="33">
        <f>1000000*B225</f>
        <v>43.64</v>
      </c>
      <c r="J86" s="33">
        <f>1000000*B225</f>
        <v>43.64</v>
      </c>
      <c r="K86" s="33">
        <f>1000000*B225</f>
        <v>43.64</v>
      </c>
      <c r="L86" s="33">
        <f>500000*B225</f>
        <v>21.82</v>
      </c>
      <c r="M86" s="6"/>
      <c r="N86" s="33"/>
      <c r="O86" s="33"/>
      <c r="P86" s="33"/>
      <c r="Q86" s="33"/>
      <c r="R86" s="33"/>
      <c r="S86" s="33"/>
      <c r="T86" s="6"/>
      <c r="U86" s="6"/>
      <c r="V86" s="6"/>
      <c r="W86" s="113"/>
    </row>
    <row r="87" spans="1:23" ht="13.5" thickBot="1">
      <c r="A87" s="24"/>
      <c r="B87" s="13"/>
      <c r="C87" s="13"/>
      <c r="D87" s="13"/>
      <c r="E87" s="34">
        <f>SUM(G87:L87)</f>
        <v>43.2036</v>
      </c>
      <c r="F87" s="13" t="s">
        <v>38</v>
      </c>
      <c r="G87" s="34">
        <f>315000*B225</f>
        <v>13.7466</v>
      </c>
      <c r="H87" s="34">
        <f>255000*B225</f>
        <v>11.128200000000001</v>
      </c>
      <c r="I87" s="34">
        <f>195000*B225</f>
        <v>8.5098</v>
      </c>
      <c r="J87" s="34">
        <f>135000*B225</f>
        <v>5.8914</v>
      </c>
      <c r="K87" s="34">
        <f>75000*B225</f>
        <v>3.273</v>
      </c>
      <c r="L87" s="34">
        <f>15000*B225</f>
        <v>0.6546000000000001</v>
      </c>
      <c r="M87" s="13"/>
      <c r="N87" s="34"/>
      <c r="O87" s="34"/>
      <c r="P87" s="34"/>
      <c r="Q87" s="34"/>
      <c r="R87" s="34"/>
      <c r="S87" s="34"/>
      <c r="T87" s="13"/>
      <c r="U87" s="13"/>
      <c r="V87" s="13"/>
      <c r="W87" s="118"/>
    </row>
    <row r="88" spans="1:23" s="2" customFormat="1" ht="14.25" thickBot="1" thickTop="1">
      <c r="A88" s="26" t="s">
        <v>7</v>
      </c>
      <c r="B88" s="27"/>
      <c r="C88" s="27"/>
      <c r="D88" s="36">
        <f>SUM(D69:D87)</f>
        <v>17887.8388030032</v>
      </c>
      <c r="E88" s="36">
        <f>SUM(E69:E87)</f>
        <v>4727.95378886306</v>
      </c>
      <c r="F88" s="27"/>
      <c r="G88" s="36">
        <f aca="true" t="shared" si="2" ref="G88:M88">SUM(G69:G87)</f>
        <v>3648.68611740138</v>
      </c>
      <c r="H88" s="36">
        <f t="shared" si="2"/>
        <v>4215.9277501408205</v>
      </c>
      <c r="I88" s="36">
        <f t="shared" si="2"/>
        <v>3984.65872085106</v>
      </c>
      <c r="J88" s="36">
        <f t="shared" si="2"/>
        <v>3286.6991130604997</v>
      </c>
      <c r="K88" s="36">
        <f t="shared" si="2"/>
        <v>6340.327976223942</v>
      </c>
      <c r="L88" s="36">
        <f t="shared" si="2"/>
        <v>712.69084680458</v>
      </c>
      <c r="M88" s="36">
        <f t="shared" si="2"/>
        <v>426.80206738398</v>
      </c>
      <c r="N88" s="36"/>
      <c r="O88" s="36"/>
      <c r="P88" s="36"/>
      <c r="Q88" s="36"/>
      <c r="R88" s="36"/>
      <c r="S88" s="36"/>
      <c r="T88" s="27"/>
      <c r="U88" s="27"/>
      <c r="V88" s="27"/>
      <c r="W88" s="119"/>
    </row>
    <row r="89" spans="1:23" ht="13.5" thickBot="1">
      <c r="A89" s="104"/>
      <c r="B89" s="14"/>
      <c r="C89" s="31"/>
      <c r="D89" s="92"/>
      <c r="E89" s="92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06"/>
      <c r="T89" s="105"/>
      <c r="U89" s="105"/>
      <c r="V89" s="105"/>
      <c r="W89" s="105"/>
    </row>
    <row r="90" spans="1:23" s="1" customFormat="1" ht="12.75">
      <c r="A90" s="16" t="s">
        <v>24</v>
      </c>
      <c r="B90" s="17" t="s">
        <v>25</v>
      </c>
      <c r="C90" s="8" t="s">
        <v>28</v>
      </c>
      <c r="D90" s="3" t="s">
        <v>74</v>
      </c>
      <c r="E90" s="137"/>
      <c r="F90" s="18"/>
      <c r="G90" s="19"/>
      <c r="H90" s="19"/>
      <c r="I90" s="19" t="s">
        <v>75</v>
      </c>
      <c r="J90" s="19"/>
      <c r="K90" s="19"/>
      <c r="L90" s="19"/>
      <c r="M90" s="19"/>
      <c r="N90" s="19"/>
      <c r="O90" s="19"/>
      <c r="P90" s="19"/>
      <c r="Q90" s="19"/>
      <c r="R90" s="19"/>
      <c r="T90" s="4"/>
      <c r="U90" s="4"/>
      <c r="V90" s="4"/>
      <c r="W90" s="110"/>
    </row>
    <row r="91" spans="1:23" s="1" customFormat="1" ht="12.75">
      <c r="A91" s="20"/>
      <c r="B91" s="3" t="s">
        <v>26</v>
      </c>
      <c r="C91" s="8"/>
      <c r="D91" s="159" t="s">
        <v>76</v>
      </c>
      <c r="E91" s="160"/>
      <c r="F91" s="8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133"/>
      <c r="U91" s="133"/>
      <c r="V91" s="133"/>
      <c r="W91" s="134"/>
    </row>
    <row r="92" spans="1:23" ht="13.5" thickBot="1">
      <c r="A92" s="21"/>
      <c r="B92" s="11" t="s">
        <v>27</v>
      </c>
      <c r="C92" s="12"/>
      <c r="D92" s="13" t="s">
        <v>37</v>
      </c>
      <c r="E92" s="13" t="s">
        <v>38</v>
      </c>
      <c r="F92" s="12"/>
      <c r="G92" s="82">
        <v>2002</v>
      </c>
      <c r="H92" s="82">
        <v>2003</v>
      </c>
      <c r="I92" s="82">
        <v>2004</v>
      </c>
      <c r="J92" s="82">
        <v>2005</v>
      </c>
      <c r="K92" s="82">
        <v>2006</v>
      </c>
      <c r="L92" s="82">
        <v>2007</v>
      </c>
      <c r="M92" s="82">
        <v>2008</v>
      </c>
      <c r="N92" s="82">
        <v>2009</v>
      </c>
      <c r="O92" s="82">
        <v>2010</v>
      </c>
      <c r="P92" s="82">
        <v>2011</v>
      </c>
      <c r="Q92" s="82">
        <v>2012</v>
      </c>
      <c r="R92" s="82">
        <v>2013</v>
      </c>
      <c r="S92" s="90">
        <v>2014</v>
      </c>
      <c r="T92" s="13">
        <v>2015</v>
      </c>
      <c r="U92" s="13">
        <v>2016</v>
      </c>
      <c r="V92" s="13">
        <v>2017</v>
      </c>
      <c r="W92" s="118">
        <v>2018</v>
      </c>
    </row>
    <row r="93" spans="1:23" ht="13.5" thickTop="1">
      <c r="A93" s="22" t="s">
        <v>19</v>
      </c>
      <c r="B93" s="9"/>
      <c r="C93" s="9"/>
      <c r="D93" s="9"/>
      <c r="E93" s="9"/>
      <c r="F93" s="9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6"/>
      <c r="U93" s="6"/>
      <c r="V93" s="6"/>
      <c r="W93" s="113"/>
    </row>
    <row r="94" spans="1:23" ht="12.75">
      <c r="A94" s="23" t="s">
        <v>20</v>
      </c>
      <c r="B94" s="7">
        <v>35786</v>
      </c>
      <c r="C94" s="6" t="s">
        <v>31</v>
      </c>
      <c r="D94" s="33">
        <f>SUM(G94:G94)</f>
        <v>3832.1910000000003</v>
      </c>
      <c r="E94" s="6"/>
      <c r="F94" s="6" t="s">
        <v>37</v>
      </c>
      <c r="G94" s="33">
        <f>81000000*B223</f>
        <v>3832.1910000000003</v>
      </c>
      <c r="H94" s="6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6"/>
      <c r="U94" s="6"/>
      <c r="V94" s="6"/>
      <c r="W94" s="113"/>
    </row>
    <row r="95" spans="1:23" ht="12.75">
      <c r="A95" s="23"/>
      <c r="B95" s="6"/>
      <c r="C95" s="6"/>
      <c r="D95" s="6"/>
      <c r="E95" s="33">
        <f>SUM(G95:G95)</f>
        <v>141.18802916625</v>
      </c>
      <c r="F95" s="6" t="s">
        <v>38</v>
      </c>
      <c r="G95" s="33">
        <f>2984253.75*B223</f>
        <v>141.18802916625</v>
      </c>
      <c r="H95" s="6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6"/>
      <c r="U95" s="6"/>
      <c r="V95" s="6"/>
      <c r="W95" s="113"/>
    </row>
    <row r="96" spans="1:23" ht="12.75">
      <c r="A96" s="23" t="s">
        <v>65</v>
      </c>
      <c r="B96" s="7">
        <v>36364</v>
      </c>
      <c r="C96" s="6" t="s">
        <v>33</v>
      </c>
      <c r="D96" s="33">
        <f>SUM(I96:S96)</f>
        <v>5236.800000000002</v>
      </c>
      <c r="E96" s="6"/>
      <c r="F96" s="6" t="s">
        <v>37</v>
      </c>
      <c r="G96" s="33"/>
      <c r="H96" s="33"/>
      <c r="I96" s="33">
        <f>6000000*B225</f>
        <v>261.84000000000003</v>
      </c>
      <c r="J96" s="33">
        <f>12000000*B225</f>
        <v>523.6800000000001</v>
      </c>
      <c r="K96" s="33">
        <f>12000000*B225</f>
        <v>523.6800000000001</v>
      </c>
      <c r="L96" s="33">
        <f>12000000*B225</f>
        <v>523.6800000000001</v>
      </c>
      <c r="M96" s="33">
        <f>12000000*B225</f>
        <v>523.6800000000001</v>
      </c>
      <c r="N96" s="33">
        <f>12000000*B225</f>
        <v>523.6800000000001</v>
      </c>
      <c r="O96" s="33">
        <f>12000000*B225</f>
        <v>523.6800000000001</v>
      </c>
      <c r="P96" s="33">
        <f>12000000*B225</f>
        <v>523.6800000000001</v>
      </c>
      <c r="Q96" s="33">
        <f>12000000*B225</f>
        <v>523.6800000000001</v>
      </c>
      <c r="R96" s="33">
        <f>12000000*B225</f>
        <v>523.6800000000001</v>
      </c>
      <c r="S96" s="33">
        <f>6000000*B225</f>
        <v>261.84000000000003</v>
      </c>
      <c r="T96" s="6"/>
      <c r="U96" s="6"/>
      <c r="V96" s="6"/>
      <c r="W96" s="113"/>
    </row>
    <row r="97" spans="1:23" ht="12.75">
      <c r="A97" s="23"/>
      <c r="B97" s="7"/>
      <c r="C97" s="6"/>
      <c r="D97" s="97"/>
      <c r="E97" s="58">
        <f>SUM(G97:S97)</f>
        <v>2049.5526</v>
      </c>
      <c r="F97" s="6" t="s">
        <v>38</v>
      </c>
      <c r="G97" s="33">
        <f>6060000*B225</f>
        <v>264.45840000000004</v>
      </c>
      <c r="H97" s="33">
        <f>6060000*B225</f>
        <v>264.45840000000004</v>
      </c>
      <c r="I97" s="33">
        <f>6060000*B225</f>
        <v>264.45840000000004</v>
      </c>
      <c r="J97" s="33">
        <f>5605500*B225</f>
        <v>244.62402</v>
      </c>
      <c r="K97" s="33">
        <f>4999500*B225</f>
        <v>218.17818</v>
      </c>
      <c r="L97" s="33">
        <f>4393500*B225</f>
        <v>191.73234000000002</v>
      </c>
      <c r="M97" s="33">
        <f>3787500*B225</f>
        <v>165.28650000000002</v>
      </c>
      <c r="N97" s="33">
        <f>3181500*B225</f>
        <v>138.84066</v>
      </c>
      <c r="O97" s="33">
        <f>2575500*B225</f>
        <v>112.39482000000001</v>
      </c>
      <c r="P97" s="33">
        <f>1969500*B225</f>
        <v>85.94898</v>
      </c>
      <c r="Q97" s="33">
        <f>1363500*B225</f>
        <v>59.50314</v>
      </c>
      <c r="R97" s="33">
        <f>757500*B225</f>
        <v>33.057300000000005</v>
      </c>
      <c r="S97" s="33">
        <f>151500*B225</f>
        <v>6.61146</v>
      </c>
      <c r="T97" s="6"/>
      <c r="U97" s="6"/>
      <c r="V97" s="6"/>
      <c r="W97" s="113"/>
    </row>
    <row r="98" spans="1:23" ht="12.75">
      <c r="A98" s="23" t="s">
        <v>66</v>
      </c>
      <c r="B98" s="7">
        <v>36623</v>
      </c>
      <c r="C98" s="6" t="s">
        <v>33</v>
      </c>
      <c r="D98" s="58">
        <f>SUM(I98:S98)</f>
        <v>872.7999999999998</v>
      </c>
      <c r="E98" s="6"/>
      <c r="F98" s="6" t="s">
        <v>37</v>
      </c>
      <c r="G98" s="33"/>
      <c r="H98" s="33"/>
      <c r="I98" s="33">
        <f>1000000*B225</f>
        <v>43.64</v>
      </c>
      <c r="J98" s="33">
        <f>2000000*B225</f>
        <v>87.28</v>
      </c>
      <c r="K98" s="33">
        <f>2000000*B225</f>
        <v>87.28</v>
      </c>
      <c r="L98" s="33">
        <f>2000000*B225</f>
        <v>87.28</v>
      </c>
      <c r="M98" s="33">
        <f>2000000*B225</f>
        <v>87.28</v>
      </c>
      <c r="N98" s="33">
        <f>2000000*B225</f>
        <v>87.28</v>
      </c>
      <c r="O98" s="33">
        <f>2000000*B225</f>
        <v>87.28</v>
      </c>
      <c r="P98" s="33">
        <f>2000000*B225</f>
        <v>87.28</v>
      </c>
      <c r="Q98" s="33">
        <f>2000000*B225</f>
        <v>87.28</v>
      </c>
      <c r="R98" s="33">
        <f>2000000*B225</f>
        <v>87.28</v>
      </c>
      <c r="S98" s="33">
        <f>1000000*B225</f>
        <v>43.64</v>
      </c>
      <c r="T98" s="6"/>
      <c r="U98" s="6"/>
      <c r="V98" s="6"/>
      <c r="W98" s="113"/>
    </row>
    <row r="99" spans="1:23" ht="12.75">
      <c r="A99" s="23"/>
      <c r="B99" s="6"/>
      <c r="C99" s="6"/>
      <c r="D99" s="6"/>
      <c r="E99" s="58">
        <f>SUM(G99:S99)</f>
        <v>382.85371999999995</v>
      </c>
      <c r="F99" s="6" t="s">
        <v>38</v>
      </c>
      <c r="G99" s="33">
        <f>1132000*B225</f>
        <v>49.40048</v>
      </c>
      <c r="H99" s="33">
        <f>1132000*B225</f>
        <v>49.40048</v>
      </c>
      <c r="I99" s="33">
        <f>1132000*B225</f>
        <v>49.40048</v>
      </c>
      <c r="J99" s="33">
        <f>1047100*B225</f>
        <v>45.695444</v>
      </c>
      <c r="K99" s="33">
        <f>933900*B225</f>
        <v>40.755396000000005</v>
      </c>
      <c r="L99" s="33">
        <f>820700*B225</f>
        <v>35.815348</v>
      </c>
      <c r="M99" s="33">
        <f>707500*B225</f>
        <v>30.875300000000003</v>
      </c>
      <c r="N99" s="33">
        <f>594300*B225</f>
        <v>25.935252000000002</v>
      </c>
      <c r="O99" s="33">
        <f>481100*B225</f>
        <v>20.995204</v>
      </c>
      <c r="P99" s="33">
        <f>367900*B225</f>
        <v>16.055156</v>
      </c>
      <c r="Q99" s="33">
        <f>254700*B225</f>
        <v>11.115108000000001</v>
      </c>
      <c r="R99" s="33">
        <f>141500*B225</f>
        <v>6.17506</v>
      </c>
      <c r="S99" s="33">
        <f>28300*B225</f>
        <v>1.235012</v>
      </c>
      <c r="T99" s="6"/>
      <c r="U99" s="6"/>
      <c r="V99" s="6"/>
      <c r="W99" s="113"/>
    </row>
    <row r="100" spans="1:23" ht="12.75">
      <c r="A100" s="23" t="s">
        <v>58</v>
      </c>
      <c r="B100" s="7">
        <v>36600</v>
      </c>
      <c r="C100" s="6" t="s">
        <v>33</v>
      </c>
      <c r="D100" s="58">
        <f>SUM(G100:S100)</f>
        <v>1963.8</v>
      </c>
      <c r="E100" s="6"/>
      <c r="F100" s="6" t="s">
        <v>37</v>
      </c>
      <c r="G100" s="33">
        <f>7500000*B225</f>
        <v>327.3</v>
      </c>
      <c r="H100" s="33">
        <f>15000000*B225</f>
        <v>654.6</v>
      </c>
      <c r="I100" s="33">
        <f>15000000*B225</f>
        <v>654.6</v>
      </c>
      <c r="J100" s="33">
        <f>7500000*B225</f>
        <v>327.3</v>
      </c>
      <c r="K100" s="33"/>
      <c r="L100" s="33"/>
      <c r="M100" s="6"/>
      <c r="N100" s="33"/>
      <c r="O100" s="33"/>
      <c r="P100" s="33"/>
      <c r="Q100" s="33"/>
      <c r="R100" s="33"/>
      <c r="S100" s="33"/>
      <c r="T100" s="6"/>
      <c r="U100" s="6"/>
      <c r="V100" s="6"/>
      <c r="W100" s="113"/>
    </row>
    <row r="101" spans="1:23" ht="12.75">
      <c r="A101" s="23"/>
      <c r="B101" s="6"/>
      <c r="C101" s="6"/>
      <c r="D101" s="6"/>
      <c r="E101" s="33">
        <f>SUM(G101:S101)</f>
        <v>316.058327272</v>
      </c>
      <c r="F101" s="6" t="s">
        <v>38</v>
      </c>
      <c r="G101" s="33">
        <f>3279068.75*B225</f>
        <v>143.09856025000002</v>
      </c>
      <c r="H101" s="33">
        <f>2458552.92*B225</f>
        <v>107.2912494288</v>
      </c>
      <c r="I101" s="33">
        <f>1370021.88*B225</f>
        <v>59.7877548432</v>
      </c>
      <c r="J101" s="33">
        <f>134756.25*B225</f>
        <v>5.880762750000001</v>
      </c>
      <c r="K101" s="33"/>
      <c r="L101" s="33"/>
      <c r="M101" s="6"/>
      <c r="N101" s="33"/>
      <c r="O101" s="33"/>
      <c r="P101" s="33"/>
      <c r="Q101" s="33"/>
      <c r="R101" s="33"/>
      <c r="S101" s="33"/>
      <c r="T101" s="6"/>
      <c r="U101" s="6"/>
      <c r="V101" s="6"/>
      <c r="W101" s="113"/>
    </row>
    <row r="102" spans="1:23" ht="12.75">
      <c r="A102" s="23" t="s">
        <v>55</v>
      </c>
      <c r="B102" s="7">
        <v>36672</v>
      </c>
      <c r="C102" s="6" t="s">
        <v>33</v>
      </c>
      <c r="D102" s="58">
        <f>SUM(I102:S102)</f>
        <v>6764.200000000001</v>
      </c>
      <c r="E102" s="6"/>
      <c r="F102" s="6" t="s">
        <v>37</v>
      </c>
      <c r="G102" s="33"/>
      <c r="H102" s="33"/>
      <c r="I102" s="33"/>
      <c r="J102" s="33"/>
      <c r="K102" s="33"/>
      <c r="L102" s="58">
        <f>155000000*B225</f>
        <v>6764.200000000001</v>
      </c>
      <c r="M102" s="33"/>
      <c r="N102" s="33"/>
      <c r="O102" s="33"/>
      <c r="P102" s="33"/>
      <c r="Q102" s="33"/>
      <c r="R102" s="33"/>
      <c r="S102" s="33"/>
      <c r="T102" s="6"/>
      <c r="U102" s="6"/>
      <c r="V102" s="6"/>
      <c r="W102" s="113"/>
    </row>
    <row r="103" spans="1:23" ht="12.75">
      <c r="A103" s="23"/>
      <c r="B103" s="6"/>
      <c r="C103" s="6"/>
      <c r="D103" s="6"/>
      <c r="E103" s="33">
        <f>SUM(G103:S103)</f>
        <v>3246.8160000000003</v>
      </c>
      <c r="F103" s="6" t="s">
        <v>38</v>
      </c>
      <c r="G103" s="33">
        <f>12400000*B225</f>
        <v>541.1360000000001</v>
      </c>
      <c r="H103" s="33">
        <f>12400000*B225</f>
        <v>541.1360000000001</v>
      </c>
      <c r="I103" s="33">
        <f>12400000*B225</f>
        <v>541.1360000000001</v>
      </c>
      <c r="J103" s="33">
        <f>12400000*B225</f>
        <v>541.1360000000001</v>
      </c>
      <c r="K103" s="33">
        <f>12400000*B225</f>
        <v>541.1360000000001</v>
      </c>
      <c r="L103" s="33">
        <f>12400000*B225</f>
        <v>541.1360000000001</v>
      </c>
      <c r="M103" s="33"/>
      <c r="N103" s="33"/>
      <c r="O103" s="33"/>
      <c r="P103" s="33"/>
      <c r="Q103" s="33"/>
      <c r="R103" s="33"/>
      <c r="S103" s="33"/>
      <c r="T103" s="6"/>
      <c r="U103" s="6"/>
      <c r="V103" s="6"/>
      <c r="W103" s="113"/>
    </row>
    <row r="104" spans="1:23" ht="12.75">
      <c r="A104" s="61" t="s">
        <v>55</v>
      </c>
      <c r="B104" s="84">
        <v>36795</v>
      </c>
      <c r="C104" s="62" t="s">
        <v>33</v>
      </c>
      <c r="D104" s="58">
        <f>SUM(I104:S104)</f>
        <v>1963.8000000000002</v>
      </c>
      <c r="E104" s="33"/>
      <c r="F104" s="6" t="s">
        <v>37</v>
      </c>
      <c r="G104" s="33"/>
      <c r="H104" s="33"/>
      <c r="I104" s="33"/>
      <c r="J104" s="33"/>
      <c r="K104" s="33"/>
      <c r="L104" s="33">
        <f>45000000*B225</f>
        <v>1963.8000000000002</v>
      </c>
      <c r="M104" s="33"/>
      <c r="N104" s="33"/>
      <c r="O104" s="33"/>
      <c r="P104" s="33"/>
      <c r="Q104" s="33"/>
      <c r="R104" s="33"/>
      <c r="S104" s="33"/>
      <c r="T104" s="6"/>
      <c r="U104" s="6"/>
      <c r="V104" s="6"/>
      <c r="W104" s="113"/>
    </row>
    <row r="105" spans="1:23" ht="12.75">
      <c r="A105" s="23"/>
      <c r="B105" s="6"/>
      <c r="C105" s="6"/>
      <c r="D105" s="6"/>
      <c r="E105" s="58">
        <f>SUM(G105:S105)</f>
        <v>942.6240000000001</v>
      </c>
      <c r="F105" s="6" t="s">
        <v>38</v>
      </c>
      <c r="G105" s="33">
        <f>3600000*B225</f>
        <v>157.104</v>
      </c>
      <c r="H105" s="33">
        <f>3600000*B225</f>
        <v>157.104</v>
      </c>
      <c r="I105" s="33">
        <f>3600000*B225</f>
        <v>157.104</v>
      </c>
      <c r="J105" s="33">
        <f>3600000*B225</f>
        <v>157.104</v>
      </c>
      <c r="K105" s="33">
        <f>3600000*B225</f>
        <v>157.104</v>
      </c>
      <c r="L105" s="33">
        <f>3600000*B225</f>
        <v>157.104</v>
      </c>
      <c r="M105" s="33"/>
      <c r="N105" s="33"/>
      <c r="O105" s="33"/>
      <c r="P105" s="33"/>
      <c r="Q105" s="33"/>
      <c r="R105" s="33"/>
      <c r="S105" s="33"/>
      <c r="T105" s="6"/>
      <c r="U105" s="6"/>
      <c r="V105" s="6"/>
      <c r="W105" s="113"/>
    </row>
    <row r="106" spans="1:23" ht="12.75">
      <c r="A106" s="23" t="s">
        <v>67</v>
      </c>
      <c r="B106" s="7">
        <v>36882</v>
      </c>
      <c r="C106" s="6" t="s">
        <v>33</v>
      </c>
      <c r="D106" s="58">
        <f>SUM(I106:S106)</f>
        <v>2618.400000000001</v>
      </c>
      <c r="E106" s="33"/>
      <c r="F106" s="6" t="s">
        <v>37</v>
      </c>
      <c r="G106" s="33"/>
      <c r="H106" s="33"/>
      <c r="I106" s="33">
        <f>3000000*B225</f>
        <v>130.92000000000002</v>
      </c>
      <c r="J106" s="33">
        <f>6000000*B225</f>
        <v>261.84000000000003</v>
      </c>
      <c r="K106" s="33">
        <f>6000000*B225</f>
        <v>261.84000000000003</v>
      </c>
      <c r="L106" s="33">
        <f>6000000*B225</f>
        <v>261.84000000000003</v>
      </c>
      <c r="M106" s="33">
        <f>6000000*B225</f>
        <v>261.84000000000003</v>
      </c>
      <c r="N106" s="33">
        <f>6000000*B225</f>
        <v>261.84000000000003</v>
      </c>
      <c r="O106" s="33">
        <f>6000000*B225</f>
        <v>261.84000000000003</v>
      </c>
      <c r="P106" s="33">
        <f>6000000*B225</f>
        <v>261.84000000000003</v>
      </c>
      <c r="Q106" s="33">
        <f>6000000*B225</f>
        <v>261.84000000000003</v>
      </c>
      <c r="R106" s="33">
        <f>6000000*B225</f>
        <v>261.84000000000003</v>
      </c>
      <c r="S106" s="33">
        <f>3000000*B225</f>
        <v>130.92000000000002</v>
      </c>
      <c r="T106" s="6"/>
      <c r="U106" s="6"/>
      <c r="V106" s="6"/>
      <c r="W106" s="113"/>
    </row>
    <row r="107" spans="1:23" ht="12.75">
      <c r="A107" s="23"/>
      <c r="B107" s="6"/>
      <c r="C107" s="6"/>
      <c r="D107" s="6"/>
      <c r="E107" s="33">
        <f>SUM(G107:S107)</f>
        <v>1073.47854</v>
      </c>
      <c r="F107" s="6" t="s">
        <v>38</v>
      </c>
      <c r="G107" s="33">
        <f>3174000*B225</f>
        <v>138.51336</v>
      </c>
      <c r="H107" s="33">
        <f>3174000*B225</f>
        <v>138.51336</v>
      </c>
      <c r="I107" s="33">
        <f>3174000*B225</f>
        <v>138.51336</v>
      </c>
      <c r="J107" s="33">
        <f>2935950*B225</f>
        <v>128.12485800000002</v>
      </c>
      <c r="K107" s="33">
        <f>2618550*B225</f>
        <v>114.273522</v>
      </c>
      <c r="L107" s="33">
        <f>2301150*B225</f>
        <v>100.42218600000001</v>
      </c>
      <c r="M107" s="33">
        <f>1983750*B225</f>
        <v>86.57085000000001</v>
      </c>
      <c r="N107" s="33">
        <f>1666350*B225</f>
        <v>72.719514</v>
      </c>
      <c r="O107" s="33">
        <f>1348950*B225</f>
        <v>58.868178</v>
      </c>
      <c r="P107" s="33">
        <f>1031550*B225</f>
        <v>45.016842000000004</v>
      </c>
      <c r="Q107" s="33">
        <f>714150*B225</f>
        <v>31.165506</v>
      </c>
      <c r="R107" s="33">
        <f>396750*B225</f>
        <v>17.31417</v>
      </c>
      <c r="S107" s="33">
        <f>79350*B225</f>
        <v>3.462834</v>
      </c>
      <c r="T107" s="6"/>
      <c r="U107" s="6"/>
      <c r="V107" s="6"/>
      <c r="W107" s="113"/>
    </row>
    <row r="108" spans="1:23" ht="12.75">
      <c r="A108" s="23" t="s">
        <v>53</v>
      </c>
      <c r="B108" s="7">
        <v>37046</v>
      </c>
      <c r="C108" s="6" t="s">
        <v>32</v>
      </c>
      <c r="D108" s="58">
        <f>SUM(I108:S108)</f>
        <v>2999.9999999999995</v>
      </c>
      <c r="E108" s="33"/>
      <c r="F108" s="6" t="s">
        <v>37</v>
      </c>
      <c r="G108" s="33"/>
      <c r="H108" s="33"/>
      <c r="I108" s="33">
        <f>310350000*B231</f>
        <v>310.34999999999997</v>
      </c>
      <c r="J108" s="33">
        <f>413800000*B231</f>
        <v>413.79999999999995</v>
      </c>
      <c r="K108" s="33">
        <f>413800000*B231</f>
        <v>413.79999999999995</v>
      </c>
      <c r="L108" s="33">
        <f>413800000*B231</f>
        <v>413.79999999999995</v>
      </c>
      <c r="M108" s="33">
        <f>413800000*B231</f>
        <v>413.79999999999995</v>
      </c>
      <c r="N108" s="33">
        <f>413800000*B231</f>
        <v>413.79999999999995</v>
      </c>
      <c r="O108" s="14">
        <f>413800000*B231</f>
        <v>413.79999999999995</v>
      </c>
      <c r="P108" s="33">
        <f>206850000*B231</f>
        <v>206.85</v>
      </c>
      <c r="Q108" s="33"/>
      <c r="R108" s="33"/>
      <c r="S108" s="33"/>
      <c r="T108" s="6"/>
      <c r="U108" s="6"/>
      <c r="V108" s="6"/>
      <c r="W108" s="113"/>
    </row>
    <row r="109" spans="1:23" ht="12.75">
      <c r="A109" s="23"/>
      <c r="B109" s="6"/>
      <c r="C109" s="6"/>
      <c r="D109" s="93"/>
      <c r="E109" s="33">
        <f>SUM(G109:S109)</f>
        <v>1597.6640677100002</v>
      </c>
      <c r="F109" s="6" t="s">
        <v>38</v>
      </c>
      <c r="G109" s="33">
        <f>266145833.33*B231</f>
        <v>266.14583333</v>
      </c>
      <c r="H109" s="33">
        <f>266145833.33*B231</f>
        <v>266.14583333</v>
      </c>
      <c r="I109" s="33">
        <f>259985517.36*B231</f>
        <v>259.98551736</v>
      </c>
      <c r="J109" s="33">
        <f>224808937.5*B231</f>
        <v>224.80893749999998</v>
      </c>
      <c r="K109" s="33">
        <f>188098555.55*B231</f>
        <v>188.09855555000001</v>
      </c>
      <c r="L109" s="33">
        <f>151388173.62*B231</f>
        <v>151.38817362</v>
      </c>
      <c r="M109" s="33">
        <f>115029796.88*B231</f>
        <v>115.02979687999999</v>
      </c>
      <c r="N109" s="33">
        <f>77967409.72*B231</f>
        <v>77.96740971999999</v>
      </c>
      <c r="O109" s="33">
        <f>41257027.78*B231</f>
        <v>41.25702778</v>
      </c>
      <c r="P109" s="33">
        <f>6836982.64*B231</f>
        <v>6.8369826399999996</v>
      </c>
      <c r="Q109" s="33"/>
      <c r="R109" s="33"/>
      <c r="S109" s="33"/>
      <c r="T109" s="6"/>
      <c r="U109" s="6"/>
      <c r="V109" s="6"/>
      <c r="W109" s="113"/>
    </row>
    <row r="110" spans="1:23" ht="12.75">
      <c r="A110" s="23" t="s">
        <v>61</v>
      </c>
      <c r="B110" s="7">
        <v>37046</v>
      </c>
      <c r="C110" s="6" t="s">
        <v>32</v>
      </c>
      <c r="D110" s="58">
        <f>SUM(I110:S110)</f>
        <v>2000</v>
      </c>
      <c r="E110" s="33"/>
      <c r="F110" s="6" t="s">
        <v>37</v>
      </c>
      <c r="G110" s="33"/>
      <c r="H110" s="33"/>
      <c r="I110" s="33">
        <f>285714000*B231</f>
        <v>285.714</v>
      </c>
      <c r="J110" s="33">
        <f>285714000*B231</f>
        <v>285.714</v>
      </c>
      <c r="K110" s="33">
        <f>285714000*B231</f>
        <v>285.714</v>
      </c>
      <c r="L110" s="33">
        <f>285714000*B231</f>
        <v>285.714</v>
      </c>
      <c r="M110" s="33">
        <f>285714000*B231</f>
        <v>285.714</v>
      </c>
      <c r="N110" s="33">
        <f>285714000*B231</f>
        <v>285.714</v>
      </c>
      <c r="O110" s="33">
        <f>285716000*B231</f>
        <v>285.716</v>
      </c>
      <c r="P110" s="33"/>
      <c r="Q110" s="33"/>
      <c r="R110" s="33"/>
      <c r="S110" s="33"/>
      <c r="T110" s="6"/>
      <c r="U110" s="6"/>
      <c r="V110" s="6"/>
      <c r="W110" s="113"/>
    </row>
    <row r="111" spans="1:23" ht="12.75">
      <c r="A111" s="23"/>
      <c r="B111" s="6"/>
      <c r="C111" s="6"/>
      <c r="D111" s="93"/>
      <c r="E111" s="33">
        <f>SUM(G111:S111)</f>
        <v>975.8162980899999</v>
      </c>
      <c r="F111" s="6" t="s">
        <v>38</v>
      </c>
      <c r="G111" s="33">
        <f>177430555.51*B231</f>
        <v>177.43055550999998</v>
      </c>
      <c r="H111" s="33">
        <f>177430555.51*B231</f>
        <v>177.43055550999998</v>
      </c>
      <c r="I111" s="33">
        <f>165138899.7*B231</f>
        <v>165.13889969999997</v>
      </c>
      <c r="J111" s="33">
        <f>139305513.56*B231</f>
        <v>139.30551356</v>
      </c>
      <c r="K111" s="33">
        <f>113958396.78*B231</f>
        <v>113.95839678</v>
      </c>
      <c r="L111" s="33">
        <f>88609190.3*B231</f>
        <v>88.6091903</v>
      </c>
      <c r="M111" s="33">
        <f>63477359.34*B231</f>
        <v>63.47735934</v>
      </c>
      <c r="N111" s="33">
        <f>37916306.15*B231</f>
        <v>37.91630615</v>
      </c>
      <c r="O111" s="33">
        <f>12549521.24*B231</f>
        <v>12.549521239999999</v>
      </c>
      <c r="P111" s="33"/>
      <c r="Q111" s="33"/>
      <c r="R111" s="33"/>
      <c r="S111" s="33"/>
      <c r="T111" s="6"/>
      <c r="U111" s="6"/>
      <c r="V111" s="6"/>
      <c r="W111" s="113"/>
    </row>
    <row r="112" spans="1:23" ht="12.75">
      <c r="A112" s="23" t="s">
        <v>62</v>
      </c>
      <c r="B112" s="7">
        <v>37046</v>
      </c>
      <c r="C112" s="6" t="s">
        <v>32</v>
      </c>
      <c r="D112" s="58">
        <f>SUM(I112:S112)</f>
        <v>5500</v>
      </c>
      <c r="E112" s="33"/>
      <c r="F112" s="6" t="s">
        <v>37</v>
      </c>
      <c r="G112" s="33"/>
      <c r="H112" s="33"/>
      <c r="I112" s="33">
        <f>392000000*B231</f>
        <v>392</v>
      </c>
      <c r="J112" s="33">
        <f>784000000*B231</f>
        <v>784</v>
      </c>
      <c r="K112" s="33">
        <f>784000000*B231</f>
        <v>784</v>
      </c>
      <c r="L112" s="33">
        <f>784000000*B231</f>
        <v>784</v>
      </c>
      <c r="M112" s="33">
        <f>784000000*B231</f>
        <v>784</v>
      </c>
      <c r="N112" s="33">
        <f>784000000*B231</f>
        <v>784</v>
      </c>
      <c r="O112" s="33">
        <f>784000000*B231</f>
        <v>784</v>
      </c>
      <c r="P112" s="33">
        <f>404000000*B231</f>
        <v>404</v>
      </c>
      <c r="Q112" s="33"/>
      <c r="R112" s="33"/>
      <c r="S112" s="33"/>
      <c r="T112" s="6"/>
      <c r="U112" s="6"/>
      <c r="V112" s="6"/>
      <c r="W112" s="113"/>
    </row>
    <row r="113" spans="1:23" ht="13.5" thickBot="1">
      <c r="A113" s="24"/>
      <c r="B113" s="13"/>
      <c r="C113" s="13"/>
      <c r="D113" s="13"/>
      <c r="E113" s="34">
        <f>SUM(G113:S113)</f>
        <v>2995.9354951800005</v>
      </c>
      <c r="F113" s="13" t="s">
        <v>38</v>
      </c>
      <c r="G113" s="34">
        <f>488486666.64*B231</f>
        <v>488.48666663999995</v>
      </c>
      <c r="H113" s="34">
        <f>488491666.64*B231</f>
        <v>488.49166663999995</v>
      </c>
      <c r="I113" s="34">
        <f>485442213.32*B231</f>
        <v>485.44221331999995</v>
      </c>
      <c r="J113" s="34">
        <f>427398506.68*B231</f>
        <v>427.39850667999997</v>
      </c>
      <c r="K113" s="34">
        <f>357764239.99*B231</f>
        <v>357.76423999</v>
      </c>
      <c r="L113" s="34">
        <f>288131973.33*B231</f>
        <v>288.13197333</v>
      </c>
      <c r="M113" s="34">
        <f>219170333.34*B231</f>
        <v>219.17033333999998</v>
      </c>
      <c r="N113" s="34">
        <f>148867441.9*B231</f>
        <v>148.8674419</v>
      </c>
      <c r="O113" s="34">
        <f>79235173.33*B231</f>
        <v>79.23517333</v>
      </c>
      <c r="P113" s="34">
        <f>12947280.01*B231</f>
        <v>12.94728001</v>
      </c>
      <c r="Q113" s="34"/>
      <c r="R113" s="34"/>
      <c r="S113" s="34"/>
      <c r="T113" s="13"/>
      <c r="U113" s="13"/>
      <c r="V113" s="13"/>
      <c r="W113" s="118"/>
    </row>
    <row r="114" spans="1:23" s="2" customFormat="1" ht="14.25" thickBot="1" thickTop="1">
      <c r="A114" s="26" t="s">
        <v>7</v>
      </c>
      <c r="B114" s="27"/>
      <c r="C114" s="27"/>
      <c r="D114" s="36">
        <f>SUM(D94:D113)</f>
        <v>33751.991</v>
      </c>
      <c r="E114" s="36">
        <f>SUM(E94:E113)</f>
        <v>13721.98707741825</v>
      </c>
      <c r="F114" s="28"/>
      <c r="G114" s="36">
        <f aca="true" t="shared" si="3" ref="G114:S114">SUM(G94:G113)</f>
        <v>6526.452884896252</v>
      </c>
      <c r="H114" s="36">
        <f t="shared" si="3"/>
        <v>2844.5715449088</v>
      </c>
      <c r="I114" s="36">
        <f t="shared" si="3"/>
        <v>4200.030625223199</v>
      </c>
      <c r="J114" s="36">
        <f t="shared" si="3"/>
        <v>4597.692042489999</v>
      </c>
      <c r="K114" s="36">
        <f t="shared" si="3"/>
        <v>4087.58229032</v>
      </c>
      <c r="L114" s="36">
        <f t="shared" si="3"/>
        <v>12638.653211249999</v>
      </c>
      <c r="M114" s="36">
        <f t="shared" si="3"/>
        <v>3036.7241395600004</v>
      </c>
      <c r="N114" s="36">
        <f t="shared" si="3"/>
        <v>2858.56058377</v>
      </c>
      <c r="O114" s="36">
        <f t="shared" si="3"/>
        <v>2681.6159243500006</v>
      </c>
      <c r="P114" s="36">
        <f t="shared" si="3"/>
        <v>1650.4552406500002</v>
      </c>
      <c r="Q114" s="36">
        <f t="shared" si="3"/>
        <v>974.5837540000001</v>
      </c>
      <c r="R114" s="36">
        <f t="shared" si="3"/>
        <v>929.3465300000001</v>
      </c>
      <c r="S114" s="36">
        <f t="shared" si="3"/>
        <v>447.709306</v>
      </c>
      <c r="T114" s="27"/>
      <c r="U114" s="27"/>
      <c r="V114" s="27"/>
      <c r="W114" s="119"/>
    </row>
    <row r="115" spans="1:23" ht="13.5" thickBot="1">
      <c r="A115" s="104"/>
      <c r="B115" s="14"/>
      <c r="C115" s="14"/>
      <c r="D115" s="92"/>
      <c r="E115" s="92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06"/>
      <c r="T115" s="105"/>
      <c r="U115" s="105"/>
      <c r="V115" s="105"/>
      <c r="W115" s="105"/>
    </row>
    <row r="116" spans="1:23" s="1" customFormat="1" ht="12.75">
      <c r="A116" s="16" t="s">
        <v>24</v>
      </c>
      <c r="B116" s="17" t="s">
        <v>25</v>
      </c>
      <c r="C116" s="18" t="s">
        <v>28</v>
      </c>
      <c r="D116" s="3" t="s">
        <v>74</v>
      </c>
      <c r="E116" s="137"/>
      <c r="F116" s="18"/>
      <c r="G116" s="19"/>
      <c r="H116" s="19"/>
      <c r="I116" s="19" t="s">
        <v>75</v>
      </c>
      <c r="J116" s="19"/>
      <c r="K116" s="19"/>
      <c r="L116" s="19"/>
      <c r="M116" s="19"/>
      <c r="N116" s="19"/>
      <c r="O116" s="19"/>
      <c r="P116" s="19"/>
      <c r="Q116" s="19"/>
      <c r="R116" s="19"/>
      <c r="T116" s="4"/>
      <c r="U116" s="4"/>
      <c r="V116" s="4"/>
      <c r="W116" s="110"/>
    </row>
    <row r="117" spans="1:23" s="1" customFormat="1" ht="12.75">
      <c r="A117" s="20"/>
      <c r="B117" s="3" t="s">
        <v>26</v>
      </c>
      <c r="C117" s="8"/>
      <c r="D117" s="159" t="s">
        <v>76</v>
      </c>
      <c r="E117" s="160"/>
      <c r="F117" s="8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133"/>
      <c r="U117" s="133"/>
      <c r="V117" s="133"/>
      <c r="W117" s="134"/>
    </row>
    <row r="118" spans="1:23" ht="13.5" thickBot="1">
      <c r="A118" s="21"/>
      <c r="B118" s="11" t="s">
        <v>27</v>
      </c>
      <c r="C118" s="12"/>
      <c r="D118" s="13" t="s">
        <v>37</v>
      </c>
      <c r="E118" s="13" t="s">
        <v>38</v>
      </c>
      <c r="F118" s="12"/>
      <c r="G118" s="82">
        <v>2002</v>
      </c>
      <c r="H118" s="82">
        <v>2003</v>
      </c>
      <c r="I118" s="82">
        <v>2004</v>
      </c>
      <c r="J118" s="82">
        <v>2005</v>
      </c>
      <c r="K118" s="82">
        <v>2006</v>
      </c>
      <c r="L118" s="82">
        <v>2007</v>
      </c>
      <c r="M118" s="82">
        <v>2008</v>
      </c>
      <c r="N118" s="82">
        <v>2009</v>
      </c>
      <c r="O118" s="82">
        <v>2010</v>
      </c>
      <c r="P118" s="82">
        <v>2011</v>
      </c>
      <c r="Q118" s="82">
        <v>2012</v>
      </c>
      <c r="R118" s="82">
        <v>2013</v>
      </c>
      <c r="S118" s="90">
        <v>2014</v>
      </c>
      <c r="T118" s="13">
        <v>2015</v>
      </c>
      <c r="U118" s="13">
        <v>2016</v>
      </c>
      <c r="V118" s="13">
        <v>2017</v>
      </c>
      <c r="W118" s="118">
        <v>2018</v>
      </c>
    </row>
    <row r="119" spans="1:23" ht="13.5" thickTop="1">
      <c r="A119" s="22" t="s">
        <v>73</v>
      </c>
      <c r="B119" s="9"/>
      <c r="C119" s="6"/>
      <c r="D119" s="14"/>
      <c r="E119" s="94"/>
      <c r="F119" s="6"/>
      <c r="G119" s="14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6"/>
      <c r="U119" s="6"/>
      <c r="V119" s="6"/>
      <c r="W119" s="113"/>
    </row>
    <row r="120" spans="1:23" ht="12.75">
      <c r="A120" s="23"/>
      <c r="B120" s="64">
        <v>36999</v>
      </c>
      <c r="C120" s="9" t="s">
        <v>32</v>
      </c>
      <c r="D120" s="33">
        <f>SUM(G120:S120)</f>
        <v>600</v>
      </c>
      <c r="E120" s="14"/>
      <c r="F120" s="6" t="s">
        <v>37</v>
      </c>
      <c r="G120" s="80">
        <f>600000000*B231</f>
        <v>600</v>
      </c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6"/>
      <c r="U120" s="6"/>
      <c r="V120" s="6"/>
      <c r="W120" s="113"/>
    </row>
    <row r="121" spans="1:23" ht="13.5" thickBot="1">
      <c r="A121" s="24"/>
      <c r="B121" s="13"/>
      <c r="C121" s="13"/>
      <c r="D121" s="13"/>
      <c r="E121" s="34">
        <f>SUM(G121:S121)</f>
        <v>51</v>
      </c>
      <c r="F121" s="13" t="s">
        <v>38</v>
      </c>
      <c r="G121" s="95">
        <f>51000000*B231</f>
        <v>51</v>
      </c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13"/>
      <c r="U121" s="13"/>
      <c r="V121" s="13"/>
      <c r="W121" s="118"/>
    </row>
    <row r="122" spans="1:23" s="2" customFormat="1" ht="14.25" thickBot="1" thickTop="1">
      <c r="A122" s="25" t="s">
        <v>7</v>
      </c>
      <c r="B122" s="15"/>
      <c r="C122" s="15"/>
      <c r="D122" s="35">
        <f>SUM(D120:D121)</f>
        <v>600</v>
      </c>
      <c r="E122" s="35">
        <f>SUM(E120:E121)</f>
        <v>51</v>
      </c>
      <c r="F122" s="15"/>
      <c r="G122" s="35">
        <f>SUM(G120:G121)</f>
        <v>651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15"/>
      <c r="U122" s="15"/>
      <c r="V122" s="15"/>
      <c r="W122" s="115"/>
    </row>
    <row r="123" spans="1:23" s="2" customFormat="1" ht="13.5" thickBot="1">
      <c r="A123" s="105"/>
      <c r="B123" s="105"/>
      <c r="C123" s="105"/>
      <c r="D123" s="106"/>
      <c r="E123" s="106"/>
      <c r="F123" s="105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5"/>
      <c r="U123" s="105"/>
      <c r="V123" s="105"/>
      <c r="W123" s="105"/>
    </row>
    <row r="124" spans="1:23" s="2" customFormat="1" ht="14.25">
      <c r="A124" s="22" t="s">
        <v>68</v>
      </c>
      <c r="B124" s="147"/>
      <c r="C124" s="147"/>
      <c r="D124" s="148"/>
      <c r="E124" s="148"/>
      <c r="F124" s="147"/>
      <c r="G124" s="148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50"/>
      <c r="U124" s="150"/>
      <c r="V124" s="150"/>
      <c r="W124" s="151"/>
    </row>
    <row r="125" spans="1:23" s="2" customFormat="1" ht="12.75">
      <c r="A125" s="71" t="s">
        <v>70</v>
      </c>
      <c r="B125" s="68">
        <v>36993</v>
      </c>
      <c r="C125" s="67" t="s">
        <v>33</v>
      </c>
      <c r="D125" s="33">
        <f>SUM(G125:S125)</f>
        <v>4364</v>
      </c>
      <c r="E125" s="69"/>
      <c r="F125" s="6" t="s">
        <v>37</v>
      </c>
      <c r="G125" s="69">
        <f>100000000*B225</f>
        <v>4364</v>
      </c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78"/>
      <c r="U125" s="78"/>
      <c r="V125" s="78"/>
      <c r="W125" s="121"/>
    </row>
    <row r="126" spans="1:23" s="2" customFormat="1" ht="12.75">
      <c r="A126" s="122"/>
      <c r="B126" s="78"/>
      <c r="C126" s="78"/>
      <c r="D126" s="69"/>
      <c r="E126" s="33">
        <f>SUM(G126:S126)</f>
        <v>229.98280000000003</v>
      </c>
      <c r="F126" s="6" t="s">
        <v>38</v>
      </c>
      <c r="G126" s="69">
        <f>5270000*B225</f>
        <v>229.98280000000003</v>
      </c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78"/>
      <c r="U126" s="78"/>
      <c r="V126" s="78"/>
      <c r="W126" s="121"/>
    </row>
    <row r="127" spans="1:23" s="2" customFormat="1" ht="12.75">
      <c r="A127" s="123" t="s">
        <v>69</v>
      </c>
      <c r="B127" s="68">
        <v>36993</v>
      </c>
      <c r="C127" s="98" t="s">
        <v>32</v>
      </c>
      <c r="D127" s="33">
        <f>SUM(G127:S127)</f>
        <v>6500</v>
      </c>
      <c r="E127" s="63"/>
      <c r="F127" s="9" t="s">
        <v>37</v>
      </c>
      <c r="G127" s="69">
        <f>6500000000*B231</f>
        <v>6500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96"/>
      <c r="U127" s="96"/>
      <c r="V127" s="96"/>
      <c r="W127" s="124"/>
    </row>
    <row r="128" spans="1:23" s="2" customFormat="1" ht="13.5" thickBot="1">
      <c r="A128" s="125"/>
      <c r="B128" s="70"/>
      <c r="C128" s="70"/>
      <c r="D128" s="100"/>
      <c r="E128" s="34">
        <f>SUM(G128:S128)</f>
        <v>556.4</v>
      </c>
      <c r="F128" s="13" t="s">
        <v>38</v>
      </c>
      <c r="G128" s="100">
        <f>556400000*B231</f>
        <v>556.4</v>
      </c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70"/>
      <c r="U128" s="70"/>
      <c r="V128" s="70"/>
      <c r="W128" s="126"/>
    </row>
    <row r="129" spans="1:23" ht="14.25" thickBot="1" thickTop="1">
      <c r="A129" s="25" t="s">
        <v>7</v>
      </c>
      <c r="B129" s="144"/>
      <c r="C129" s="99"/>
      <c r="D129" s="35">
        <f>SUM(D125:D128)</f>
        <v>10864</v>
      </c>
      <c r="E129" s="35">
        <f>SUM(E125:E128)</f>
        <v>786.3828</v>
      </c>
      <c r="F129" s="99"/>
      <c r="G129" s="36">
        <f>SUM(G125:G128)</f>
        <v>11650.3828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5"/>
      <c r="T129" s="99"/>
      <c r="U129" s="99"/>
      <c r="V129" s="144"/>
      <c r="W129" s="152"/>
    </row>
    <row r="130" spans="1:23" ht="12.75">
      <c r="A130" s="44"/>
      <c r="B130" s="14"/>
      <c r="C130" s="14"/>
      <c r="D130" s="60"/>
      <c r="E130" s="60"/>
      <c r="F130" s="14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4"/>
      <c r="U130" s="14"/>
      <c r="V130" s="14"/>
      <c r="W130" s="14"/>
    </row>
    <row r="131" spans="1:23" ht="12.75">
      <c r="A131" s="44"/>
      <c r="B131" s="14"/>
      <c r="C131" s="14"/>
      <c r="D131" s="60"/>
      <c r="E131" s="60"/>
      <c r="F131" s="14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4"/>
      <c r="U131" s="14"/>
      <c r="V131" s="14"/>
      <c r="W131" s="14"/>
    </row>
    <row r="132" spans="1:23" ht="12.75">
      <c r="A132" s="44"/>
      <c r="B132" s="14"/>
      <c r="C132" s="14"/>
      <c r="D132" s="60"/>
      <c r="E132" s="60"/>
      <c r="F132" s="14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4"/>
      <c r="U132" s="14"/>
      <c r="V132" s="14"/>
      <c r="W132" s="14"/>
    </row>
    <row r="133" spans="1:23" ht="12.75">
      <c r="A133" s="44"/>
      <c r="B133" s="14"/>
      <c r="C133" s="14"/>
      <c r="D133" s="60"/>
      <c r="E133" s="60"/>
      <c r="F133" s="14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4"/>
      <c r="U133" s="14"/>
      <c r="V133" s="14"/>
      <c r="W133" s="14"/>
    </row>
    <row r="134" spans="1:23" ht="13.5" thickBot="1">
      <c r="A134" s="143"/>
      <c r="B134" s="92"/>
      <c r="C134" s="92"/>
      <c r="D134" s="92"/>
      <c r="E134" s="92"/>
      <c r="F134" s="92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142"/>
      <c r="T134" s="143"/>
      <c r="U134" s="143"/>
      <c r="V134" s="143"/>
      <c r="W134" s="143"/>
    </row>
    <row r="135" spans="1:23" s="1" customFormat="1" ht="12.75">
      <c r="A135" s="20" t="s">
        <v>24</v>
      </c>
      <c r="B135" s="17" t="s">
        <v>25</v>
      </c>
      <c r="C135" s="18" t="s">
        <v>28</v>
      </c>
      <c r="D135" s="3" t="s">
        <v>74</v>
      </c>
      <c r="E135" s="137"/>
      <c r="F135" s="18"/>
      <c r="G135" s="19"/>
      <c r="H135" s="19"/>
      <c r="I135" s="19" t="s">
        <v>75</v>
      </c>
      <c r="J135" s="19"/>
      <c r="K135" s="19"/>
      <c r="L135" s="19"/>
      <c r="M135" s="19"/>
      <c r="N135" s="19"/>
      <c r="O135" s="19"/>
      <c r="P135" s="19"/>
      <c r="Q135" s="19"/>
      <c r="R135" s="19"/>
      <c r="T135" s="4"/>
      <c r="U135" s="4"/>
      <c r="V135" s="4"/>
      <c r="W135" s="110"/>
    </row>
    <row r="136" spans="1:23" s="1" customFormat="1" ht="12.75">
      <c r="A136" s="20"/>
      <c r="B136" s="3" t="s">
        <v>26</v>
      </c>
      <c r="C136" s="8"/>
      <c r="D136" s="159" t="s">
        <v>76</v>
      </c>
      <c r="E136" s="160"/>
      <c r="F136" s="8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133"/>
      <c r="U136" s="133"/>
      <c r="V136" s="133"/>
      <c r="W136" s="134"/>
    </row>
    <row r="137" spans="1:23" ht="13.5" thickBot="1">
      <c r="A137" s="21"/>
      <c r="B137" s="11" t="s">
        <v>27</v>
      </c>
      <c r="C137" s="12"/>
      <c r="D137" s="13" t="s">
        <v>37</v>
      </c>
      <c r="E137" s="13" t="s">
        <v>38</v>
      </c>
      <c r="F137" s="12"/>
      <c r="G137" s="82">
        <v>2002</v>
      </c>
      <c r="H137" s="82">
        <v>2003</v>
      </c>
      <c r="I137" s="82">
        <v>2004</v>
      </c>
      <c r="J137" s="82">
        <v>2005</v>
      </c>
      <c r="K137" s="82">
        <v>2006</v>
      </c>
      <c r="L137" s="82">
        <v>2007</v>
      </c>
      <c r="M137" s="82">
        <v>2008</v>
      </c>
      <c r="N137" s="82">
        <v>2009</v>
      </c>
      <c r="O137" s="82">
        <v>2010</v>
      </c>
      <c r="P137" s="82">
        <v>2011</v>
      </c>
      <c r="Q137" s="82">
        <v>2012</v>
      </c>
      <c r="R137" s="82">
        <v>2013</v>
      </c>
      <c r="S137" s="90">
        <v>2014</v>
      </c>
      <c r="T137" s="13">
        <v>2015</v>
      </c>
      <c r="U137" s="13">
        <v>2016</v>
      </c>
      <c r="V137" s="13">
        <v>2017</v>
      </c>
      <c r="W137" s="118">
        <v>2018</v>
      </c>
    </row>
    <row r="138" spans="1:23" s="1" customFormat="1" ht="13.5" thickTop="1">
      <c r="A138" s="22" t="s">
        <v>39</v>
      </c>
      <c r="B138" s="10"/>
      <c r="C138" s="10"/>
      <c r="D138" s="10"/>
      <c r="E138" s="10"/>
      <c r="F138" s="10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5"/>
      <c r="U138" s="5"/>
      <c r="V138" s="5"/>
      <c r="W138" s="117"/>
    </row>
    <row r="139" spans="1:23" ht="12.75">
      <c r="A139" s="23" t="s">
        <v>40</v>
      </c>
      <c r="B139" s="7">
        <v>33646</v>
      </c>
      <c r="C139" s="6" t="s">
        <v>31</v>
      </c>
      <c r="D139" s="33">
        <f>SUM(G139:Q139)</f>
        <v>1912.9348692474903</v>
      </c>
      <c r="E139" s="33"/>
      <c r="F139" s="6" t="s">
        <v>37</v>
      </c>
      <c r="G139" s="33">
        <f>40433194.59*B223</f>
        <v>1912.9348692474903</v>
      </c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6"/>
      <c r="S139" s="33"/>
      <c r="T139" s="6"/>
      <c r="U139" s="6"/>
      <c r="V139" s="6"/>
      <c r="W139" s="113"/>
    </row>
    <row r="140" spans="1:23" ht="13.5" thickBot="1">
      <c r="A140" s="24"/>
      <c r="B140" s="13"/>
      <c r="C140" s="13"/>
      <c r="D140" s="13"/>
      <c r="E140" s="34">
        <f>SUM(G140:Q140)</f>
        <v>139.87260216512</v>
      </c>
      <c r="F140" s="13" t="s">
        <v>38</v>
      </c>
      <c r="G140" s="34">
        <f>2956449.92*B223</f>
        <v>139.87260216512</v>
      </c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13"/>
      <c r="S140" s="34"/>
      <c r="T140" s="13"/>
      <c r="U140" s="13"/>
      <c r="V140" s="13"/>
      <c r="W140" s="118"/>
    </row>
    <row r="141" spans="1:23" s="2" customFormat="1" ht="14.25" thickBot="1" thickTop="1">
      <c r="A141" s="26" t="s">
        <v>7</v>
      </c>
      <c r="B141" s="27"/>
      <c r="C141" s="27"/>
      <c r="D141" s="36">
        <f>SUM(D139:D140)</f>
        <v>1912.9348692474903</v>
      </c>
      <c r="E141" s="36">
        <f>SUM(E139:E140)</f>
        <v>139.87260216512</v>
      </c>
      <c r="F141" s="27"/>
      <c r="G141" s="36">
        <f>SUM(G139:G140)</f>
        <v>2052.80747141261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27"/>
      <c r="U141" s="27"/>
      <c r="V141" s="27"/>
      <c r="W141" s="119"/>
    </row>
    <row r="142" spans="1:23" ht="13.5" thickBot="1">
      <c r="A142" s="104"/>
      <c r="B142" s="14"/>
      <c r="C142" s="14"/>
      <c r="D142" s="92"/>
      <c r="E142" s="92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06"/>
      <c r="T142" s="105"/>
      <c r="U142" s="105"/>
      <c r="V142" s="105"/>
      <c r="W142" s="105"/>
    </row>
    <row r="143" spans="1:23" s="1" customFormat="1" ht="12.75">
      <c r="A143" s="16" t="s">
        <v>24</v>
      </c>
      <c r="B143" s="17" t="s">
        <v>25</v>
      </c>
      <c r="C143" s="18" t="s">
        <v>28</v>
      </c>
      <c r="D143" s="3" t="s">
        <v>74</v>
      </c>
      <c r="E143" s="137"/>
      <c r="F143" s="18"/>
      <c r="G143" s="19"/>
      <c r="H143" s="19"/>
      <c r="I143" s="19" t="s">
        <v>75</v>
      </c>
      <c r="J143" s="19"/>
      <c r="K143" s="19"/>
      <c r="L143" s="19"/>
      <c r="M143" s="19"/>
      <c r="N143" s="19"/>
      <c r="O143" s="19"/>
      <c r="P143" s="19"/>
      <c r="Q143" s="19"/>
      <c r="R143" s="19"/>
      <c r="T143" s="4"/>
      <c r="U143" s="4"/>
      <c r="V143" s="4"/>
      <c r="W143" s="110"/>
    </row>
    <row r="144" spans="1:23" s="1" customFormat="1" ht="12.75">
      <c r="A144" s="20"/>
      <c r="B144" s="3" t="s">
        <v>26</v>
      </c>
      <c r="C144" s="8"/>
      <c r="D144" s="159" t="s">
        <v>76</v>
      </c>
      <c r="E144" s="160"/>
      <c r="F144" s="8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133"/>
      <c r="U144" s="133"/>
      <c r="V144" s="133"/>
      <c r="W144" s="134"/>
    </row>
    <row r="145" spans="1:23" ht="13.5" thickBot="1">
      <c r="A145" s="21"/>
      <c r="B145" s="11" t="s">
        <v>27</v>
      </c>
      <c r="C145" s="12"/>
      <c r="D145" s="13" t="s">
        <v>37</v>
      </c>
      <c r="E145" s="13" t="s">
        <v>38</v>
      </c>
      <c r="F145" s="12"/>
      <c r="G145" s="82">
        <v>2002</v>
      </c>
      <c r="H145" s="82">
        <v>2003</v>
      </c>
      <c r="I145" s="82">
        <v>2004</v>
      </c>
      <c r="J145" s="82">
        <v>2005</v>
      </c>
      <c r="K145" s="82">
        <v>2006</v>
      </c>
      <c r="L145" s="82">
        <v>2007</v>
      </c>
      <c r="M145" s="82">
        <v>2008</v>
      </c>
      <c r="N145" s="82">
        <v>2009</v>
      </c>
      <c r="O145" s="82">
        <v>2010</v>
      </c>
      <c r="P145" s="82">
        <v>2011</v>
      </c>
      <c r="Q145" s="82">
        <v>2012</v>
      </c>
      <c r="R145" s="82">
        <v>2013</v>
      </c>
      <c r="S145" s="90">
        <v>2014</v>
      </c>
      <c r="T145" s="13">
        <v>2015</v>
      </c>
      <c r="U145" s="13">
        <v>2016</v>
      </c>
      <c r="V145" s="13">
        <v>2017</v>
      </c>
      <c r="W145" s="118">
        <v>2018</v>
      </c>
    </row>
    <row r="146" spans="1:23" ht="13.5" thickTop="1">
      <c r="A146" s="22" t="s">
        <v>44</v>
      </c>
      <c r="B146" s="9"/>
      <c r="C146" s="9"/>
      <c r="D146" s="9"/>
      <c r="E146" s="9"/>
      <c r="F146" s="9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6"/>
      <c r="U146" s="6"/>
      <c r="V146" s="6"/>
      <c r="W146" s="113"/>
    </row>
    <row r="147" spans="1:23" ht="12.75">
      <c r="A147" s="23" t="s">
        <v>45</v>
      </c>
      <c r="B147" s="7">
        <v>34711</v>
      </c>
      <c r="C147" s="6" t="s">
        <v>31</v>
      </c>
      <c r="D147" s="33">
        <f>SUM(G147:N147)</f>
        <v>75.69760000000001</v>
      </c>
      <c r="E147" s="33"/>
      <c r="F147" s="6" t="s">
        <v>37</v>
      </c>
      <c r="G147" s="33">
        <f>200000*B223</f>
        <v>9.462200000000001</v>
      </c>
      <c r="H147" s="33">
        <f>200000*B223</f>
        <v>9.462200000000001</v>
      </c>
      <c r="I147" s="33">
        <f>200000*B223</f>
        <v>9.462200000000001</v>
      </c>
      <c r="J147" s="33">
        <f>200000*B223</f>
        <v>9.462200000000001</v>
      </c>
      <c r="K147" s="33">
        <f>200000*B223</f>
        <v>9.462200000000001</v>
      </c>
      <c r="L147" s="33">
        <f>200000*B223</f>
        <v>9.462200000000001</v>
      </c>
      <c r="M147" s="33">
        <f>200000*B223</f>
        <v>9.462200000000001</v>
      </c>
      <c r="N147" s="33">
        <f>200000*B223</f>
        <v>9.462200000000001</v>
      </c>
      <c r="O147" s="6"/>
      <c r="P147" s="33"/>
      <c r="Q147" s="33"/>
      <c r="R147" s="33"/>
      <c r="S147" s="33"/>
      <c r="T147" s="6"/>
      <c r="U147" s="6"/>
      <c r="V147" s="6"/>
      <c r="W147" s="113"/>
    </row>
    <row r="148" spans="1:23" ht="12.75">
      <c r="A148" s="23"/>
      <c r="B148" s="6"/>
      <c r="C148" s="6"/>
      <c r="D148" s="6"/>
      <c r="E148" s="33">
        <f>SUM(G148:N148)</f>
        <v>22.07365860744</v>
      </c>
      <c r="F148" s="6" t="s">
        <v>38</v>
      </c>
      <c r="G148" s="33">
        <f>106349.38*B223</f>
        <v>5.031495517180001</v>
      </c>
      <c r="H148" s="33">
        <f>92626.88*B223</f>
        <v>4.382270319680001</v>
      </c>
      <c r="I148" s="33">
        <f>78904.38*B223</f>
        <v>3.7330451221800005</v>
      </c>
      <c r="J148" s="33">
        <f>65181.88*B223</f>
        <v>3.0838199246799998</v>
      </c>
      <c r="K148" s="33">
        <f>51459.38*B223</f>
        <v>2.43459472718</v>
      </c>
      <c r="L148" s="33">
        <f>37736.88*B223</f>
        <v>1.7853695296799998</v>
      </c>
      <c r="M148" s="33">
        <f>24014.38*B223</f>
        <v>1.13614433218</v>
      </c>
      <c r="N148" s="33">
        <f>10291.88*B223</f>
        <v>0.48691913468</v>
      </c>
      <c r="O148" s="6"/>
      <c r="P148" s="33"/>
      <c r="Q148" s="33"/>
      <c r="R148" s="33"/>
      <c r="S148" s="33"/>
      <c r="T148" s="6"/>
      <c r="U148" s="6"/>
      <c r="V148" s="6"/>
      <c r="W148" s="113"/>
    </row>
    <row r="149" spans="1:23" ht="12.75">
      <c r="A149" s="23" t="s">
        <v>23</v>
      </c>
      <c r="B149" s="7">
        <v>35044</v>
      </c>
      <c r="C149" s="6" t="s">
        <v>31</v>
      </c>
      <c r="D149" s="33">
        <f>SUM(G149:L149)</f>
        <v>1156.5010135662499</v>
      </c>
      <c r="E149" s="33"/>
      <c r="F149" s="6" t="s">
        <v>37</v>
      </c>
      <c r="G149" s="33">
        <f>4444482.5*B223</f>
        <v>210.2729115575</v>
      </c>
      <c r="H149" s="33">
        <f>4444482.5*B223</f>
        <v>210.2729115575</v>
      </c>
      <c r="I149" s="33">
        <f>4444482.5*B223</f>
        <v>210.2729115575</v>
      </c>
      <c r="J149" s="33">
        <f>4444482.5*B223</f>
        <v>210.2729115575</v>
      </c>
      <c r="K149" s="33">
        <f>4444482.5*B223</f>
        <v>210.2729115575</v>
      </c>
      <c r="L149" s="33">
        <f>2222241.25*B223</f>
        <v>105.13645577875</v>
      </c>
      <c r="M149" s="6"/>
      <c r="N149" s="33"/>
      <c r="O149" s="33"/>
      <c r="P149" s="33"/>
      <c r="Q149" s="33"/>
      <c r="R149" s="33"/>
      <c r="S149" s="33"/>
      <c r="T149" s="6"/>
      <c r="U149" s="6"/>
      <c r="V149" s="6"/>
      <c r="W149" s="113"/>
    </row>
    <row r="150" spans="1:23" ht="13.5" thickBot="1">
      <c r="A150" s="24"/>
      <c r="B150" s="13"/>
      <c r="C150" s="13"/>
      <c r="D150" s="13"/>
      <c r="E150" s="34">
        <f>SUM(G150:L150)</f>
        <v>237.70667416792998</v>
      </c>
      <c r="F150" s="13" t="s">
        <v>38</v>
      </c>
      <c r="G150" s="34">
        <f>1598654.46*B223</f>
        <v>75.63394115706001</v>
      </c>
      <c r="H150" s="34">
        <f>1294148.86*B223</f>
        <v>61.22747671546001</v>
      </c>
      <c r="I150" s="34">
        <f>989643.26*B223</f>
        <v>46.82101227386</v>
      </c>
      <c r="J150" s="34">
        <f>685137.65*B223</f>
        <v>32.41454735915</v>
      </c>
      <c r="K150" s="34">
        <f>380632*B223</f>
        <v>18.008080552</v>
      </c>
      <c r="L150" s="34">
        <f>76126.4*B223</f>
        <v>3.6016161103999997</v>
      </c>
      <c r="M150" s="13"/>
      <c r="N150" s="34"/>
      <c r="O150" s="34"/>
      <c r="P150" s="34"/>
      <c r="Q150" s="34"/>
      <c r="R150" s="34"/>
      <c r="S150" s="34"/>
      <c r="T150" s="13"/>
      <c r="U150" s="13"/>
      <c r="V150" s="13"/>
      <c r="W150" s="118"/>
    </row>
    <row r="151" spans="1:23" s="2" customFormat="1" ht="14.25" thickBot="1" thickTop="1">
      <c r="A151" s="26" t="s">
        <v>7</v>
      </c>
      <c r="B151" s="27"/>
      <c r="C151" s="27"/>
      <c r="D151" s="36">
        <f>SUM(D147:D150)</f>
        <v>1232.1986135662498</v>
      </c>
      <c r="E151" s="36">
        <f>SUM(E147:E150)</f>
        <v>259.78033277536997</v>
      </c>
      <c r="F151" s="27"/>
      <c r="G151" s="36">
        <f aca="true" t="shared" si="4" ref="G151:N151">SUM(G147:G150)</f>
        <v>300.40054823174</v>
      </c>
      <c r="H151" s="36">
        <f t="shared" si="4"/>
        <v>285.34485859264004</v>
      </c>
      <c r="I151" s="36">
        <f t="shared" si="4"/>
        <v>270.28916895354</v>
      </c>
      <c r="J151" s="36">
        <f t="shared" si="4"/>
        <v>255.23347884133</v>
      </c>
      <c r="K151" s="36">
        <f t="shared" si="4"/>
        <v>240.17778683668</v>
      </c>
      <c r="L151" s="36">
        <f t="shared" si="4"/>
        <v>119.98564141883001</v>
      </c>
      <c r="M151" s="36">
        <f t="shared" si="4"/>
        <v>10.598344332180002</v>
      </c>
      <c r="N151" s="36">
        <f t="shared" si="4"/>
        <v>9.949119134680002</v>
      </c>
      <c r="O151" s="36"/>
      <c r="P151" s="36"/>
      <c r="Q151" s="36"/>
      <c r="R151" s="36"/>
      <c r="S151" s="35"/>
      <c r="T151" s="15"/>
      <c r="U151" s="15"/>
      <c r="V151" s="15"/>
      <c r="W151" s="115"/>
    </row>
    <row r="152" spans="1:23" s="2" customFormat="1" ht="13.5" thickBot="1">
      <c r="A152" s="127"/>
      <c r="B152" s="44"/>
      <c r="C152" s="44"/>
      <c r="D152" s="92"/>
      <c r="E152" s="92"/>
      <c r="F152" s="44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106"/>
      <c r="T152" s="105"/>
      <c r="U152" s="105"/>
      <c r="V152" s="105"/>
      <c r="W152" s="105"/>
    </row>
    <row r="153" spans="1:23" s="1" customFormat="1" ht="12.75">
      <c r="A153" s="16" t="s">
        <v>24</v>
      </c>
      <c r="B153" s="17" t="s">
        <v>25</v>
      </c>
      <c r="C153" s="18" t="s">
        <v>28</v>
      </c>
      <c r="D153" s="3" t="s">
        <v>74</v>
      </c>
      <c r="E153" s="137"/>
      <c r="F153" s="18"/>
      <c r="G153" s="19"/>
      <c r="H153" s="19"/>
      <c r="I153" s="19" t="s">
        <v>75</v>
      </c>
      <c r="J153" s="19"/>
      <c r="K153" s="19"/>
      <c r="L153" s="19"/>
      <c r="M153" s="19"/>
      <c r="N153" s="19"/>
      <c r="O153" s="19"/>
      <c r="P153" s="19"/>
      <c r="Q153" s="19"/>
      <c r="R153" s="19"/>
      <c r="S153" s="4"/>
      <c r="T153" s="4"/>
      <c r="U153" s="4"/>
      <c r="V153" s="4"/>
      <c r="W153" s="110"/>
    </row>
    <row r="154" spans="1:23" s="1" customFormat="1" ht="12.75">
      <c r="A154" s="20"/>
      <c r="B154" s="3" t="s">
        <v>26</v>
      </c>
      <c r="C154" s="8"/>
      <c r="D154" s="159" t="s">
        <v>76</v>
      </c>
      <c r="E154" s="160"/>
      <c r="F154" s="8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133"/>
      <c r="T154" s="133"/>
      <c r="U154" s="133"/>
      <c r="V154" s="133"/>
      <c r="W154" s="134"/>
    </row>
    <row r="155" spans="1:23" ht="13.5" thickBot="1">
      <c r="A155" s="21"/>
      <c r="B155" s="11" t="s">
        <v>27</v>
      </c>
      <c r="C155" s="12"/>
      <c r="D155" s="13" t="s">
        <v>37</v>
      </c>
      <c r="E155" s="13" t="s">
        <v>38</v>
      </c>
      <c r="F155" s="12"/>
      <c r="G155" s="82">
        <v>2002</v>
      </c>
      <c r="H155" s="82">
        <v>2003</v>
      </c>
      <c r="I155" s="82">
        <v>2004</v>
      </c>
      <c r="J155" s="82">
        <v>2005</v>
      </c>
      <c r="K155" s="82">
        <v>2006</v>
      </c>
      <c r="L155" s="82">
        <v>2007</v>
      </c>
      <c r="M155" s="82">
        <v>2008</v>
      </c>
      <c r="N155" s="82">
        <v>2009</v>
      </c>
      <c r="O155" s="82">
        <v>2010</v>
      </c>
      <c r="P155" s="82">
        <v>2011</v>
      </c>
      <c r="Q155" s="82">
        <v>2012</v>
      </c>
      <c r="R155" s="82">
        <v>2013</v>
      </c>
      <c r="S155" s="136">
        <v>2014</v>
      </c>
      <c r="T155" s="12">
        <v>2015</v>
      </c>
      <c r="U155" s="12">
        <v>2016</v>
      </c>
      <c r="V155" s="12">
        <v>2017</v>
      </c>
      <c r="W155" s="135">
        <v>2018</v>
      </c>
    </row>
    <row r="156" spans="1:23" ht="13.5" thickTop="1">
      <c r="A156" s="47"/>
      <c r="B156" s="9"/>
      <c r="C156" s="9"/>
      <c r="D156" s="9"/>
      <c r="E156" s="9"/>
      <c r="F156" s="9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6"/>
      <c r="U156" s="6"/>
      <c r="V156" s="6"/>
      <c r="W156" s="113"/>
    </row>
    <row r="157" spans="1:23" ht="12.75">
      <c r="A157" s="29" t="s">
        <v>41</v>
      </c>
      <c r="B157" s="7">
        <v>34058</v>
      </c>
      <c r="C157" s="6" t="s">
        <v>33</v>
      </c>
      <c r="D157" s="33">
        <f>SUM(G157:M157)</f>
        <v>1560.13</v>
      </c>
      <c r="E157" s="6"/>
      <c r="F157" s="6" t="s">
        <v>37</v>
      </c>
      <c r="G157" s="33">
        <f>5500000*B225</f>
        <v>240.02</v>
      </c>
      <c r="H157" s="33">
        <f>5500000*B225</f>
        <v>240.02</v>
      </c>
      <c r="I157" s="33">
        <f>5500000*B225</f>
        <v>240.02</v>
      </c>
      <c r="J157" s="33">
        <f>5500000*B225</f>
        <v>240.02</v>
      </c>
      <c r="K157" s="33">
        <f>5500000*B225</f>
        <v>240.02</v>
      </c>
      <c r="L157" s="33">
        <f>5500000*B225</f>
        <v>240.02</v>
      </c>
      <c r="M157" s="33">
        <f>2750000*B225</f>
        <v>120.01</v>
      </c>
      <c r="N157" s="14"/>
      <c r="O157" s="33"/>
      <c r="P157" s="33"/>
      <c r="Q157" s="33"/>
      <c r="R157" s="33"/>
      <c r="S157" s="33"/>
      <c r="T157" s="6"/>
      <c r="U157" s="6"/>
      <c r="V157" s="6"/>
      <c r="W157" s="113"/>
    </row>
    <row r="158" spans="1:23" ht="13.5" thickBot="1">
      <c r="A158" s="24" t="s">
        <v>42</v>
      </c>
      <c r="B158" s="46"/>
      <c r="C158" s="13"/>
      <c r="D158" s="13"/>
      <c r="E158" s="13"/>
      <c r="F158" s="13" t="s">
        <v>38</v>
      </c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13"/>
      <c r="U158" s="13"/>
      <c r="V158" s="13"/>
      <c r="W158" s="118"/>
    </row>
    <row r="159" spans="1:23" s="2" customFormat="1" ht="14.25" thickBot="1" thickTop="1">
      <c r="A159" s="25" t="s">
        <v>7</v>
      </c>
      <c r="B159" s="15"/>
      <c r="C159" s="15"/>
      <c r="D159" s="35">
        <f>SUM(D157:D158)</f>
        <v>1560.13</v>
      </c>
      <c r="E159" s="15"/>
      <c r="F159" s="15"/>
      <c r="G159" s="35">
        <f aca="true" t="shared" si="5" ref="G159:M159">SUM(G157:G158)</f>
        <v>240.02</v>
      </c>
      <c r="H159" s="35">
        <f t="shared" si="5"/>
        <v>240.02</v>
      </c>
      <c r="I159" s="35">
        <f t="shared" si="5"/>
        <v>240.02</v>
      </c>
      <c r="J159" s="35">
        <f t="shared" si="5"/>
        <v>240.02</v>
      </c>
      <c r="K159" s="35">
        <f t="shared" si="5"/>
        <v>240.02</v>
      </c>
      <c r="L159" s="35">
        <f t="shared" si="5"/>
        <v>240.02</v>
      </c>
      <c r="M159" s="35">
        <f t="shared" si="5"/>
        <v>120.01</v>
      </c>
      <c r="N159" s="35"/>
      <c r="O159" s="35"/>
      <c r="P159" s="35"/>
      <c r="Q159" s="35"/>
      <c r="R159" s="35"/>
      <c r="S159" s="35"/>
      <c r="T159" s="15"/>
      <c r="U159" s="15"/>
      <c r="V159" s="15"/>
      <c r="W159" s="115"/>
    </row>
    <row r="160" spans="1:23" s="1" customFormat="1" ht="13.5" thickBot="1">
      <c r="A160" s="107"/>
      <c r="B160" s="108"/>
      <c r="C160" s="108"/>
      <c r="D160" s="108"/>
      <c r="E160" s="108"/>
      <c r="F160" s="108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6"/>
      <c r="T160" s="105"/>
      <c r="U160" s="105"/>
      <c r="V160" s="105"/>
      <c r="W160" s="105"/>
    </row>
    <row r="161" spans="1:23" ht="12.75">
      <c r="A161" s="22" t="s">
        <v>64</v>
      </c>
      <c r="B161" s="64">
        <v>34582</v>
      </c>
      <c r="C161" s="9" t="s">
        <v>33</v>
      </c>
      <c r="D161" s="32">
        <f>SUM(G161:L161)</f>
        <v>163.65</v>
      </c>
      <c r="E161" s="9"/>
      <c r="F161" s="9" t="s">
        <v>37</v>
      </c>
      <c r="G161" s="32">
        <f>625000*B225</f>
        <v>27.275000000000002</v>
      </c>
      <c r="H161" s="32">
        <f>625000*B225</f>
        <v>27.275000000000002</v>
      </c>
      <c r="I161" s="32">
        <f>625000*B225</f>
        <v>27.275000000000002</v>
      </c>
      <c r="J161" s="32">
        <f>625000*B225</f>
        <v>27.275000000000002</v>
      </c>
      <c r="K161" s="32">
        <f>625000*B225</f>
        <v>27.275000000000002</v>
      </c>
      <c r="L161" s="32">
        <f>625000*B225</f>
        <v>27.275000000000002</v>
      </c>
      <c r="M161" s="14"/>
      <c r="N161" s="32"/>
      <c r="O161" s="32"/>
      <c r="P161" s="32"/>
      <c r="Q161" s="32"/>
      <c r="R161" s="32"/>
      <c r="S161" s="32"/>
      <c r="T161" s="9"/>
      <c r="U161" s="9"/>
      <c r="V161" s="9"/>
      <c r="W161" s="112"/>
    </row>
    <row r="162" spans="1:23" ht="12.75">
      <c r="A162" s="23" t="s">
        <v>23</v>
      </c>
      <c r="B162" s="7"/>
      <c r="C162" s="6"/>
      <c r="D162" s="6"/>
      <c r="E162" s="6"/>
      <c r="F162" s="6" t="s">
        <v>38</v>
      </c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6"/>
      <c r="U162" s="6"/>
      <c r="V162" s="6"/>
      <c r="W162" s="113"/>
    </row>
    <row r="163" spans="1:23" ht="12.75">
      <c r="A163" s="23"/>
      <c r="B163" s="7"/>
      <c r="C163" s="6" t="s">
        <v>31</v>
      </c>
      <c r="D163" s="33">
        <f>SUM(G163:L163)</f>
        <v>45.59597624999999</v>
      </c>
      <c r="E163" s="6"/>
      <c r="F163" s="6" t="s">
        <v>37</v>
      </c>
      <c r="G163" s="33">
        <f>160625*B223</f>
        <v>7.599329375</v>
      </c>
      <c r="H163" s="33">
        <f>160625*B223</f>
        <v>7.599329375</v>
      </c>
      <c r="I163" s="33">
        <f>160625*B223</f>
        <v>7.599329375</v>
      </c>
      <c r="J163" s="33">
        <f>160625*B223</f>
        <v>7.599329375</v>
      </c>
      <c r="K163" s="33">
        <f>160625*B223</f>
        <v>7.599329375</v>
      </c>
      <c r="L163" s="33">
        <f>160625*B223</f>
        <v>7.599329375</v>
      </c>
      <c r="M163" s="33"/>
      <c r="N163" s="33"/>
      <c r="O163" s="33"/>
      <c r="P163" s="33"/>
      <c r="Q163" s="33"/>
      <c r="R163" s="33"/>
      <c r="S163" s="33"/>
      <c r="T163" s="6"/>
      <c r="U163" s="6"/>
      <c r="V163" s="6"/>
      <c r="W163" s="113"/>
    </row>
    <row r="164" spans="1:23" ht="12.75">
      <c r="A164" s="23"/>
      <c r="B164" s="7"/>
      <c r="C164" s="6"/>
      <c r="D164" s="6"/>
      <c r="E164" s="6"/>
      <c r="F164" s="6" t="s">
        <v>38</v>
      </c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6"/>
      <c r="U164" s="6"/>
      <c r="V164" s="6"/>
      <c r="W164" s="113"/>
    </row>
    <row r="165" spans="1:23" ht="12.75">
      <c r="A165" s="23"/>
      <c r="B165" s="7"/>
      <c r="C165" s="6" t="s">
        <v>29</v>
      </c>
      <c r="D165" s="33">
        <f>SUM(G165:L165)</f>
        <v>295.06280380595996</v>
      </c>
      <c r="E165" s="6"/>
      <c r="F165" s="6" t="s">
        <v>37</v>
      </c>
      <c r="G165" s="33">
        <f>2203967.82*B222</f>
        <v>49.17713396766</v>
      </c>
      <c r="H165" s="33">
        <f>2203967.82*B222</f>
        <v>49.17713396766</v>
      </c>
      <c r="I165" s="33">
        <f>2203967.82*B222</f>
        <v>49.17713396766</v>
      </c>
      <c r="J165" s="33">
        <f>2203967.82*B222</f>
        <v>49.17713396766</v>
      </c>
      <c r="K165" s="33">
        <f>2203967.82*B222</f>
        <v>49.17713396766</v>
      </c>
      <c r="L165" s="33">
        <f>2203967.82*B222</f>
        <v>49.17713396766</v>
      </c>
      <c r="M165" s="33"/>
      <c r="N165" s="33"/>
      <c r="O165" s="33"/>
      <c r="P165" s="33"/>
      <c r="Q165" s="33"/>
      <c r="R165" s="33"/>
      <c r="S165" s="33"/>
      <c r="T165" s="6"/>
      <c r="U165" s="6"/>
      <c r="V165" s="6"/>
      <c r="W165" s="113"/>
    </row>
    <row r="166" spans="1:23" ht="13.5" thickBot="1">
      <c r="A166" s="24"/>
      <c r="B166" s="46"/>
      <c r="C166" s="13"/>
      <c r="D166" s="13"/>
      <c r="E166" s="13"/>
      <c r="F166" s="13" t="s">
        <v>38</v>
      </c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13"/>
      <c r="U166" s="13"/>
      <c r="V166" s="13"/>
      <c r="W166" s="118"/>
    </row>
    <row r="167" spans="1:23" s="2" customFormat="1" ht="14.25" thickBot="1" thickTop="1">
      <c r="A167" s="25" t="s">
        <v>7</v>
      </c>
      <c r="B167" s="15"/>
      <c r="C167" s="15"/>
      <c r="D167" s="35">
        <f>SUM(D161:D166)</f>
        <v>504.30878005595997</v>
      </c>
      <c r="E167" s="15"/>
      <c r="F167" s="15"/>
      <c r="G167" s="35">
        <f aca="true" t="shared" si="6" ref="G167:L167">SUM(G161:G166)</f>
        <v>84.05146334266</v>
      </c>
      <c r="H167" s="35">
        <f t="shared" si="6"/>
        <v>84.05146334266</v>
      </c>
      <c r="I167" s="35">
        <f t="shared" si="6"/>
        <v>84.05146334266</v>
      </c>
      <c r="J167" s="35">
        <f t="shared" si="6"/>
        <v>84.05146334266</v>
      </c>
      <c r="K167" s="35">
        <f t="shared" si="6"/>
        <v>84.05146334266</v>
      </c>
      <c r="L167" s="35">
        <f t="shared" si="6"/>
        <v>84.05146334266</v>
      </c>
      <c r="M167" s="35"/>
      <c r="N167" s="35"/>
      <c r="O167" s="35"/>
      <c r="P167" s="35"/>
      <c r="Q167" s="35"/>
      <c r="R167" s="35"/>
      <c r="S167" s="35"/>
      <c r="T167" s="15"/>
      <c r="U167" s="15"/>
      <c r="V167" s="15"/>
      <c r="W167" s="115"/>
    </row>
    <row r="168" spans="1:23" ht="13.5" thickBot="1">
      <c r="A168" s="128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106"/>
      <c r="T168" s="105"/>
      <c r="U168" s="105"/>
      <c r="V168" s="105"/>
      <c r="W168" s="105"/>
    </row>
    <row r="169" spans="1:23" ht="12.75">
      <c r="A169" s="22" t="s">
        <v>47</v>
      </c>
      <c r="B169" s="64">
        <v>36066</v>
      </c>
      <c r="C169" s="9" t="s">
        <v>29</v>
      </c>
      <c r="D169" s="32">
        <f>SUM(G169:I169)</f>
        <v>117.14325</v>
      </c>
      <c r="E169" s="32"/>
      <c r="F169" s="9" t="s">
        <v>37</v>
      </c>
      <c r="G169" s="32">
        <f>1750000*B222</f>
        <v>39.04775</v>
      </c>
      <c r="H169" s="32">
        <f>1750000*B222</f>
        <v>39.04775</v>
      </c>
      <c r="I169" s="32">
        <f>1750000*B222</f>
        <v>39.04775</v>
      </c>
      <c r="J169" s="9"/>
      <c r="K169" s="32"/>
      <c r="L169" s="32"/>
      <c r="M169" s="32"/>
      <c r="N169" s="32"/>
      <c r="O169" s="32"/>
      <c r="P169" s="32"/>
      <c r="Q169" s="32"/>
      <c r="R169" s="32"/>
      <c r="S169" s="32"/>
      <c r="T169" s="9"/>
      <c r="U169" s="9"/>
      <c r="V169" s="9"/>
      <c r="W169" s="112"/>
    </row>
    <row r="170" spans="1:23" ht="13.5" thickBot="1">
      <c r="A170" s="24"/>
      <c r="B170" s="46"/>
      <c r="C170" s="13"/>
      <c r="D170" s="13"/>
      <c r="E170" s="34">
        <f>SUM(G170:I170)</f>
        <v>17.80943489391</v>
      </c>
      <c r="F170" s="13" t="s">
        <v>38</v>
      </c>
      <c r="G170" s="34">
        <f>418085.94*B222</f>
        <v>9.32875157922</v>
      </c>
      <c r="H170" s="34">
        <f>266054.69*B222</f>
        <v>5.936478297970001</v>
      </c>
      <c r="I170" s="34">
        <f>114023.44*B222</f>
        <v>2.5442050167200003</v>
      </c>
      <c r="J170" s="13"/>
      <c r="K170" s="34"/>
      <c r="L170" s="34"/>
      <c r="M170" s="34"/>
      <c r="N170" s="34"/>
      <c r="O170" s="34"/>
      <c r="P170" s="34"/>
      <c r="Q170" s="34"/>
      <c r="R170" s="34"/>
      <c r="S170" s="34"/>
      <c r="T170" s="13"/>
      <c r="U170" s="13"/>
      <c r="V170" s="13"/>
      <c r="W170" s="118"/>
    </row>
    <row r="171" spans="1:23" s="2" customFormat="1" ht="13.5" thickTop="1">
      <c r="A171" s="45" t="s">
        <v>7</v>
      </c>
      <c r="B171" s="42"/>
      <c r="C171" s="42"/>
      <c r="D171" s="43">
        <f>SUM(D169:D170)</f>
        <v>117.14325</v>
      </c>
      <c r="E171" s="43">
        <f>SUM(E169:E170)</f>
        <v>17.80943489391</v>
      </c>
      <c r="F171" s="42"/>
      <c r="G171" s="43">
        <f>SUM(G169:G170)</f>
        <v>48.376501579220005</v>
      </c>
      <c r="H171" s="43">
        <f>SUM(H169:H170)</f>
        <v>44.98422829797</v>
      </c>
      <c r="I171" s="43">
        <f>SUM(I169:I170)</f>
        <v>41.59195501672</v>
      </c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2"/>
      <c r="U171" s="42"/>
      <c r="V171" s="42"/>
      <c r="W171" s="120"/>
    </row>
    <row r="172" spans="1:23" s="1" customFormat="1" ht="13.5" thickBot="1">
      <c r="A172" s="30"/>
      <c r="B172" s="48"/>
      <c r="C172" s="48"/>
      <c r="D172" s="48"/>
      <c r="E172" s="48"/>
      <c r="F172" s="48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8"/>
      <c r="U172" s="48"/>
      <c r="V172" s="48"/>
      <c r="W172" s="129"/>
    </row>
    <row r="173" spans="1:23" s="1" customFormat="1" ht="12.75">
      <c r="A173" s="52"/>
      <c r="B173" s="53"/>
      <c r="C173" s="53"/>
      <c r="D173" s="53"/>
      <c r="E173" s="53"/>
      <c r="F173" s="53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10"/>
      <c r="U173" s="10"/>
      <c r="V173" s="10"/>
      <c r="W173" s="116"/>
    </row>
    <row r="174" spans="1:23" ht="12.75">
      <c r="A174" s="38" t="s">
        <v>48</v>
      </c>
      <c r="B174" s="39">
        <v>36348</v>
      </c>
      <c r="C174" s="40" t="s">
        <v>33</v>
      </c>
      <c r="D174" s="33">
        <f>SUM(G174:R174)</f>
        <v>2134.51968</v>
      </c>
      <c r="E174" s="56"/>
      <c r="F174" s="40" t="s">
        <v>37</v>
      </c>
      <c r="G174" s="41">
        <f>4076000*B225</f>
        <v>177.87664</v>
      </c>
      <c r="H174" s="41">
        <f>4076000*B225</f>
        <v>177.87664</v>
      </c>
      <c r="I174" s="41">
        <f>4076000*B225</f>
        <v>177.87664</v>
      </c>
      <c r="J174" s="41">
        <f>4076000*B225</f>
        <v>177.87664</v>
      </c>
      <c r="K174" s="41">
        <f>4076000*B225</f>
        <v>177.87664</v>
      </c>
      <c r="L174" s="41">
        <f>4076000*B225</f>
        <v>177.87664</v>
      </c>
      <c r="M174" s="41">
        <f>4076000*B225</f>
        <v>177.87664</v>
      </c>
      <c r="N174" s="41">
        <f>4076000*B225</f>
        <v>177.87664</v>
      </c>
      <c r="O174" s="41">
        <f>4076000*B225</f>
        <v>177.87664</v>
      </c>
      <c r="P174" s="41">
        <f>4076000*B225</f>
        <v>177.87664</v>
      </c>
      <c r="Q174" s="41">
        <f>4076000*B225</f>
        <v>177.87664</v>
      </c>
      <c r="R174" s="41">
        <f>4076000*B225</f>
        <v>177.87664</v>
      </c>
      <c r="S174" s="6"/>
      <c r="T174" s="6"/>
      <c r="U174" s="6"/>
      <c r="V174" s="6"/>
      <c r="W174" s="113"/>
    </row>
    <row r="175" spans="1:23" s="14" customFormat="1" ht="13.5" thickBot="1">
      <c r="A175" s="24" t="s">
        <v>23</v>
      </c>
      <c r="B175" s="13"/>
      <c r="C175" s="13"/>
      <c r="D175" s="13"/>
      <c r="E175" s="34">
        <f>SUM(G175:R175)</f>
        <v>345.79218816</v>
      </c>
      <c r="F175" s="55" t="s">
        <v>38</v>
      </c>
      <c r="G175" s="34">
        <f>1265598*B225</f>
        <v>55.230696720000005</v>
      </c>
      <c r="H175" s="34">
        <f>1155546*B225</f>
        <v>50.42802744</v>
      </c>
      <c r="I175" s="34">
        <f>1045494*B225</f>
        <v>45.625358160000005</v>
      </c>
      <c r="J175" s="34">
        <f>935442*B225</f>
        <v>40.82268888</v>
      </c>
      <c r="K175" s="34">
        <f>825390*B225</f>
        <v>36.020019600000005</v>
      </c>
      <c r="L175" s="34">
        <f>715338*B225</f>
        <v>31.21735032</v>
      </c>
      <c r="M175" s="34">
        <f>605286*B225</f>
        <v>26.41468104</v>
      </c>
      <c r="N175" s="34">
        <f>495234*B225</f>
        <v>21.61201176</v>
      </c>
      <c r="O175" s="34">
        <f>385182*B225</f>
        <v>16.80934248</v>
      </c>
      <c r="P175" s="34">
        <f>275130*B225</f>
        <v>12.0066732</v>
      </c>
      <c r="Q175" s="34">
        <f>165078*B225</f>
        <v>7.204003920000001</v>
      </c>
      <c r="R175" s="34">
        <f>55026*B225</f>
        <v>2.40133464</v>
      </c>
      <c r="S175" s="13"/>
      <c r="T175" s="13"/>
      <c r="U175" s="13"/>
      <c r="V175" s="13"/>
      <c r="W175" s="118"/>
    </row>
    <row r="176" spans="1:23" s="44" customFormat="1" ht="14.25" thickBot="1" thickTop="1">
      <c r="A176" s="25" t="s">
        <v>7</v>
      </c>
      <c r="B176" s="15"/>
      <c r="C176" s="15"/>
      <c r="D176" s="35">
        <f>SUM(D174:D175)</f>
        <v>2134.51968</v>
      </c>
      <c r="E176" s="35">
        <f>SUM(E174:E175)</f>
        <v>345.79218816</v>
      </c>
      <c r="F176" s="15"/>
      <c r="G176" s="35">
        <f aca="true" t="shared" si="7" ref="G176:R176">SUM(G174:G175)</f>
        <v>233.10733672</v>
      </c>
      <c r="H176" s="35">
        <f t="shared" si="7"/>
        <v>228.30466744</v>
      </c>
      <c r="I176" s="35">
        <f t="shared" si="7"/>
        <v>223.50199816000003</v>
      </c>
      <c r="J176" s="35">
        <f t="shared" si="7"/>
        <v>218.69932888</v>
      </c>
      <c r="K176" s="35">
        <f t="shared" si="7"/>
        <v>213.89665960000002</v>
      </c>
      <c r="L176" s="35">
        <f t="shared" si="7"/>
        <v>209.09399032000002</v>
      </c>
      <c r="M176" s="35">
        <f t="shared" si="7"/>
        <v>204.29132104</v>
      </c>
      <c r="N176" s="35">
        <f t="shared" si="7"/>
        <v>199.48865176</v>
      </c>
      <c r="O176" s="35">
        <f t="shared" si="7"/>
        <v>194.68598248</v>
      </c>
      <c r="P176" s="35">
        <f t="shared" si="7"/>
        <v>189.8833132</v>
      </c>
      <c r="Q176" s="35">
        <f t="shared" si="7"/>
        <v>185.08064392</v>
      </c>
      <c r="R176" s="35">
        <f t="shared" si="7"/>
        <v>180.27797464</v>
      </c>
      <c r="S176" s="35"/>
      <c r="T176" s="15"/>
      <c r="U176" s="15"/>
      <c r="V176" s="15"/>
      <c r="W176" s="115"/>
    </row>
    <row r="177" spans="1:23" s="44" customFormat="1" ht="13.5" thickBot="1">
      <c r="A177" s="31"/>
      <c r="B177" s="31"/>
      <c r="C177" s="31"/>
      <c r="D177" s="31"/>
      <c r="E177" s="31"/>
      <c r="F177" s="31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06"/>
      <c r="T177" s="105"/>
      <c r="U177" s="105"/>
      <c r="V177" s="105"/>
      <c r="W177" s="105"/>
    </row>
    <row r="178" spans="1:23" s="44" customFormat="1" ht="12.75">
      <c r="A178" s="20" t="s">
        <v>24</v>
      </c>
      <c r="B178" s="3" t="s">
        <v>25</v>
      </c>
      <c r="C178" s="8" t="s">
        <v>28</v>
      </c>
      <c r="D178" s="157" t="s">
        <v>74</v>
      </c>
      <c r="E178" s="158"/>
      <c r="F178" s="8"/>
      <c r="G178" s="4"/>
      <c r="H178" s="4"/>
      <c r="I178" s="19" t="s">
        <v>75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138"/>
    </row>
    <row r="179" spans="1:23" s="44" customFormat="1" ht="12.75">
      <c r="A179" s="20"/>
      <c r="B179" s="3" t="s">
        <v>26</v>
      </c>
      <c r="C179" s="8"/>
      <c r="D179" s="159" t="s">
        <v>76</v>
      </c>
      <c r="E179" s="160"/>
      <c r="F179" s="8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133"/>
      <c r="T179" s="133"/>
      <c r="U179" s="133"/>
      <c r="V179" s="133"/>
      <c r="W179" s="134"/>
    </row>
    <row r="180" spans="1:23" s="44" customFormat="1" ht="13.5" thickBot="1">
      <c r="A180" s="21"/>
      <c r="B180" s="11" t="s">
        <v>27</v>
      </c>
      <c r="C180" s="12"/>
      <c r="D180" s="13" t="s">
        <v>37</v>
      </c>
      <c r="E180" s="13" t="s">
        <v>38</v>
      </c>
      <c r="F180" s="12"/>
      <c r="G180" s="82">
        <v>2002</v>
      </c>
      <c r="H180" s="82">
        <v>2003</v>
      </c>
      <c r="I180" s="82">
        <v>2004</v>
      </c>
      <c r="J180" s="82">
        <v>2005</v>
      </c>
      <c r="K180" s="82">
        <v>2006</v>
      </c>
      <c r="L180" s="82">
        <v>2007</v>
      </c>
      <c r="M180" s="82">
        <v>2008</v>
      </c>
      <c r="N180" s="82">
        <v>2009</v>
      </c>
      <c r="O180" s="82">
        <v>2010</v>
      </c>
      <c r="P180" s="82">
        <v>2011</v>
      </c>
      <c r="Q180" s="82">
        <v>2012</v>
      </c>
      <c r="R180" s="82">
        <v>2013</v>
      </c>
      <c r="S180" s="136">
        <v>2014</v>
      </c>
      <c r="T180" s="12">
        <v>2015</v>
      </c>
      <c r="U180" s="12">
        <v>2016</v>
      </c>
      <c r="V180" s="12">
        <v>2017</v>
      </c>
      <c r="W180" s="135">
        <v>2018</v>
      </c>
    </row>
    <row r="181" spans="1:23" s="44" customFormat="1" ht="13.5" thickTop="1">
      <c r="A181" s="47"/>
      <c r="B181" s="9"/>
      <c r="C181" s="9"/>
      <c r="D181" s="9"/>
      <c r="E181" s="9"/>
      <c r="F181" s="9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78"/>
      <c r="U181" s="78"/>
      <c r="V181" s="78"/>
      <c r="W181" s="121"/>
    </row>
    <row r="182" spans="1:23" s="44" customFormat="1" ht="12.75">
      <c r="A182" s="29" t="s">
        <v>56</v>
      </c>
      <c r="B182" s="7">
        <v>36644</v>
      </c>
      <c r="C182" s="6" t="s">
        <v>31</v>
      </c>
      <c r="D182" s="33">
        <f>SUM(G182:M182)</f>
        <v>73.23742800000001</v>
      </c>
      <c r="E182" s="33"/>
      <c r="F182" s="6" t="s">
        <v>37</v>
      </c>
      <c r="H182" s="33">
        <f>1548000*B223</f>
        <v>73.23742800000001</v>
      </c>
      <c r="I182" s="33"/>
      <c r="J182" s="33"/>
      <c r="K182" s="33"/>
      <c r="L182" s="33"/>
      <c r="M182" s="33"/>
      <c r="N182" s="6"/>
      <c r="O182" s="33"/>
      <c r="P182" s="33"/>
      <c r="Q182" s="33"/>
      <c r="R182" s="33"/>
      <c r="S182" s="33"/>
      <c r="T182" s="78"/>
      <c r="U182" s="78"/>
      <c r="V182" s="78"/>
      <c r="W182" s="121"/>
    </row>
    <row r="183" spans="1:23" s="44" customFormat="1" ht="13.5" thickBot="1">
      <c r="A183" s="24" t="s">
        <v>53</v>
      </c>
      <c r="B183" s="46"/>
      <c r="C183" s="13"/>
      <c r="D183" s="13"/>
      <c r="E183" s="34"/>
      <c r="F183" s="13" t="s">
        <v>38</v>
      </c>
      <c r="G183" s="34"/>
      <c r="H183" s="34"/>
      <c r="I183" s="34"/>
      <c r="J183" s="34"/>
      <c r="K183" s="34"/>
      <c r="L183" s="34"/>
      <c r="M183" s="34"/>
      <c r="N183" s="13"/>
      <c r="O183" s="34"/>
      <c r="P183" s="34"/>
      <c r="Q183" s="34"/>
      <c r="R183" s="34"/>
      <c r="S183" s="34"/>
      <c r="T183" s="70"/>
      <c r="U183" s="70"/>
      <c r="V183" s="70"/>
      <c r="W183" s="126"/>
    </row>
    <row r="184" spans="1:23" s="44" customFormat="1" ht="14.25" thickBot="1" thickTop="1">
      <c r="A184" s="25" t="s">
        <v>7</v>
      </c>
      <c r="B184" s="15"/>
      <c r="C184" s="15"/>
      <c r="D184" s="35">
        <f>SUM(D182:D183)</f>
        <v>73.23742800000001</v>
      </c>
      <c r="E184" s="35"/>
      <c r="F184" s="15"/>
      <c r="G184" s="35">
        <f aca="true" t="shared" si="8" ref="G184:M184">SUM(G182:G183)</f>
        <v>0</v>
      </c>
      <c r="H184" s="35">
        <f t="shared" si="8"/>
        <v>73.23742800000001</v>
      </c>
      <c r="I184" s="35">
        <f t="shared" si="8"/>
        <v>0</v>
      </c>
      <c r="J184" s="35">
        <f t="shared" si="8"/>
        <v>0</v>
      </c>
      <c r="K184" s="35">
        <f t="shared" si="8"/>
        <v>0</v>
      </c>
      <c r="L184" s="35">
        <f t="shared" si="8"/>
        <v>0</v>
      </c>
      <c r="M184" s="35">
        <f t="shared" si="8"/>
        <v>0</v>
      </c>
      <c r="N184" s="35"/>
      <c r="O184" s="35"/>
      <c r="P184" s="35"/>
      <c r="Q184" s="35"/>
      <c r="R184" s="35"/>
      <c r="S184" s="35"/>
      <c r="T184" s="15"/>
      <c r="U184" s="15"/>
      <c r="V184" s="15"/>
      <c r="W184" s="115"/>
    </row>
    <row r="185" spans="1:23" s="44" customFormat="1" ht="13.5" thickBot="1">
      <c r="A185" s="143"/>
      <c r="B185" s="155"/>
      <c r="C185" s="155"/>
      <c r="D185" s="155"/>
      <c r="E185" s="155"/>
      <c r="F185" s="155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43"/>
      <c r="U185" s="143"/>
      <c r="V185" s="143"/>
      <c r="W185" s="143"/>
    </row>
    <row r="186" spans="1:23" s="44" customFormat="1" ht="12.75">
      <c r="A186" s="20" t="s">
        <v>24</v>
      </c>
      <c r="B186" s="3" t="s">
        <v>25</v>
      </c>
      <c r="C186" s="8" t="s">
        <v>28</v>
      </c>
      <c r="D186" s="157" t="s">
        <v>74</v>
      </c>
      <c r="E186" s="158"/>
      <c r="F186" s="8"/>
      <c r="G186" s="4"/>
      <c r="H186" s="4"/>
      <c r="I186" s="19" t="s">
        <v>75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138"/>
    </row>
    <row r="187" spans="1:23" s="44" customFormat="1" ht="12.75">
      <c r="A187" s="20"/>
      <c r="B187" s="3" t="s">
        <v>26</v>
      </c>
      <c r="C187" s="8"/>
      <c r="D187" s="159" t="s">
        <v>76</v>
      </c>
      <c r="E187" s="160"/>
      <c r="F187" s="8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133"/>
      <c r="T187" s="133"/>
      <c r="U187" s="133"/>
      <c r="V187" s="133"/>
      <c r="W187" s="134"/>
    </row>
    <row r="188" spans="1:23" s="44" customFormat="1" ht="13.5" thickBot="1">
      <c r="A188" s="21"/>
      <c r="B188" s="11" t="s">
        <v>27</v>
      </c>
      <c r="C188" s="12"/>
      <c r="D188" s="13" t="s">
        <v>37</v>
      </c>
      <c r="E188" s="13" t="s">
        <v>38</v>
      </c>
      <c r="F188" s="12"/>
      <c r="G188" s="82">
        <v>2002</v>
      </c>
      <c r="H188" s="82">
        <v>2003</v>
      </c>
      <c r="I188" s="82">
        <v>2004</v>
      </c>
      <c r="J188" s="82">
        <v>2005</v>
      </c>
      <c r="K188" s="82">
        <v>2006</v>
      </c>
      <c r="L188" s="82">
        <v>2007</v>
      </c>
      <c r="M188" s="82">
        <v>2008</v>
      </c>
      <c r="N188" s="82">
        <v>2009</v>
      </c>
      <c r="O188" s="82">
        <v>2010</v>
      </c>
      <c r="P188" s="82">
        <v>2011</v>
      </c>
      <c r="Q188" s="82">
        <v>2012</v>
      </c>
      <c r="R188" s="82">
        <v>2013</v>
      </c>
      <c r="S188" s="136">
        <v>2014</v>
      </c>
      <c r="T188" s="12">
        <v>2015</v>
      </c>
      <c r="U188" s="12">
        <v>2016</v>
      </c>
      <c r="V188" s="12">
        <v>2017</v>
      </c>
      <c r="W188" s="135">
        <v>2018</v>
      </c>
    </row>
    <row r="189" spans="1:23" s="44" customFormat="1" ht="13.5" thickTop="1">
      <c r="A189" s="29" t="s">
        <v>57</v>
      </c>
      <c r="B189" s="7">
        <v>36704</v>
      </c>
      <c r="C189" s="6" t="s">
        <v>33</v>
      </c>
      <c r="D189" s="33">
        <f>SUM(G189:O189)</f>
        <v>268.12416</v>
      </c>
      <c r="E189" s="33"/>
      <c r="F189" s="6" t="s">
        <v>37</v>
      </c>
      <c r="G189" s="33"/>
      <c r="H189" s="33"/>
      <c r="I189" s="33"/>
      <c r="J189" s="6"/>
      <c r="K189" s="33">
        <f>1228800*B225</f>
        <v>53.624832000000005</v>
      </c>
      <c r="L189" s="33">
        <f>1228800*B225</f>
        <v>53.624832000000005</v>
      </c>
      <c r="M189" s="33">
        <f>1228800*B225</f>
        <v>53.624832000000005</v>
      </c>
      <c r="N189" s="33">
        <f>1228800*B225</f>
        <v>53.624832000000005</v>
      </c>
      <c r="O189" s="33">
        <f>1228800*B225</f>
        <v>53.624832000000005</v>
      </c>
      <c r="P189" s="33"/>
      <c r="Q189" s="33"/>
      <c r="R189" s="33"/>
      <c r="S189" s="33"/>
      <c r="T189" s="78"/>
      <c r="U189" s="78"/>
      <c r="V189" s="78"/>
      <c r="W189" s="121"/>
    </row>
    <row r="190" spans="1:23" s="44" customFormat="1" ht="13.5" thickBot="1">
      <c r="A190" s="24" t="s">
        <v>11</v>
      </c>
      <c r="B190" s="46"/>
      <c r="C190" s="13"/>
      <c r="D190" s="13"/>
      <c r="E190" s="34">
        <f>SUM(G190:K190)</f>
        <v>46.4432154</v>
      </c>
      <c r="F190" s="13" t="s">
        <v>38</v>
      </c>
      <c r="G190" s="34">
        <f>236715*B225</f>
        <v>10.3302426</v>
      </c>
      <c r="H190" s="34">
        <f>236715*B225</f>
        <v>10.3302426</v>
      </c>
      <c r="I190" s="34">
        <f>236715*B225</f>
        <v>10.3302426</v>
      </c>
      <c r="J190" s="34">
        <f>236715*B225</f>
        <v>10.3302426</v>
      </c>
      <c r="K190" s="34">
        <f>117375*B225</f>
        <v>5.122245</v>
      </c>
      <c r="L190" s="34"/>
      <c r="M190" s="34"/>
      <c r="N190" s="34"/>
      <c r="O190" s="34"/>
      <c r="P190" s="34"/>
      <c r="Q190" s="34"/>
      <c r="R190" s="34"/>
      <c r="S190" s="34"/>
      <c r="T190" s="70"/>
      <c r="U190" s="70"/>
      <c r="V190" s="70"/>
      <c r="W190" s="126"/>
    </row>
    <row r="191" spans="1:23" s="44" customFormat="1" ht="14.25" thickBot="1" thickTop="1">
      <c r="A191" s="25" t="s">
        <v>7</v>
      </c>
      <c r="B191" s="15"/>
      <c r="C191" s="15"/>
      <c r="D191" s="35">
        <f>SUM(D189:D190)</f>
        <v>268.12416</v>
      </c>
      <c r="E191" s="35">
        <f>SUM(E189:E190)</f>
        <v>46.4432154</v>
      </c>
      <c r="F191" s="15"/>
      <c r="G191" s="35">
        <f aca="true" t="shared" si="9" ref="G191:O191">SUM(G189:G190)</f>
        <v>10.3302426</v>
      </c>
      <c r="H191" s="35">
        <f t="shared" si="9"/>
        <v>10.3302426</v>
      </c>
      <c r="I191" s="35">
        <f t="shared" si="9"/>
        <v>10.3302426</v>
      </c>
      <c r="J191" s="35">
        <f t="shared" si="9"/>
        <v>10.3302426</v>
      </c>
      <c r="K191" s="35">
        <f t="shared" si="9"/>
        <v>58.747077000000004</v>
      </c>
      <c r="L191" s="35">
        <f t="shared" si="9"/>
        <v>53.624832000000005</v>
      </c>
      <c r="M191" s="35">
        <f t="shared" si="9"/>
        <v>53.624832000000005</v>
      </c>
      <c r="N191" s="35">
        <f t="shared" si="9"/>
        <v>53.624832000000005</v>
      </c>
      <c r="O191" s="35">
        <f t="shared" si="9"/>
        <v>53.624832000000005</v>
      </c>
      <c r="P191" s="35"/>
      <c r="Q191" s="35"/>
      <c r="R191" s="35"/>
      <c r="S191" s="35"/>
      <c r="T191" s="15"/>
      <c r="U191" s="15"/>
      <c r="V191" s="15"/>
      <c r="W191" s="115"/>
    </row>
    <row r="192" spans="1:19" s="44" customFormat="1" ht="12.75">
      <c r="A192" s="14"/>
      <c r="B192" s="4"/>
      <c r="C192" s="4"/>
      <c r="D192" s="4"/>
      <c r="E192" s="4"/>
      <c r="F192" s="4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</row>
    <row r="193" spans="1:19" s="44" customFormat="1" ht="12.75">
      <c r="A193" s="14"/>
      <c r="B193" s="4"/>
      <c r="C193" s="4"/>
      <c r="D193" s="4"/>
      <c r="E193" s="4"/>
      <c r="F193" s="4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</row>
    <row r="194" spans="1:19" s="44" customFormat="1" ht="12.75">
      <c r="A194" s="14"/>
      <c r="B194" s="4"/>
      <c r="C194" s="4"/>
      <c r="D194" s="4"/>
      <c r="E194" s="4"/>
      <c r="F194" s="4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</row>
    <row r="195" spans="1:19" s="44" customFormat="1" ht="12.75">
      <c r="A195" s="14"/>
      <c r="B195" s="4"/>
      <c r="C195" s="4"/>
      <c r="D195" s="4"/>
      <c r="E195" s="4"/>
      <c r="F195" s="4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</row>
    <row r="196" spans="1:19" s="44" customFormat="1" ht="12.75">
      <c r="A196" s="14"/>
      <c r="B196" s="4"/>
      <c r="C196" s="4"/>
      <c r="D196" s="4"/>
      <c r="E196" s="4"/>
      <c r="F196" s="4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</row>
    <row r="197" spans="1:19" s="44" customFormat="1" ht="12.75">
      <c r="A197" s="14"/>
      <c r="B197" s="4"/>
      <c r="C197" s="4"/>
      <c r="D197" s="4"/>
      <c r="E197" s="4"/>
      <c r="F197" s="4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</row>
    <row r="198" spans="1:23" s="44" customFormat="1" ht="13.5" thickBot="1">
      <c r="A198" s="92"/>
      <c r="B198" s="155"/>
      <c r="C198" s="155"/>
      <c r="D198" s="155"/>
      <c r="E198" s="155"/>
      <c r="F198" s="155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43"/>
      <c r="U198" s="143"/>
      <c r="V198" s="143"/>
      <c r="W198" s="143"/>
    </row>
    <row r="199" spans="1:23" s="44" customFormat="1" ht="12.75">
      <c r="A199" s="20" t="s">
        <v>24</v>
      </c>
      <c r="B199" s="3" t="s">
        <v>25</v>
      </c>
      <c r="C199" s="8" t="s">
        <v>28</v>
      </c>
      <c r="D199" s="157" t="s">
        <v>74</v>
      </c>
      <c r="E199" s="158"/>
      <c r="F199" s="8"/>
      <c r="G199" s="4"/>
      <c r="H199" s="4"/>
      <c r="I199" s="19" t="s">
        <v>75</v>
      </c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138"/>
    </row>
    <row r="200" spans="1:23" s="44" customFormat="1" ht="12.75">
      <c r="A200" s="20"/>
      <c r="B200" s="5" t="s">
        <v>26</v>
      </c>
      <c r="C200" s="4"/>
      <c r="D200" s="159" t="s">
        <v>76</v>
      </c>
      <c r="E200" s="160"/>
      <c r="F200" s="8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133"/>
      <c r="T200" s="133"/>
      <c r="U200" s="133"/>
      <c r="V200" s="133"/>
      <c r="W200" s="134"/>
    </row>
    <row r="201" spans="1:23" s="44" customFormat="1" ht="13.5" thickBot="1">
      <c r="A201" s="21"/>
      <c r="B201" s="11" t="s">
        <v>27</v>
      </c>
      <c r="C201" s="12"/>
      <c r="D201" s="13" t="s">
        <v>37</v>
      </c>
      <c r="E201" s="13" t="s">
        <v>38</v>
      </c>
      <c r="F201" s="12"/>
      <c r="G201" s="82">
        <v>2002</v>
      </c>
      <c r="H201" s="82">
        <v>2003</v>
      </c>
      <c r="I201" s="82">
        <v>2004</v>
      </c>
      <c r="J201" s="82">
        <v>2005</v>
      </c>
      <c r="K201" s="82">
        <v>2006</v>
      </c>
      <c r="L201" s="82">
        <v>2007</v>
      </c>
      <c r="M201" s="82">
        <v>2008</v>
      </c>
      <c r="N201" s="82">
        <v>2009</v>
      </c>
      <c r="O201" s="82">
        <v>2010</v>
      </c>
      <c r="P201" s="82">
        <v>2011</v>
      </c>
      <c r="Q201" s="82">
        <v>2012</v>
      </c>
      <c r="R201" s="82">
        <v>2013</v>
      </c>
      <c r="S201" s="136">
        <v>2014</v>
      </c>
      <c r="T201" s="12">
        <v>2015</v>
      </c>
      <c r="U201" s="12">
        <v>2016</v>
      </c>
      <c r="V201" s="12">
        <v>2017</v>
      </c>
      <c r="W201" s="135">
        <v>2018</v>
      </c>
    </row>
    <row r="202" spans="1:23" s="44" customFormat="1" ht="13.5" thickTop="1">
      <c r="A202" s="61"/>
      <c r="B202" s="8"/>
      <c r="C202" s="8"/>
      <c r="D202" s="10"/>
      <c r="E202" s="137"/>
      <c r="F202" s="8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37"/>
      <c r="T202" s="42"/>
      <c r="U202" s="42"/>
      <c r="V202" s="42"/>
      <c r="W202" s="120"/>
    </row>
    <row r="203" spans="1:23" s="44" customFormat="1" ht="12.75">
      <c r="A203" s="38" t="s">
        <v>60</v>
      </c>
      <c r="B203" s="39">
        <v>36725</v>
      </c>
      <c r="C203" s="40" t="s">
        <v>31</v>
      </c>
      <c r="D203" s="33">
        <f>SUM(G203:R203)</f>
        <v>270.47813571108003</v>
      </c>
      <c r="E203" s="56"/>
      <c r="F203" s="40" t="s">
        <v>37</v>
      </c>
      <c r="G203" s="41">
        <f>5717024.28*B223</f>
        <v>270.47813571108003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6"/>
      <c r="T203" s="78"/>
      <c r="U203" s="78"/>
      <c r="V203" s="78"/>
      <c r="W203" s="121"/>
    </row>
    <row r="204" spans="1:23" s="44" customFormat="1" ht="13.5" thickBot="1">
      <c r="A204" s="24" t="s">
        <v>22</v>
      </c>
      <c r="B204" s="13"/>
      <c r="C204" s="13"/>
      <c r="D204" s="13"/>
      <c r="E204" s="34">
        <f>SUM(G204:R204)</f>
        <v>21.110641310000002</v>
      </c>
      <c r="F204" s="55" t="s">
        <v>38</v>
      </c>
      <c r="G204" s="34">
        <f>446210*B223</f>
        <v>21.110641310000002</v>
      </c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13"/>
      <c r="T204" s="70"/>
      <c r="U204" s="70"/>
      <c r="V204" s="70"/>
      <c r="W204" s="126"/>
    </row>
    <row r="205" spans="1:23" s="44" customFormat="1" ht="13.5" thickTop="1">
      <c r="A205" s="65" t="s">
        <v>7</v>
      </c>
      <c r="B205" s="66"/>
      <c r="C205" s="66"/>
      <c r="D205" s="72">
        <f>SUM(D203:D204)</f>
        <v>270.47813571108003</v>
      </c>
      <c r="E205" s="72">
        <f>SUM(E203:E204)</f>
        <v>21.110641310000002</v>
      </c>
      <c r="F205" s="66"/>
      <c r="G205" s="43">
        <f>SUM(G203:G204)</f>
        <v>291.58877702108003</v>
      </c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6"/>
      <c r="S205" s="72"/>
      <c r="T205" s="42"/>
      <c r="U205" s="42"/>
      <c r="V205" s="42"/>
      <c r="W205" s="120"/>
    </row>
    <row r="206" spans="1:23" s="44" customFormat="1" ht="13.5" thickBot="1">
      <c r="A206" s="50"/>
      <c r="B206" s="75"/>
      <c r="C206" s="75"/>
      <c r="D206" s="73"/>
      <c r="E206" s="73"/>
      <c r="F206" s="75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7"/>
      <c r="S206" s="73"/>
      <c r="T206" s="75"/>
      <c r="U206" s="75"/>
      <c r="V206" s="75"/>
      <c r="W206" s="130"/>
    </row>
    <row r="207" spans="1:23" s="44" customFormat="1" ht="12.75">
      <c r="A207" s="45"/>
      <c r="B207" s="42"/>
      <c r="C207" s="42"/>
      <c r="D207" s="43"/>
      <c r="E207" s="43"/>
      <c r="F207" s="42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2"/>
      <c r="U207" s="42"/>
      <c r="V207" s="42"/>
      <c r="W207" s="120"/>
    </row>
    <row r="208" spans="1:23" ht="12.75">
      <c r="A208" s="29" t="s">
        <v>46</v>
      </c>
      <c r="B208" s="7">
        <v>36048</v>
      </c>
      <c r="C208" s="6" t="s">
        <v>29</v>
      </c>
      <c r="D208" s="33">
        <f>SUM(G208:M208)</f>
        <v>906.4656249999999</v>
      </c>
      <c r="E208" s="33"/>
      <c r="F208" s="6" t="s">
        <v>37</v>
      </c>
      <c r="G208" s="33">
        <f>6250000*B222</f>
        <v>139.45625</v>
      </c>
      <c r="H208" s="33">
        <f>6250000*B222</f>
        <v>139.45625</v>
      </c>
      <c r="I208" s="33">
        <f>6250000*B222</f>
        <v>139.45625</v>
      </c>
      <c r="J208" s="33">
        <f>6250000*B222</f>
        <v>139.45625</v>
      </c>
      <c r="K208" s="33">
        <f>6250000*B222</f>
        <v>139.45625</v>
      </c>
      <c r="L208" s="33">
        <f>6250000*B222</f>
        <v>139.45625</v>
      </c>
      <c r="M208" s="33">
        <f>3125000*B222</f>
        <v>69.728125</v>
      </c>
      <c r="N208" s="6"/>
      <c r="O208" s="33"/>
      <c r="P208" s="33"/>
      <c r="Q208" s="33"/>
      <c r="R208" s="33"/>
      <c r="S208" s="33"/>
      <c r="T208" s="6"/>
      <c r="U208" s="6"/>
      <c r="V208" s="6"/>
      <c r="W208" s="113"/>
    </row>
    <row r="209" spans="1:23" ht="12.75">
      <c r="A209" s="23" t="s">
        <v>16</v>
      </c>
      <c r="B209" s="7"/>
      <c r="C209" s="6"/>
      <c r="D209" s="6"/>
      <c r="E209" s="33">
        <f>SUM(G209:M209)</f>
        <v>142.73824774952004</v>
      </c>
      <c r="F209" s="6" t="s">
        <v>38</v>
      </c>
      <c r="G209" s="33">
        <f>1757619.86*B222</f>
        <v>39.21777193618001</v>
      </c>
      <c r="H209" s="33">
        <f>1476369.86*B222</f>
        <v>32.94224068618001</v>
      </c>
      <c r="I209" s="33">
        <f>1195119.87*B222</f>
        <v>26.666709659310005</v>
      </c>
      <c r="J209" s="33">
        <f>913869.86*B222</f>
        <v>20.39117818618</v>
      </c>
      <c r="K209" s="33">
        <f>632619.87*B222</f>
        <v>14.11564715931</v>
      </c>
      <c r="L209" s="33">
        <f>351369.86*B222</f>
        <v>7.84011568618</v>
      </c>
      <c r="M209" s="33">
        <f>70119.86*B222</f>
        <v>1.56458443618</v>
      </c>
      <c r="N209" s="6"/>
      <c r="O209" s="33"/>
      <c r="P209" s="33"/>
      <c r="Q209" s="33"/>
      <c r="R209" s="33"/>
      <c r="S209" s="33"/>
      <c r="T209" s="6"/>
      <c r="U209" s="6"/>
      <c r="V209" s="6"/>
      <c r="W209" s="113"/>
    </row>
    <row r="210" spans="1:23" ht="12.75">
      <c r="A210" s="29" t="s">
        <v>46</v>
      </c>
      <c r="B210" s="84">
        <v>36881</v>
      </c>
      <c r="C210" s="62" t="s">
        <v>33</v>
      </c>
      <c r="D210" s="33">
        <f>SUM(G210:W210)</f>
        <v>1440.1200000000003</v>
      </c>
      <c r="E210" s="63"/>
      <c r="F210" s="9" t="s">
        <v>37</v>
      </c>
      <c r="G210" s="33"/>
      <c r="H210" s="33"/>
      <c r="I210" s="33">
        <f>2200000*B225</f>
        <v>96.00800000000001</v>
      </c>
      <c r="J210" s="33">
        <f>2200000*B225</f>
        <v>96.00800000000001</v>
      </c>
      <c r="K210" s="33">
        <f>2200000*B225</f>
        <v>96.00800000000001</v>
      </c>
      <c r="L210" s="33">
        <f>2200000*B225</f>
        <v>96.00800000000001</v>
      </c>
      <c r="M210" s="33">
        <f>2200000*B225</f>
        <v>96.00800000000001</v>
      </c>
      <c r="N210" s="33">
        <f>2200000*B225</f>
        <v>96.00800000000001</v>
      </c>
      <c r="O210" s="33">
        <f>2200000*B225</f>
        <v>96.00800000000001</v>
      </c>
      <c r="P210" s="33">
        <f>2200000*B225</f>
        <v>96.00800000000001</v>
      </c>
      <c r="Q210" s="33">
        <f>2200000*B225</f>
        <v>96.00800000000001</v>
      </c>
      <c r="R210" s="33">
        <f>2200000*B225</f>
        <v>96.00800000000001</v>
      </c>
      <c r="S210" s="33">
        <f>2200000*B225</f>
        <v>96.00800000000001</v>
      </c>
      <c r="T210" s="33">
        <f>2200000*B225</f>
        <v>96.00800000000001</v>
      </c>
      <c r="U210" s="33">
        <f>2200000*B225</f>
        <v>96.00800000000001</v>
      </c>
      <c r="V210" s="33">
        <f>2200000*B225</f>
        <v>96.00800000000001</v>
      </c>
      <c r="W210" s="131">
        <f>2200000*B225</f>
        <v>96.00800000000001</v>
      </c>
    </row>
    <row r="211" spans="1:23" ht="12.75">
      <c r="A211" s="5" t="s">
        <v>16</v>
      </c>
      <c r="B211" s="7"/>
      <c r="C211" s="6"/>
      <c r="D211" s="62"/>
      <c r="E211" s="33">
        <f>SUM(G211:T211)</f>
        <v>3.741109696800001</v>
      </c>
      <c r="F211" s="62" t="s">
        <v>38</v>
      </c>
      <c r="G211" s="33">
        <f>6123.33*B225</f>
        <v>0.2672221212</v>
      </c>
      <c r="H211" s="33">
        <f>6123.33*B225</f>
        <v>0.2672221212</v>
      </c>
      <c r="I211" s="33">
        <f>6123.33*B225</f>
        <v>0.2672221212</v>
      </c>
      <c r="J211" s="33">
        <f>6123.33*B225</f>
        <v>0.2672221212</v>
      </c>
      <c r="K211" s="33">
        <f>6123.33*B225</f>
        <v>0.2672221212</v>
      </c>
      <c r="L211" s="33">
        <f>6123.33*B225</f>
        <v>0.2672221212</v>
      </c>
      <c r="M211" s="33">
        <f>6123.33*B225</f>
        <v>0.2672221212</v>
      </c>
      <c r="N211" s="33">
        <f>6123.33*B225</f>
        <v>0.2672221212</v>
      </c>
      <c r="O211" s="33">
        <f>6123.33*B225</f>
        <v>0.2672221212</v>
      </c>
      <c r="P211" s="33">
        <f>6123.33*B225</f>
        <v>0.2672221212</v>
      </c>
      <c r="Q211" s="33">
        <f>6123.33*B225</f>
        <v>0.2672221212</v>
      </c>
      <c r="R211" s="33">
        <f>6123.33*B225</f>
        <v>0.2672221212</v>
      </c>
      <c r="S211" s="33">
        <f>6123.33*B225</f>
        <v>0.2672221212</v>
      </c>
      <c r="T211" s="33">
        <f>6123.33*B225</f>
        <v>0.2672221212</v>
      </c>
      <c r="U211" s="6"/>
      <c r="V211" s="6"/>
      <c r="W211" s="113"/>
    </row>
    <row r="212" spans="1:23" ht="12.75">
      <c r="A212" s="5"/>
      <c r="B212" s="64">
        <v>36881</v>
      </c>
      <c r="C212" s="9" t="s">
        <v>33</v>
      </c>
      <c r="D212" s="33">
        <f>SUM(G212:R212)</f>
        <v>305.48</v>
      </c>
      <c r="E212" s="63"/>
      <c r="F212" s="62" t="s">
        <v>37</v>
      </c>
      <c r="G212" s="33"/>
      <c r="H212" s="33"/>
      <c r="I212" s="33">
        <f>700000*B225</f>
        <v>30.548000000000002</v>
      </c>
      <c r="J212" s="33">
        <f>700000*B225</f>
        <v>30.548000000000002</v>
      </c>
      <c r="K212" s="33">
        <f>700000*B225</f>
        <v>30.548000000000002</v>
      </c>
      <c r="L212" s="33">
        <f>700000*B225</f>
        <v>30.548000000000002</v>
      </c>
      <c r="M212" s="33">
        <f>700000*B225</f>
        <v>30.548000000000002</v>
      </c>
      <c r="N212" s="33">
        <f>700000*B225</f>
        <v>30.548000000000002</v>
      </c>
      <c r="O212" s="33">
        <f>700000*B225</f>
        <v>30.548000000000002</v>
      </c>
      <c r="P212" s="33">
        <f>700000*B225</f>
        <v>30.548000000000002</v>
      </c>
      <c r="Q212" s="33">
        <f>700000*B225</f>
        <v>30.548000000000002</v>
      </c>
      <c r="R212" s="33">
        <f>700000*B225</f>
        <v>30.548000000000002</v>
      </c>
      <c r="S212" s="33"/>
      <c r="T212" s="6"/>
      <c r="U212" s="6"/>
      <c r="V212" s="6"/>
      <c r="W212" s="113"/>
    </row>
    <row r="213" spans="1:23" ht="13.5" thickBot="1">
      <c r="A213" s="86"/>
      <c r="B213" s="87"/>
      <c r="C213" s="12"/>
      <c r="D213" s="12"/>
      <c r="E213" s="34">
        <f>SUM(G213:O213)</f>
        <v>0.5254225452000001</v>
      </c>
      <c r="F213" s="13" t="s">
        <v>38</v>
      </c>
      <c r="G213" s="34">
        <f>1337.77*B225</f>
        <v>0.0583802828</v>
      </c>
      <c r="H213" s="34">
        <f>1337.77*B225</f>
        <v>0.0583802828</v>
      </c>
      <c r="I213" s="34">
        <f>1337.77*B225</f>
        <v>0.0583802828</v>
      </c>
      <c r="J213" s="34">
        <f>1337.77*B225</f>
        <v>0.0583802828</v>
      </c>
      <c r="K213" s="34">
        <f>1337.77*B225</f>
        <v>0.0583802828</v>
      </c>
      <c r="L213" s="34">
        <f>1337.77*B225</f>
        <v>0.0583802828</v>
      </c>
      <c r="M213" s="34">
        <f>1337.77*B225</f>
        <v>0.0583802828</v>
      </c>
      <c r="N213" s="34">
        <f>1337.77*B225</f>
        <v>0.0583802828</v>
      </c>
      <c r="O213" s="34">
        <f>1337.77*B225</f>
        <v>0.0583802828</v>
      </c>
      <c r="P213" s="34"/>
      <c r="Q213" s="34"/>
      <c r="R213" s="34"/>
      <c r="S213" s="34"/>
      <c r="T213" s="13"/>
      <c r="U213" s="13"/>
      <c r="V213" s="13"/>
      <c r="W213" s="118"/>
    </row>
    <row r="214" spans="1:28" s="2" customFormat="1" ht="13.5" thickTop="1">
      <c r="A214" s="45" t="s">
        <v>7</v>
      </c>
      <c r="B214" s="42"/>
      <c r="C214" s="42"/>
      <c r="D214" s="43">
        <f>SUM(D208:D213)</f>
        <v>2652.065625</v>
      </c>
      <c r="E214" s="43">
        <f>SUM(E208:E213)</f>
        <v>147.00477999152005</v>
      </c>
      <c r="F214" s="42"/>
      <c r="G214" s="43">
        <f aca="true" t="shared" si="10" ref="G214:W214">SUM(G208:G213)</f>
        <v>178.99962434018002</v>
      </c>
      <c r="H214" s="43">
        <f t="shared" si="10"/>
        <v>172.72409309018002</v>
      </c>
      <c r="I214" s="43">
        <f t="shared" si="10"/>
        <v>293.00456206331006</v>
      </c>
      <c r="J214" s="43">
        <f t="shared" si="10"/>
        <v>286.72903059018</v>
      </c>
      <c r="K214" s="43">
        <f t="shared" si="10"/>
        <v>280.45349956331</v>
      </c>
      <c r="L214" s="43">
        <f t="shared" si="10"/>
        <v>274.17796809018006</v>
      </c>
      <c r="M214" s="43">
        <f t="shared" si="10"/>
        <v>198.17431184018</v>
      </c>
      <c r="N214" s="43">
        <f t="shared" si="10"/>
        <v>126.88160240400002</v>
      </c>
      <c r="O214" s="43">
        <f t="shared" si="10"/>
        <v>126.88160240400002</v>
      </c>
      <c r="P214" s="43">
        <f t="shared" si="10"/>
        <v>126.82322212120002</v>
      </c>
      <c r="Q214" s="43">
        <f t="shared" si="10"/>
        <v>126.82322212120002</v>
      </c>
      <c r="R214" s="43">
        <f t="shared" si="10"/>
        <v>126.82322212120002</v>
      </c>
      <c r="S214" s="43">
        <f t="shared" si="10"/>
        <v>96.27522212120002</v>
      </c>
      <c r="T214" s="43">
        <f t="shared" si="10"/>
        <v>96.27522212120002</v>
      </c>
      <c r="U214" s="43">
        <f t="shared" si="10"/>
        <v>96.00800000000001</v>
      </c>
      <c r="V214" s="43">
        <f t="shared" si="10"/>
        <v>96.00800000000001</v>
      </c>
      <c r="W214" s="132">
        <f t="shared" si="10"/>
        <v>96.00800000000001</v>
      </c>
      <c r="AB214" s="88"/>
    </row>
    <row r="215" spans="1:28" s="1" customFormat="1" ht="14.25" customHeight="1" thickBot="1">
      <c r="A215" s="50"/>
      <c r="B215" s="48"/>
      <c r="C215" s="48"/>
      <c r="D215" s="48"/>
      <c r="E215" s="48"/>
      <c r="F215" s="48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8"/>
      <c r="U215" s="48"/>
      <c r="V215" s="48"/>
      <c r="W215" s="129"/>
      <c r="AB215" s="89"/>
    </row>
    <row r="216" spans="1:112" ht="15.75" thickBot="1">
      <c r="A216" s="74" t="s">
        <v>49</v>
      </c>
      <c r="B216" s="28"/>
      <c r="C216" s="28"/>
      <c r="D216" s="101">
        <f>D33+D43+D59+D88+D114+D122+D129+D141+D151+D159+D167+D171+D171+D176+D184+D191+D205+D214</f>
        <v>120550.56992787172</v>
      </c>
      <c r="E216" s="101">
        <f>E33+E43+E59+E88+E114+E122+E129+E141+E151+E159+E167+E171+E171+E176+E184+E191+E205+E214</f>
        <v>33421.88988168467</v>
      </c>
      <c r="F216" s="101"/>
      <c r="G216" s="101">
        <f aca="true" t="shared" si="11" ref="G216:W216">G33+G43+G59+G88+G114+G122+G129+G141+G151+G159+G167+G171+G171+G176+G184+G191+G205+G214</f>
        <v>36055.13513101284</v>
      </c>
      <c r="H216" s="101">
        <f t="shared" si="11"/>
        <v>16569.336218230288</v>
      </c>
      <c r="I216" s="101">
        <f t="shared" si="11"/>
        <v>15713.820695218008</v>
      </c>
      <c r="J216" s="101">
        <f t="shared" si="11"/>
        <v>21949.59456582356</v>
      </c>
      <c r="K216" s="101">
        <f t="shared" si="11"/>
        <v>28543.707451044946</v>
      </c>
      <c r="L216" s="101">
        <f t="shared" si="11"/>
        <v>17058.815997047375</v>
      </c>
      <c r="M216" s="101">
        <f t="shared" si="11"/>
        <v>5595.186879651352</v>
      </c>
      <c r="N216" s="101">
        <f t="shared" si="11"/>
        <v>3731.17842409505</v>
      </c>
      <c r="O216" s="101">
        <f t="shared" si="11"/>
        <v>3337.3035744170006</v>
      </c>
      <c r="P216" s="101">
        <f t="shared" si="11"/>
        <v>1967.1617759712</v>
      </c>
      <c r="Q216" s="101">
        <f t="shared" si="11"/>
        <v>1286.4876200412</v>
      </c>
      <c r="R216" s="101">
        <f t="shared" si="11"/>
        <v>1236.4477267612</v>
      </c>
      <c r="S216" s="101">
        <f t="shared" si="11"/>
        <v>543.9845281212</v>
      </c>
      <c r="T216" s="101">
        <f t="shared" si="11"/>
        <v>96.27522212120002</v>
      </c>
      <c r="U216" s="101">
        <f t="shared" si="11"/>
        <v>96.00800000000001</v>
      </c>
      <c r="V216" s="102">
        <f t="shared" si="11"/>
        <v>96.00800000000001</v>
      </c>
      <c r="W216" s="103">
        <f t="shared" si="11"/>
        <v>96.00800000000001</v>
      </c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</row>
    <row r="217" spans="1:112" ht="15">
      <c r="A217" s="145"/>
      <c r="B217" s="14"/>
      <c r="C217" s="14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</row>
    <row r="218" spans="1:112" ht="15">
      <c r="A218" s="145"/>
      <c r="B218" s="14"/>
      <c r="C218" s="14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</row>
    <row r="219" spans="1:112" ht="12.75">
      <c r="A219" t="s">
        <v>77</v>
      </c>
      <c r="B219" s="14"/>
      <c r="C219" s="14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</row>
    <row r="220" spans="1:112" ht="15">
      <c r="A220" s="145"/>
      <c r="B220" s="14"/>
      <c r="C220" s="14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</row>
    <row r="221" spans="23:112" ht="12.75">
      <c r="W221" s="58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</row>
    <row r="222" spans="1:7" ht="12.75">
      <c r="A222" t="s">
        <v>29</v>
      </c>
      <c r="B222">
        <v>2.2313E-05</v>
      </c>
      <c r="E222" s="51"/>
      <c r="G222" s="58"/>
    </row>
    <row r="223" spans="1:22" ht="12.75">
      <c r="A223" t="s">
        <v>31</v>
      </c>
      <c r="B223">
        <v>4.7311E-05</v>
      </c>
      <c r="E223" s="51"/>
      <c r="V223" s="58"/>
    </row>
    <row r="224" spans="1:2" ht="12.75">
      <c r="A224" t="s">
        <v>36</v>
      </c>
      <c r="B224">
        <v>1.287E-06</v>
      </c>
    </row>
    <row r="225" spans="1:2" ht="12.75">
      <c r="A225" t="s">
        <v>33</v>
      </c>
      <c r="B225">
        <v>4.364E-05</v>
      </c>
    </row>
    <row r="226" spans="1:2" ht="12.75">
      <c r="A226" t="s">
        <v>30</v>
      </c>
      <c r="B226">
        <v>3.171E-06</v>
      </c>
    </row>
    <row r="227" spans="1:2" ht="12.75">
      <c r="A227" t="s">
        <v>35</v>
      </c>
      <c r="B227">
        <v>6.653E-06</v>
      </c>
    </row>
    <row r="231" spans="1:2" ht="12.75">
      <c r="A231" t="s">
        <v>32</v>
      </c>
      <c r="B231">
        <v>1E-06</v>
      </c>
    </row>
    <row r="234" ht="12.75">
      <c r="A234" s="81"/>
    </row>
    <row r="235" ht="12.75">
      <c r="A235" s="81"/>
    </row>
    <row r="237" ht="12.75">
      <c r="A237" s="81"/>
    </row>
  </sheetData>
  <printOptions/>
  <pageMargins left="0.75" right="0.75" top="1" bottom="1" header="0.4921259845" footer="0.4921259845"/>
  <pageSetup horizontalDpi="180" verticalDpi="180" orientation="landscape" paperSize="9" scale="50" r:id="rId1"/>
  <headerFooter alignWithMargins="0">
    <oddHeader xml:space="preserve">&amp;C&amp;"Arial CE,Tučné"&amp;16Prehľad štátnych záruk - splátkový kalendár&amp;14
&amp;R&amp;12Tabuľka č.3 - strana 4...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mf_sr</cp:lastModifiedBy>
  <cp:lastPrinted>2001-10-11T08:45:55Z</cp:lastPrinted>
  <dcterms:created xsi:type="dcterms:W3CDTF">1999-11-30T08:07:18Z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