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010" windowHeight="5625" tabRatio="889" activeTab="0"/>
  </bookViews>
  <sheets>
    <sheet name="zoznam" sheetId="1" r:id="rId1"/>
    <sheet name="vekové skupiny" sheetId="2" r:id="rId2"/>
    <sheet name="stredná dĺžka života" sheetId="3" r:id="rId3"/>
    <sheet name="demografický index závislosti" sheetId="4" r:id="rId4"/>
    <sheet name="HDP na obyv" sheetId="5" r:id="rId5"/>
    <sheet name="miera zam a nezam" sheetId="6" r:id="rId6"/>
    <sheet name="výdavky na dôch" sheetId="7" r:id="rId7"/>
    <sheet name="príjmy-výdavky DP" sheetId="8" r:id="rId8"/>
    <sheet name="verejné financie" sheetId="9" r:id="rId9"/>
    <sheet name="prognóza výdavkov" sheetId="10" r:id="rId10"/>
    <sheet name="faktory zmeny" sheetId="11" r:id="rId11"/>
    <sheet name="dôch-mzda" sheetId="12" r:id="rId12"/>
    <sheet name="ind. miery náhrad" sheetId="13" r:id="rId13"/>
    <sheet name="poistenci a pober" sheetId="14" r:id="rId14"/>
    <sheet name="počet poistencov" sheetId="15" r:id="rId15"/>
    <sheet name="počet dôchodcov" sheetId="16" r:id="rId16"/>
    <sheet name="mzdy" sheetId="17" r:id="rId17"/>
  </sheets>
  <externalReferences>
    <externalReference r:id="rId20"/>
  </externalReferences>
  <definedNames>
    <definedName name="ZZZZZ">#REF!</definedName>
  </definedNames>
  <calcPr fullCalcOnLoad="1"/>
</workbook>
</file>

<file path=xl/sharedStrings.xml><?xml version="1.0" encoding="utf-8"?>
<sst xmlns="http://schemas.openxmlformats.org/spreadsheetml/2006/main" count="484" uniqueCount="318">
  <si>
    <t>Stredná dĺžka života pri narodení - M</t>
  </si>
  <si>
    <t>Stredná dĺžka života vo veku 60 - M</t>
  </si>
  <si>
    <t>Stredná dĺžka života vo veku 60 - Ž</t>
  </si>
  <si>
    <t>Stredná dĺžka života pri narodení - Ž</t>
  </si>
  <si>
    <t>Stredná dĺžka života vo veku 65 - M</t>
  </si>
  <si>
    <t>Stredná dĺžka života vo veku 65 - Ž</t>
  </si>
  <si>
    <t>x</t>
  </si>
  <si>
    <t>Spolu</t>
  </si>
  <si>
    <t>Rodelenie obyvateľstva SR podľa vekových skupín</t>
  </si>
  <si>
    <t>0-14</t>
  </si>
  <si>
    <t>15-24</t>
  </si>
  <si>
    <t>25-44</t>
  </si>
  <si>
    <t>45-59</t>
  </si>
  <si>
    <t>60-64</t>
  </si>
  <si>
    <t>65-74</t>
  </si>
  <si>
    <t>75+</t>
  </si>
  <si>
    <t>Vekové skupiny/Rok</t>
  </si>
  <si>
    <t>65+/15-64</t>
  </si>
  <si>
    <t>HDP na obyvateľa (v štandardoch kúpnej sily)</t>
  </si>
  <si>
    <t>SR</t>
  </si>
  <si>
    <t>Miera zamestnanosti a nezmestnanosti</t>
  </si>
  <si>
    <t>miera zamestnanosti</t>
  </si>
  <si>
    <t>miera nezamestnanosti</t>
  </si>
  <si>
    <t>%</t>
  </si>
  <si>
    <t>EÚ 25 = 100 %</t>
  </si>
  <si>
    <t>Hrubá miery náhrady 2. pilier</t>
  </si>
  <si>
    <t>Hrubá miery náhrady 1. pilier</t>
  </si>
  <si>
    <t>Celková hrubá miera náhrady</t>
  </si>
  <si>
    <t>Celková čistá miera náhrady</t>
  </si>
  <si>
    <t>Základný prípad 100 % priemerných zárobkov</t>
  </si>
  <si>
    <t>2/3 priemerného príjmu</t>
  </si>
  <si>
    <t>Konkávny profil zárobkov</t>
  </si>
  <si>
    <t>Zárobky stúpajúce v priemere od 80 % do 120 %</t>
  </si>
  <si>
    <t>Zárobky stúpajúce v priemere od 100 % do 200 %</t>
  </si>
  <si>
    <t>Prerušené zamestnanie (30 rokov nepretržitej doby zamestnania pri odchode do dôchodku)</t>
  </si>
  <si>
    <t>starobný pomerný</t>
  </si>
  <si>
    <t>invalidný</t>
  </si>
  <si>
    <t>čiastočný invalidný</t>
  </si>
  <si>
    <t>vdovecký</t>
  </si>
  <si>
    <t>sirotský</t>
  </si>
  <si>
    <t>za výsluhu rokov</t>
  </si>
  <si>
    <t>-</t>
  </si>
  <si>
    <t>predčasný starobný</t>
  </si>
  <si>
    <t>iné</t>
  </si>
  <si>
    <t>Rok</t>
  </si>
  <si>
    <t>druh dôchodku</t>
  </si>
  <si>
    <t>Druh dôch.</t>
  </si>
  <si>
    <t>starobný</t>
  </si>
  <si>
    <t>starobný+ starobný pomerný</t>
  </si>
  <si>
    <t>invalidný+ invalidný čiast.</t>
  </si>
  <si>
    <t xml:space="preserve">vdovský-sólo </t>
  </si>
  <si>
    <t>vdovský-sólo</t>
  </si>
  <si>
    <t>v tom:</t>
  </si>
  <si>
    <t>sirotský jednostranný</t>
  </si>
  <si>
    <t>sirotský obojstranný</t>
  </si>
  <si>
    <t>manželky</t>
  </si>
  <si>
    <t>sociálny</t>
  </si>
  <si>
    <t>Úhrn</t>
  </si>
  <si>
    <t>dôch. neprevzaté do aut.evid.</t>
  </si>
  <si>
    <t>Celkový úhrn</t>
  </si>
  <si>
    <t>*) vdovecké dôchodky boli priznávané až od r.1991</t>
  </si>
  <si>
    <t>**)  podľa zákona o sociálnom poistení č.461/2003 Z.z. platného od 1.1.2004 je iné členenie dôchodkov</t>
  </si>
  <si>
    <t>vdovský-v súbehu so:</t>
  </si>
  <si>
    <t>starobným</t>
  </si>
  <si>
    <t>starobným + starobným pomerným</t>
  </si>
  <si>
    <t>starobným pomerným</t>
  </si>
  <si>
    <t>predčasným starobným</t>
  </si>
  <si>
    <t>invalidným</t>
  </si>
  <si>
    <t>invalidným+ čiast. invalidným</t>
  </si>
  <si>
    <t>čiastočným invalidným</t>
  </si>
  <si>
    <t>súbeh spolu</t>
  </si>
  <si>
    <t>vdovský spolu</t>
  </si>
  <si>
    <t>dôch. vyplácané do cudziny</t>
  </si>
  <si>
    <t>dôch. neprev. do aut.ev.</t>
  </si>
  <si>
    <t>závody spolu</t>
  </si>
  <si>
    <t>SZČO</t>
  </si>
  <si>
    <t>dobrovoľne poistení na NP</t>
  </si>
  <si>
    <t>dobrovoľne poistení na DP</t>
  </si>
  <si>
    <t>dobrovoľne poistení na PvN</t>
  </si>
  <si>
    <t>Poistenci   NÚP (FZ SR)</t>
  </si>
  <si>
    <t>Poistenci  štátu na  NP</t>
  </si>
  <si>
    <t>Poistenci  štátu na  DZ/ DP</t>
  </si>
  <si>
    <t>Poistenci  SP na  SP</t>
  </si>
  <si>
    <t>Poistenci  NP spolu</t>
  </si>
  <si>
    <t>Poistenci  SP spolu</t>
  </si>
  <si>
    <t>Poistenci  IP spolu</t>
  </si>
  <si>
    <t>Poistenci  PvN spolu</t>
  </si>
  <si>
    <t>* v rokoch 1995 - 1998 sú počty EA poistencov uvedené ako priemerné stavy zo stavov k rozhodnému dňu v štvrťroku</t>
  </si>
  <si>
    <t>od roku 2004 nadobudol účinnosť zákon č. 461/2003 Z.z. o sociálnom poistení</t>
  </si>
  <si>
    <t>Poistenci  štátu na  DZ</t>
  </si>
  <si>
    <t>Výdavky na dôchodky v % HDP</t>
  </si>
  <si>
    <t>HDP na obyvateľa</t>
  </si>
  <si>
    <t>v Sk (bežné ceny)</t>
  </si>
  <si>
    <t>v PPS</t>
  </si>
  <si>
    <t>6 800 e</t>
  </si>
  <si>
    <t>7 400 e</t>
  </si>
  <si>
    <t>7 900 e</t>
  </si>
  <si>
    <t>8 400 e</t>
  </si>
  <si>
    <t>medziroční rast v Sk</t>
  </si>
  <si>
    <t xml:space="preserve">                     PPS (Purchasing Power Standard) - štandard kúpnej sily je menová jednotka, v ktorej sa navzájom vyrovnávajú rozdiely medzi kúpnou silou jednotiek národných mien</t>
  </si>
  <si>
    <t xml:space="preserve">                     e - odhad</t>
  </si>
  <si>
    <t>Verejné financie - verejný dlh a saldo v % HDP</t>
  </si>
  <si>
    <t>Saldo verejných financií</t>
  </si>
  <si>
    <t>Verejný dlh</t>
  </si>
  <si>
    <t>Prognóza verejných výdavkov na dôchodky</t>
  </si>
  <si>
    <t>starobné poistenie</t>
  </si>
  <si>
    <t>invalidné poistenie</t>
  </si>
  <si>
    <t>Demografia - EUROPOP2004 (Eurostat)</t>
  </si>
  <si>
    <t>Makroekonomické predpoklady - AWG</t>
  </si>
  <si>
    <t>výdavky na dôchodky ako podiel na HDP</t>
  </si>
  <si>
    <t>faktor demografie</t>
  </si>
  <si>
    <t>faktor zamestnanosti</t>
  </si>
  <si>
    <t>faktor nárokov</t>
  </si>
  <si>
    <t>faktor úrovne dávok</t>
  </si>
  <si>
    <t>2005 - 2010</t>
  </si>
  <si>
    <t>2010 - 2020</t>
  </si>
  <si>
    <t>2020 - 2030</t>
  </si>
  <si>
    <t>2030 - 2040</t>
  </si>
  <si>
    <t>2040 - 2050</t>
  </si>
  <si>
    <t>2005 - 2050</t>
  </si>
  <si>
    <t xml:space="preserve">                    Demografický faktor – podiel počtu osôb vo vekovej skupine nad 55 rokov k počtu osôb vo vekovej skupine 15 – 64 rokov (v %)</t>
  </si>
  <si>
    <t xml:space="preserve">                    Faktor zamestnanosti – podiel počtu zamestnaných k vekovej skupine 15-64 (inverzná hodnota, v %)</t>
  </si>
  <si>
    <t xml:space="preserve">                    Faktor nárokov – podiel počtu poberateľov dávok k počtu osôb vo vekovej skupine nad 55 rokov (v %)</t>
  </si>
  <si>
    <t xml:space="preserve">                    Faktor úrovne dávok – podiel ročnej výšky priemerného dôchodku k HDP na jedného zamestnaného</t>
  </si>
  <si>
    <t>EUROPOP2004</t>
  </si>
  <si>
    <t>Predpoklady EPC AWG</t>
  </si>
  <si>
    <t>do 4000</t>
  </si>
  <si>
    <t>4001 - 5000</t>
  </si>
  <si>
    <t xml:space="preserve"> 5001 -   6000</t>
  </si>
  <si>
    <t xml:space="preserve"> 6001 -   7000</t>
  </si>
  <si>
    <t xml:space="preserve"> 7001 -   8000</t>
  </si>
  <si>
    <t xml:space="preserve"> 8001 -   9000</t>
  </si>
  <si>
    <t xml:space="preserve"> 9001 -  10000</t>
  </si>
  <si>
    <t>10001 - 11000</t>
  </si>
  <si>
    <t>11001 - 12000</t>
  </si>
  <si>
    <t>12001 - 13000</t>
  </si>
  <si>
    <t>13001 - 14000</t>
  </si>
  <si>
    <t>14001 - 15000</t>
  </si>
  <si>
    <t>15001 - 16000</t>
  </si>
  <si>
    <t>16001 - 17000</t>
  </si>
  <si>
    <t>17001 - 18000</t>
  </si>
  <si>
    <t>18001 - 19000</t>
  </si>
  <si>
    <t>19001 - 20000</t>
  </si>
  <si>
    <t>20001 - 21000</t>
  </si>
  <si>
    <t>21001 - 22000</t>
  </si>
  <si>
    <t>22001 - 23000</t>
  </si>
  <si>
    <t>23001 - 24000</t>
  </si>
  <si>
    <t>24001 - 25000</t>
  </si>
  <si>
    <t>25001 - 26000</t>
  </si>
  <si>
    <t>26001 - 27000</t>
  </si>
  <si>
    <t>27001 - 28000</t>
  </si>
  <si>
    <t>28001 - 29000</t>
  </si>
  <si>
    <t>29001 - 30000</t>
  </si>
  <si>
    <t>30001 - 35000</t>
  </si>
  <si>
    <t>35001 - 40000</t>
  </si>
  <si>
    <t>40001 - 45000</t>
  </si>
  <si>
    <t>45001 - 50000</t>
  </si>
  <si>
    <t>50001 - 60000</t>
  </si>
  <si>
    <t>60001 a viac</t>
  </si>
  <si>
    <t>Podiely zamestnancov v % podľa pásiem priemernej mzdy za roky 2001 - 2003</t>
  </si>
  <si>
    <t>celkom</t>
  </si>
  <si>
    <t>priemerné mzdy v SK/mesiac</t>
  </si>
  <si>
    <t xml:space="preserve">                     HDP na 1 obyvateľa v PPS = podiel HDP na 1 obyvateľa v Sk a parity kupnej síly vyjadrenej v Sk na PPS</t>
  </si>
  <si>
    <t>Vývoj počtu dôchodkov</t>
  </si>
  <si>
    <t>Vývoj počtu dôchodcov</t>
  </si>
  <si>
    <t>Stredná dĺžka života</t>
  </si>
  <si>
    <t>rozdiel príjmov a výdavkov</t>
  </si>
  <si>
    <t>1960</t>
  </si>
  <si>
    <t>1970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</si>
  <si>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</si>
  <si>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</si>
  <si>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</si>
  <si>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</si>
  <si>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</si>
  <si>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</si>
  <si>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</si>
  <si>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</si>
  <si>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</si>
  <si>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</si>
  <si>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</si>
  <si>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</si>
  <si>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</si>
  <si>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</si>
  <si>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</si>
  <si>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</si>
  <si>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</si>
  <si>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</si>
  <si>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</si>
  <si>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</si>
  <si>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</si>
  <si>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</si>
  <si>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</si>
  <si>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</si>
  <si>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Priem. mes. výška starob. dôchodkov zamestnancov - sólo (v Sk)</t>
  </si>
  <si>
    <t>Priem. mes. mzda v hospodárstve SR (v Sk)</t>
  </si>
  <si>
    <t>Veková skupina 15-64</t>
  </si>
  <si>
    <t>Veková skupina 65+</t>
  </si>
  <si>
    <t>Miera náhrady</t>
  </si>
  <si>
    <t>podiel v % HDP</t>
  </si>
  <si>
    <t>podiel výdavkov na HDP (v %)</t>
  </si>
  <si>
    <t>podiel rozdielu príjmov a výdavkov na HDP (v %)</t>
  </si>
  <si>
    <r>
      <t>vdovecký</t>
    </r>
    <r>
      <rPr>
        <vertAlign val="superscript"/>
        <sz val="10"/>
        <rFont val="Book Antiqua"/>
        <family val="1"/>
      </rPr>
      <t>*)</t>
    </r>
  </si>
  <si>
    <r>
      <t>vdovecký- sólo</t>
    </r>
    <r>
      <rPr>
        <vertAlign val="superscript"/>
        <sz val="10"/>
        <rFont val="Book Antiqua"/>
        <family val="1"/>
      </rPr>
      <t>*)</t>
    </r>
  </si>
  <si>
    <t>Príjmy a výdavky dôchodkového poistenia</t>
  </si>
  <si>
    <t>Individuálne miery náhrad - pomer novopriznaného dôchodku k poslednej mzde</t>
  </si>
  <si>
    <t>Poznámka: v počte dôchodcov nie sú zahrnutí tí, ktorým sa dôchodok vypláca do cudziny</t>
  </si>
  <si>
    <t>Priemerný stav počtu poistencov podľa registra</t>
  </si>
  <si>
    <t>Počet poistencov podľa registra k 31.12.</t>
  </si>
  <si>
    <r>
      <t>Poznámka:</t>
    </r>
    <r>
      <rPr>
        <sz val="9"/>
        <rFont val="Book Antiqua"/>
        <family val="1"/>
      </rPr>
      <t xml:space="preserve"> Projekcia je zostavená podľa predpokladov pracovnej skupiny EPC - Ageing working group</t>
    </r>
  </si>
  <si>
    <t>(v % HDP)</t>
  </si>
  <si>
    <r>
      <t>Zdroj:</t>
    </r>
    <r>
      <rPr>
        <sz val="9"/>
        <rFont val="Book Antiqua"/>
        <family val="1"/>
      </rPr>
      <t xml:space="preserve"> Ministerstvo financií SR</t>
    </r>
  </si>
  <si>
    <r>
      <t xml:space="preserve">Rozpis rastov výdavkov podľa hlavných faktorov zmeny - </t>
    </r>
    <r>
      <rPr>
        <sz val="14"/>
        <rFont val="Book Antiqua"/>
        <family val="1"/>
      </rPr>
      <t>demografia, zamestnanosť, nárok, úroveň dávok</t>
    </r>
  </si>
  <si>
    <r>
      <t xml:space="preserve">Poznámka: </t>
    </r>
    <r>
      <rPr>
        <sz val="9"/>
        <rFont val="Book Antiqua"/>
        <family val="1"/>
      </rPr>
      <t>Podiel výdavkov na dôchodky zodpovedá súčinu 4 faktorov definovaných takto:</t>
    </r>
  </si>
  <si>
    <r>
      <t>2004</t>
    </r>
    <r>
      <rPr>
        <b/>
        <vertAlign val="superscript"/>
        <sz val="12"/>
        <color indexed="9"/>
        <rFont val="Book Antiqua"/>
        <family val="1"/>
      </rPr>
      <t>**)</t>
    </r>
  </si>
  <si>
    <r>
      <t>Zdroj:</t>
    </r>
    <r>
      <rPr>
        <sz val="9"/>
        <rFont val="Book Antiqua"/>
        <family val="1"/>
      </rPr>
      <t xml:space="preserve"> Štatistický úrad SR</t>
    </r>
  </si>
  <si>
    <r>
      <t>Poznámka:</t>
    </r>
    <r>
      <rPr>
        <sz val="9"/>
        <rFont val="Book Antiqua"/>
        <family val="1"/>
      </rPr>
      <t xml:space="preserve"> zamestnanci s plným pracovným časom</t>
    </r>
  </si>
  <si>
    <t>vzťahuje sa len na zamestnanov právnických osôb (podniky)</t>
  </si>
  <si>
    <t>PÁSMA priemerných mesačných miezd v Sk</t>
  </si>
  <si>
    <r>
      <t>Poznámka:</t>
    </r>
    <r>
      <rPr>
        <sz val="9"/>
        <rFont val="Book Antiqua"/>
        <family val="1"/>
      </rPr>
      <t xml:space="preserve"> metodika ESA 95</t>
    </r>
  </si>
  <si>
    <r>
      <t>Zdroj:</t>
    </r>
    <r>
      <rPr>
        <sz val="9"/>
        <rFont val="Book Antiqua"/>
        <family val="1"/>
      </rPr>
      <t xml:space="preserve"> Štatistický úrad SR, Ministerstvo financií SR</t>
    </r>
  </si>
  <si>
    <t>rok</t>
  </si>
  <si>
    <r>
      <t>Zdroj:</t>
    </r>
    <r>
      <rPr>
        <sz val="9"/>
        <rFont val="Book Antiqua"/>
        <family val="1"/>
      </rPr>
      <t xml:space="preserve"> Sociálna poisťovňa</t>
    </r>
  </si>
  <si>
    <r>
      <t>Poznámka:</t>
    </r>
    <r>
      <rPr>
        <sz val="9"/>
        <rFont val="Book Antiqua"/>
        <family val="1"/>
      </rPr>
      <t xml:space="preserve"> Podľa výberového zisťovania pracovných síl, v priemer za rok</t>
    </r>
  </si>
  <si>
    <r>
      <t>Zdroj:</t>
    </r>
    <r>
      <rPr>
        <sz val="9"/>
        <rFont val="Book Antiqua"/>
        <family val="1"/>
      </rPr>
      <t xml:space="preserve"> Štatistický úrad SR, Eurostat (PPS)</t>
    </r>
  </si>
  <si>
    <r>
      <t>Poznámka:</t>
    </r>
    <r>
      <rPr>
        <sz val="9"/>
        <rFont val="Book Antiqua"/>
        <family val="1"/>
      </rPr>
      <t xml:space="preserve"> HDP na 1 obyvateľa v Sk = podiel HDP v bežných cenách a stredného stavu obyvateľov v príslušnom roku</t>
    </r>
  </si>
  <si>
    <r>
      <t>Poznámka:</t>
    </r>
    <r>
      <rPr>
        <sz val="9"/>
        <rFont val="Book Antiqua"/>
        <family val="1"/>
      </rPr>
      <t xml:space="preserve"> Stredný variant projekcie obyvateľstva</t>
    </r>
  </si>
  <si>
    <t>výdavky (v mld. Sk)</t>
  </si>
  <si>
    <t>HDP v b. c. (v mld. Sk)</t>
  </si>
  <si>
    <t>príjmy (v mld. Sk)</t>
  </si>
  <si>
    <r>
      <t>Zdroj:</t>
    </r>
    <r>
      <rPr>
        <sz val="9"/>
        <rFont val="Book Antiqua"/>
        <family val="1"/>
      </rPr>
      <t xml:space="preserve"> Výskumné demografické centrum INFOSTAT</t>
    </r>
  </si>
  <si>
    <t>Poznámky: počet starobných dôchodcov je vrátane vyplácaných dôchodkov do cudziny a neprevzatých do autom.evid.</t>
  </si>
  <si>
    <t>Poistenci ekonomicky aktívni</t>
  </si>
  <si>
    <t>Poistenci štátu</t>
  </si>
  <si>
    <t>Poistenci, za kt.platí poistné SP (do r 2003 platba NÚP)</t>
  </si>
  <si>
    <t>Poistenci celkom</t>
  </si>
  <si>
    <t>Priemerný počet dôchodcov spolu</t>
  </si>
  <si>
    <t>Počet dôchodcov poberajúcich starobný dôchodok</t>
  </si>
  <si>
    <t xml:space="preserve">Počet poistencov na 1 dôchodcu </t>
  </si>
  <si>
    <t>Demografický index závislosti</t>
  </si>
  <si>
    <t>Zoznam tabuliek</t>
  </si>
  <si>
    <t>Názov listu</t>
  </si>
  <si>
    <t>Obsah</t>
  </si>
  <si>
    <t>Tabuľka č. 1</t>
  </si>
  <si>
    <t>Tabuľka č. 2</t>
  </si>
  <si>
    <t>Graf č. 1</t>
  </si>
  <si>
    <t>Tabuľka č. 3</t>
  </si>
  <si>
    <t>Tabuľka č. 4</t>
  </si>
  <si>
    <t>Graf č. 2</t>
  </si>
  <si>
    <t>Graf č. 3</t>
  </si>
  <si>
    <t>Tabuľka č. 5</t>
  </si>
  <si>
    <t>Tabuľka č. 6</t>
  </si>
  <si>
    <t>Graf č. 4</t>
  </si>
  <si>
    <t>Graf č. 5</t>
  </si>
  <si>
    <t>Tabuľka č. 7</t>
  </si>
  <si>
    <t>Tabuľka č. 8</t>
  </si>
  <si>
    <t>Tabuľka č. 9</t>
  </si>
  <si>
    <t>Tabuľka č. 10</t>
  </si>
  <si>
    <t>Graf č. 6</t>
  </si>
  <si>
    <t>Tabuľka č. 11</t>
  </si>
  <si>
    <t>Graf č. 7</t>
  </si>
  <si>
    <t>Tabuľka č. 12</t>
  </si>
  <si>
    <t>Tabuľka č. 13</t>
  </si>
  <si>
    <t>Tabuľka č. 14</t>
  </si>
  <si>
    <t>Tabuľka č. 15</t>
  </si>
  <si>
    <t>Tabuľka č. 16</t>
  </si>
  <si>
    <t>Graf č. 8</t>
  </si>
  <si>
    <t>Graf č. 9</t>
  </si>
  <si>
    <t>Tabuľka č. 17</t>
  </si>
  <si>
    <t>Tabuľka č. 18</t>
  </si>
  <si>
    <t>Graf č. 10</t>
  </si>
  <si>
    <t>Graf č. 11</t>
  </si>
  <si>
    <t>Tabuľka č. 19</t>
  </si>
  <si>
    <t>Tabuľka č. 20</t>
  </si>
  <si>
    <t>Tabuľka č. 21</t>
  </si>
  <si>
    <t>Tabuľka č. 22</t>
  </si>
  <si>
    <t>Tabuľka č. 23</t>
  </si>
  <si>
    <t>Graf č. 12</t>
  </si>
  <si>
    <t>Graf č. 13</t>
  </si>
  <si>
    <t>Graf č. 14</t>
  </si>
  <si>
    <t>Tabuľka</t>
  </si>
  <si>
    <t>vekové skupiny</t>
  </si>
  <si>
    <t>stredná dĺžka života</t>
  </si>
  <si>
    <t>demografický index závislosti</t>
  </si>
  <si>
    <t>HDP na obyv</t>
  </si>
  <si>
    <t>miera zam a nezam</t>
  </si>
  <si>
    <t>výdavky na dôch</t>
  </si>
  <si>
    <t>príjmy-výdavky DP</t>
  </si>
  <si>
    <t>verejné financie</t>
  </si>
  <si>
    <t>prognóza výdavkov</t>
  </si>
  <si>
    <t>faktor zmeny</t>
  </si>
  <si>
    <t>dôch-mzda</t>
  </si>
  <si>
    <t>ind. miery náhrad</t>
  </si>
  <si>
    <t>poistenci a pober</t>
  </si>
  <si>
    <t>počet poistencov</t>
  </si>
  <si>
    <t>počet dôchodcov</t>
  </si>
  <si>
    <t>mzdy</t>
  </si>
  <si>
    <t>Graf</t>
  </si>
  <si>
    <t>1, 2</t>
  </si>
  <si>
    <t>3, 4</t>
  </si>
  <si>
    <t>2, 3</t>
  </si>
  <si>
    <t>5, 6</t>
  </si>
  <si>
    <t>4, 5</t>
  </si>
  <si>
    <t>7, 8</t>
  </si>
  <si>
    <t>14, 15</t>
  </si>
  <si>
    <t>8, 9</t>
  </si>
  <si>
    <t>10, 11, 12, 13</t>
  </si>
  <si>
    <t>19, 20</t>
  </si>
  <si>
    <t>21, 22</t>
  </si>
  <si>
    <t>Rozdelenie obyvateľstva podľa vekových skupín</t>
  </si>
  <si>
    <t>Miera zamestnanosti a nezamestnanosti</t>
  </si>
  <si>
    <t>Verejné financie</t>
  </si>
  <si>
    <t>Rozpis rastov výdavkov podľa hlavných faktorov zmeny - demografia, zamestnanosť, nárok, úroveň dávok</t>
  </si>
  <si>
    <t>Dôchodok - priemerná mzda</t>
  </si>
  <si>
    <t>Individuálne miery náhrad</t>
  </si>
  <si>
    <t>Ekonomicky aktívny poistenci</t>
  </si>
  <si>
    <t>Priemerný stav počtu poistencov</t>
  </si>
  <si>
    <t>Počet dôchodcov a dôchodkov</t>
  </si>
  <si>
    <t>Počty zamestnancov</t>
  </si>
</sst>
</file>

<file path=xl/styles.xml><?xml version="1.0" encoding="utf-8"?>
<styleSheet xmlns="http://schemas.openxmlformats.org/spreadsheetml/2006/main">
  <numFmts count="5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%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#,##0.0"/>
    <numFmt numFmtId="170" formatCode="#,##0.000"/>
    <numFmt numFmtId="171" formatCode="#,##0__\ "/>
    <numFmt numFmtId="172" formatCode="#,##0.0__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00\ 00"/>
    <numFmt numFmtId="182" formatCode="0.0000"/>
    <numFmt numFmtId="183" formatCode="0.000"/>
    <numFmt numFmtId="184" formatCode=";;;"/>
    <numFmt numFmtId="185" formatCode="#,##0_K"/>
    <numFmt numFmtId="186" formatCode="#,###_K"/>
    <numFmt numFmtId="187" formatCode="#,##0_k%_K"/>
    <numFmt numFmtId="188" formatCode="mmmm\ yyyy"/>
    <numFmt numFmtId="189" formatCode="_k@"/>
    <numFmt numFmtId="190" formatCode="#,##0.0,"/>
    <numFmt numFmtId="191" formatCode="#,##0.000_K"/>
    <numFmt numFmtId="192" formatCode="mmm/yyyy"/>
    <numFmt numFmtId="193" formatCode="#,##0,"/>
    <numFmt numFmtId="194" formatCode="#,##0_K\ "/>
    <numFmt numFmtId="195" formatCode="#,##0.00__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\ ###\ ##0\ ;\-\ #\ ##0\ ;\ "/>
    <numFmt numFmtId="200" formatCode="0.000%"/>
    <numFmt numFmtId="201" formatCode="#.0\ ###\ ##0\ ;\-\ #.0\ ##0\ ;\ "/>
    <numFmt numFmtId="202" formatCode="#.00\ ###\ ##0\ ;\-\ #.00\ ##0\ ;\ "/>
    <numFmt numFmtId="203" formatCode="#.000\ ###\ ##0\ ;\-\ #.000\ ##0\ ;\ "/>
    <numFmt numFmtId="204" formatCode="#.\ ###\ ##0\ ;\-\ #.\ ##0\ ;\ "/>
    <numFmt numFmtId="205" formatCode="#.###\ ##0\ ;\-\ #.##0\ ;\ "/>
    <numFmt numFmtId="206" formatCode="#.##\ ##0\ ;\-\ #.##\ ;\ "/>
    <numFmt numFmtId="207" formatCode="#.###\ ##0\ ;\-\ #.###\ ;\ "/>
    <numFmt numFmtId="208" formatCode="#.####\ ##0\ ;\-\ #.####\ ;\ "/>
    <numFmt numFmtId="209" formatCode="#.#\ ##0\ ;\-\ #.#\ ;\ "/>
    <numFmt numFmtId="210" formatCode="#.#####\ ##0\ ;\-\ #.#####\ ;\ "/>
    <numFmt numFmtId="211" formatCode="#,##0.00__"/>
    <numFmt numFmtId="212" formatCode="#,##0.0__\ "/>
    <numFmt numFmtId="213" formatCode="#,##0\ &quot;Sk&quot;"/>
    <numFmt numFmtId="214" formatCode="#,##0.00\ &quot;Sk&quot;"/>
  </numFmts>
  <fonts count="33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.75"/>
      <name val="Arial CE"/>
      <family val="0"/>
    </font>
    <font>
      <sz val="10.5"/>
      <name val="Arial CE"/>
      <family val="0"/>
    </font>
    <font>
      <sz val="16"/>
      <name val="Arial CE"/>
      <family val="0"/>
    </font>
    <font>
      <sz val="14.25"/>
      <name val="Arial CE"/>
      <family val="0"/>
    </font>
    <font>
      <sz val="15.25"/>
      <name val="Arial CE"/>
      <family val="0"/>
    </font>
    <font>
      <sz val="8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vertAlign val="superscript"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8"/>
      <name val="Book Antiqua"/>
      <family val="1"/>
    </font>
    <font>
      <sz val="9"/>
      <color indexed="1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sz val="14.5"/>
      <name val="Arial CE"/>
      <family val="0"/>
    </font>
    <font>
      <b/>
      <sz val="12"/>
      <color indexed="9"/>
      <name val="Book Antiqua"/>
      <family val="1"/>
    </font>
    <font>
      <sz val="14"/>
      <name val="Arial CE"/>
      <family val="0"/>
    </font>
    <font>
      <sz val="12"/>
      <color indexed="9"/>
      <name val="Book Antiqua"/>
      <family val="1"/>
    </font>
    <font>
      <b/>
      <vertAlign val="superscript"/>
      <sz val="12"/>
      <color indexed="9"/>
      <name val="Book Antiqua"/>
      <family val="1"/>
    </font>
    <font>
      <b/>
      <sz val="14"/>
      <color indexed="9"/>
      <name val="Book Antiqua"/>
      <family val="1"/>
    </font>
    <font>
      <sz val="12"/>
      <name val="Arial CE"/>
      <family val="2"/>
    </font>
    <font>
      <sz val="14"/>
      <color indexed="9"/>
      <name val="Book Antiqua"/>
      <family val="1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1" fillId="0" borderId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 applyProtection="1">
      <alignment/>
      <protection locked="0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165" fontId="12" fillId="0" borderId="0" xfId="28" applyNumberFormat="1" applyFont="1" applyAlignment="1">
      <alignment/>
    </xf>
    <xf numFmtId="172" fontId="12" fillId="0" borderId="0" xfId="0" applyNumberFormat="1" applyFont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0" fontId="13" fillId="0" borderId="7" xfId="0" applyFont="1" applyBorder="1" applyAlignment="1">
      <alignment horizontal="right"/>
    </xf>
    <xf numFmtId="3" fontId="13" fillId="0" borderId="0" xfId="0" applyNumberFormat="1" applyFont="1" applyAlignment="1">
      <alignment/>
    </xf>
    <xf numFmtId="3" fontId="13" fillId="0" borderId="9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right"/>
    </xf>
    <xf numFmtId="0" fontId="13" fillId="0" borderId="9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9" xfId="0" applyFont="1" applyBorder="1" applyAlignment="1">
      <alignment horizontal="right"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0" xfId="21" applyFont="1" applyFill="1" applyBorder="1" applyAlignment="1">
      <alignment/>
    </xf>
    <xf numFmtId="0" fontId="14" fillId="0" borderId="12" xfId="21" applyFont="1" applyFill="1" applyBorder="1" applyAlignment="1">
      <alignment horizontal="centerContinuous"/>
    </xf>
    <xf numFmtId="0" fontId="14" fillId="0" borderId="2" xfId="0" applyFont="1" applyBorder="1" applyAlignment="1">
      <alignment horizontal="center"/>
    </xf>
    <xf numFmtId="211" fontId="13" fillId="0" borderId="13" xfId="0" applyNumberFormat="1" applyFont="1" applyBorder="1" applyAlignment="1">
      <alignment horizontal="center"/>
    </xf>
    <xf numFmtId="211" fontId="13" fillId="0" borderId="14" xfId="0" applyNumberFormat="1" applyFont="1" applyBorder="1" applyAlignment="1">
      <alignment horizontal="center"/>
    </xf>
    <xf numFmtId="0" fontId="14" fillId="0" borderId="15" xfId="21" applyFont="1" applyFill="1" applyBorder="1" applyAlignment="1">
      <alignment horizontal="centerContinuous"/>
    </xf>
    <xf numFmtId="0" fontId="14" fillId="0" borderId="0" xfId="21" applyFont="1" applyFill="1" applyBorder="1" applyAlignment="1">
      <alignment horizontal="centerContinuous"/>
    </xf>
    <xf numFmtId="211" fontId="13" fillId="0" borderId="2" xfId="0" applyNumberFormat="1" applyFont="1" applyBorder="1" applyAlignment="1">
      <alignment horizontal="center"/>
    </xf>
    <xf numFmtId="211" fontId="13" fillId="0" borderId="12" xfId="0" applyNumberFormat="1" applyFont="1" applyBorder="1" applyAlignment="1">
      <alignment horizontal="center"/>
    </xf>
    <xf numFmtId="0" fontId="13" fillId="0" borderId="15" xfId="2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2" xfId="21" applyFont="1" applyFill="1" applyBorder="1" applyAlignment="1">
      <alignment horizontal="center"/>
    </xf>
    <xf numFmtId="211" fontId="13" fillId="0" borderId="2" xfId="17" applyNumberFormat="1" applyFont="1" applyFill="1" applyBorder="1" applyAlignment="1">
      <alignment horizontal="center"/>
    </xf>
    <xf numFmtId="211" fontId="13" fillId="0" borderId="12" xfId="17" applyNumberFormat="1" applyFont="1" applyFill="1" applyBorder="1" applyAlignment="1">
      <alignment horizontal="center"/>
    </xf>
    <xf numFmtId="0" fontId="13" fillId="0" borderId="15" xfId="21" applyFont="1" applyFill="1" applyBorder="1" applyAlignment="1">
      <alignment horizontal="center"/>
    </xf>
    <xf numFmtId="0" fontId="13" fillId="0" borderId="0" xfId="22" applyFont="1" applyBorder="1" applyAlignment="1">
      <alignment horizontal="center"/>
      <protection/>
    </xf>
    <xf numFmtId="211" fontId="13" fillId="0" borderId="0" xfId="17" applyNumberFormat="1" applyFont="1" applyFill="1" applyBorder="1" applyAlignment="1">
      <alignment horizontal="center"/>
    </xf>
    <xf numFmtId="199" fontId="13" fillId="0" borderId="2" xfId="27" applyNumberFormat="1" applyFont="1" applyFill="1" applyBorder="1" applyAlignment="1">
      <alignment horizontal="center"/>
      <protection/>
    </xf>
    <xf numFmtId="199" fontId="13" fillId="0" borderId="0" xfId="27" applyNumberFormat="1" applyFont="1" applyFill="1" applyBorder="1" applyAlignment="1">
      <alignment horizontal="center"/>
      <protection/>
    </xf>
    <xf numFmtId="0" fontId="14" fillId="0" borderId="16" xfId="21" applyFont="1" applyFill="1" applyBorder="1" applyAlignment="1">
      <alignment horizontal="left"/>
    </xf>
    <xf numFmtId="0" fontId="14" fillId="0" borderId="17" xfId="21" applyFont="1" applyFill="1" applyBorder="1" applyAlignment="1">
      <alignment/>
    </xf>
    <xf numFmtId="0" fontId="13" fillId="0" borderId="18" xfId="21" applyFont="1" applyFill="1" applyBorder="1" applyAlignment="1">
      <alignment horizontal="center"/>
    </xf>
    <xf numFmtId="199" fontId="13" fillId="0" borderId="4" xfId="27" applyNumberFormat="1" applyFont="1" applyFill="1" applyBorder="1" applyAlignment="1">
      <alignment horizontal="center"/>
      <protection/>
    </xf>
    <xf numFmtId="199" fontId="13" fillId="0" borderId="17" xfId="27" applyNumberFormat="1" applyFont="1" applyFill="1" applyBorder="1" applyAlignment="1">
      <alignment horizontal="center"/>
      <protection/>
    </xf>
    <xf numFmtId="0" fontId="13" fillId="0" borderId="0" xfId="21" applyFont="1" applyFill="1" applyBorder="1" applyAlignment="1">
      <alignment horizontal="left"/>
    </xf>
    <xf numFmtId="0" fontId="14" fillId="0" borderId="0" xfId="21" applyFont="1" applyFill="1" applyBorder="1" applyAlignment="1">
      <alignment/>
    </xf>
    <xf numFmtId="0" fontId="13" fillId="0" borderId="0" xfId="21" applyFont="1" applyFill="1" applyBorder="1" applyAlignment="1">
      <alignment horizontal="center"/>
    </xf>
    <xf numFmtId="199" fontId="13" fillId="0" borderId="0" xfId="27" applyNumberFormat="1" applyFont="1" applyFill="1" applyBorder="1" applyAlignment="1">
      <alignment/>
      <protection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19" xfId="0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3" fontId="13" fillId="0" borderId="22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/>
    </xf>
    <xf numFmtId="0" fontId="14" fillId="0" borderId="23" xfId="0" applyFont="1" applyBorder="1" applyAlignment="1">
      <alignment/>
    </xf>
    <xf numFmtId="3" fontId="14" fillId="0" borderId="24" xfId="0" applyNumberFormat="1" applyFont="1" applyBorder="1" applyAlignment="1">
      <alignment/>
    </xf>
    <xf numFmtId="0" fontId="14" fillId="0" borderId="25" xfId="0" applyFont="1" applyBorder="1" applyAlignment="1">
      <alignment/>
    </xf>
    <xf numFmtId="3" fontId="14" fillId="0" borderId="26" xfId="0" applyNumberFormat="1" applyFont="1" applyBorder="1" applyAlignment="1">
      <alignment/>
    </xf>
    <xf numFmtId="3" fontId="13" fillId="0" borderId="26" xfId="0" applyNumberFormat="1" applyFont="1" applyBorder="1" applyAlignment="1">
      <alignment horizontal="center"/>
    </xf>
    <xf numFmtId="10" fontId="13" fillId="0" borderId="0" xfId="28" applyNumberFormat="1" applyFont="1" applyAlignment="1">
      <alignment/>
    </xf>
    <xf numFmtId="0" fontId="13" fillId="0" borderId="0" xfId="23" applyFont="1">
      <alignment/>
      <protection/>
    </xf>
    <xf numFmtId="164" fontId="13" fillId="0" borderId="0" xfId="23" applyNumberFormat="1" applyFont="1">
      <alignment/>
      <protection/>
    </xf>
    <xf numFmtId="0" fontId="13" fillId="0" borderId="0" xfId="0" applyFont="1" applyAlignment="1" applyProtection="1">
      <alignment/>
      <protection locked="0"/>
    </xf>
    <xf numFmtId="2" fontId="13" fillId="0" borderId="1" xfId="0" applyNumberFormat="1" applyFont="1" applyBorder="1" applyAlignment="1" applyProtection="1">
      <alignment horizontal="center"/>
      <protection locked="0"/>
    </xf>
    <xf numFmtId="2" fontId="13" fillId="0" borderId="1" xfId="23" applyNumberFormat="1" applyFont="1" applyBorder="1" applyAlignment="1">
      <alignment horizontal="center"/>
      <protection/>
    </xf>
    <xf numFmtId="0" fontId="14" fillId="0" borderId="4" xfId="0" applyFont="1" applyBorder="1" applyAlignment="1">
      <alignment horizontal="center"/>
    </xf>
    <xf numFmtId="169" fontId="13" fillId="0" borderId="4" xfId="0" applyNumberFormat="1" applyFont="1" applyBorder="1" applyAlignment="1">
      <alignment horizontal="center"/>
    </xf>
    <xf numFmtId="0" fontId="13" fillId="0" borderId="0" xfId="25" applyFont="1">
      <alignment/>
      <protection/>
    </xf>
    <xf numFmtId="0" fontId="13" fillId="0" borderId="0" xfId="25" applyFont="1" applyAlignment="1">
      <alignment horizontal="center"/>
      <protection/>
    </xf>
    <xf numFmtId="0" fontId="13" fillId="0" borderId="0" xfId="25" applyFont="1" applyAlignment="1">
      <alignment vertical="center"/>
      <protection/>
    </xf>
    <xf numFmtId="0" fontId="13" fillId="0" borderId="0" xfId="25" applyFont="1" applyBorder="1">
      <alignment/>
      <protection/>
    </xf>
    <xf numFmtId="0" fontId="13" fillId="0" borderId="0" xfId="25" applyFont="1" applyBorder="1" applyAlignment="1">
      <alignment horizontal="center"/>
      <protection/>
    </xf>
    <xf numFmtId="0" fontId="10" fillId="0" borderId="0" xfId="25" applyFont="1">
      <alignment/>
      <protection/>
    </xf>
    <xf numFmtId="0" fontId="18" fillId="0" borderId="0" xfId="25" applyFont="1">
      <alignment/>
      <protection/>
    </xf>
    <xf numFmtId="3" fontId="18" fillId="0" borderId="0" xfId="25" applyNumberFormat="1" applyFont="1" applyBorder="1">
      <alignment/>
      <protection/>
    </xf>
    <xf numFmtId="4" fontId="18" fillId="0" borderId="0" xfId="25" applyNumberFormat="1" applyFont="1" applyBorder="1" applyAlignment="1">
      <alignment horizontal="center"/>
      <protection/>
    </xf>
    <xf numFmtId="0" fontId="18" fillId="0" borderId="0" xfId="25" applyFont="1" applyBorder="1" applyAlignment="1">
      <alignment horizontal="center"/>
      <protection/>
    </xf>
    <xf numFmtId="0" fontId="20" fillId="0" borderId="0" xfId="25" applyFont="1">
      <alignment/>
      <protection/>
    </xf>
    <xf numFmtId="0" fontId="18" fillId="0" borderId="0" xfId="25" applyFont="1" applyBorder="1">
      <alignment/>
      <protection/>
    </xf>
    <xf numFmtId="0" fontId="10" fillId="0" borderId="0" xfId="25" applyFont="1" applyAlignment="1">
      <alignment horizontal="center"/>
      <protection/>
    </xf>
    <xf numFmtId="3" fontId="13" fillId="0" borderId="0" xfId="25" applyNumberFormat="1" applyFont="1">
      <alignment/>
      <protection/>
    </xf>
    <xf numFmtId="0" fontId="20" fillId="0" borderId="0" xfId="25" applyFont="1" applyAlignment="1">
      <alignment horizontal="center"/>
      <protection/>
    </xf>
    <xf numFmtId="0" fontId="12" fillId="0" borderId="0" xfId="23" applyFont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172" fontId="13" fillId="0" borderId="13" xfId="0" applyNumberFormat="1" applyFont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72" fontId="13" fillId="0" borderId="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5" fillId="2" borderId="27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25" fillId="2" borderId="29" xfId="0" applyFont="1" applyFill="1" applyBorder="1" applyAlignment="1">
      <alignment/>
    </xf>
    <xf numFmtId="0" fontId="25" fillId="2" borderId="30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172" fontId="13" fillId="0" borderId="3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169" fontId="13" fillId="0" borderId="4" xfId="28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27" fillId="2" borderId="6" xfId="0" applyFont="1" applyFill="1" applyBorder="1" applyAlignment="1">
      <alignment/>
    </xf>
    <xf numFmtId="0" fontId="27" fillId="2" borderId="8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7" fillId="2" borderId="9" xfId="0" applyFont="1" applyFill="1" applyBorder="1" applyAlignment="1">
      <alignment/>
    </xf>
    <xf numFmtId="0" fontId="27" fillId="2" borderId="32" xfId="0" applyFont="1" applyFill="1" applyBorder="1" applyAlignment="1">
      <alignment vertical="center"/>
    </xf>
    <xf numFmtId="0" fontId="25" fillId="2" borderId="33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10" fontId="13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" fontId="25" fillId="2" borderId="29" xfId="26" applyNumberFormat="1" applyFont="1" applyFill="1" applyBorder="1" applyAlignment="1">
      <alignment horizontal="center" vertical="center" wrapText="1"/>
      <protection/>
    </xf>
    <xf numFmtId="1" fontId="25" fillId="2" borderId="34" xfId="26" applyNumberFormat="1" applyFont="1" applyFill="1" applyBorder="1" applyAlignment="1">
      <alignment horizontal="center" vertical="center" wrapText="1"/>
      <protection/>
    </xf>
    <xf numFmtId="1" fontId="25" fillId="2" borderId="35" xfId="26" applyNumberFormat="1" applyFont="1" applyFill="1" applyBorder="1" applyAlignment="1">
      <alignment horizontal="center" vertical="center" wrapText="1"/>
      <protection/>
    </xf>
    <xf numFmtId="1" fontId="25" fillId="2" borderId="31" xfId="26" applyNumberFormat="1" applyFont="1" applyFill="1" applyBorder="1" applyAlignment="1">
      <alignment horizontal="center" vertical="center" wrapText="1"/>
      <protection/>
    </xf>
    <xf numFmtId="213" fontId="14" fillId="0" borderId="1" xfId="0" applyNumberFormat="1" applyFont="1" applyBorder="1" applyAlignment="1" applyProtection="1">
      <alignment horizontal="center"/>
      <protection locked="0"/>
    </xf>
    <xf numFmtId="165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 wrapText="1"/>
    </xf>
    <xf numFmtId="169" fontId="13" fillId="0" borderId="1" xfId="24" applyNumberFormat="1" applyFont="1" applyBorder="1" applyAlignment="1" quotePrefix="1">
      <alignment horizontal="center"/>
      <protection/>
    </xf>
    <xf numFmtId="169" fontId="14" fillId="0" borderId="1" xfId="0" applyNumberFormat="1" applyFont="1" applyBorder="1" applyAlignment="1">
      <alignment horizontal="center"/>
    </xf>
    <xf numFmtId="169" fontId="13" fillId="0" borderId="1" xfId="24" applyNumberFormat="1" applyFont="1" applyFill="1" applyBorder="1" applyAlignment="1" quotePrefix="1">
      <alignment horizontal="center"/>
      <protection/>
    </xf>
    <xf numFmtId="0" fontId="14" fillId="0" borderId="1" xfId="0" applyFont="1" applyBorder="1" applyAlignment="1">
      <alignment/>
    </xf>
    <xf numFmtId="165" fontId="13" fillId="0" borderId="1" xfId="0" applyNumberFormat="1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25" fillId="2" borderId="1" xfId="23" applyFont="1" applyFill="1" applyBorder="1" applyAlignment="1">
      <alignment horizontal="center"/>
      <protection/>
    </xf>
    <xf numFmtId="0" fontId="14" fillId="0" borderId="1" xfId="23" applyFont="1" applyBorder="1" applyAlignment="1">
      <alignment horizontal="center"/>
      <protection/>
    </xf>
    <xf numFmtId="0" fontId="13" fillId="0" borderId="1" xfId="23" applyFont="1" applyBorder="1" applyAlignment="1">
      <alignment horizontal="center"/>
      <protection/>
    </xf>
    <xf numFmtId="0" fontId="25" fillId="2" borderId="1" xfId="23" applyFont="1" applyFill="1" applyBorder="1">
      <alignment/>
      <protection/>
    </xf>
    <xf numFmtId="0" fontId="13" fillId="0" borderId="1" xfId="23" applyFont="1" applyBorder="1">
      <alignment/>
      <protection/>
    </xf>
    <xf numFmtId="0" fontId="14" fillId="0" borderId="1" xfId="23" applyFont="1" applyBorder="1">
      <alignment/>
      <protection/>
    </xf>
    <xf numFmtId="3" fontId="13" fillId="0" borderId="1" xfId="23" applyNumberFormat="1" applyFont="1" applyBorder="1">
      <alignment/>
      <protection/>
    </xf>
    <xf numFmtId="3" fontId="14" fillId="0" borderId="1" xfId="23" applyNumberFormat="1" applyFont="1" applyBorder="1">
      <alignment/>
      <protection/>
    </xf>
    <xf numFmtId="10" fontId="13" fillId="0" borderId="1" xfId="23" applyNumberFormat="1" applyFont="1" applyBorder="1">
      <alignment/>
      <protection/>
    </xf>
    <xf numFmtId="3" fontId="13" fillId="0" borderId="1" xfId="0" applyNumberFormat="1" applyFont="1" applyBorder="1" applyAlignment="1">
      <alignment/>
    </xf>
    <xf numFmtId="10" fontId="13" fillId="0" borderId="1" xfId="28" applyNumberFormat="1" applyFont="1" applyBorder="1" applyAlignment="1">
      <alignment/>
    </xf>
    <xf numFmtId="0" fontId="31" fillId="2" borderId="1" xfId="25" applyFont="1" applyFill="1" applyBorder="1" applyAlignment="1">
      <alignment vertical="center"/>
      <protection/>
    </xf>
    <xf numFmtId="0" fontId="29" fillId="2" borderId="1" xfId="25" applyFont="1" applyFill="1" applyBorder="1" applyAlignment="1">
      <alignment horizontal="center" vertical="center"/>
      <protection/>
    </xf>
    <xf numFmtId="0" fontId="13" fillId="0" borderId="1" xfId="25" applyFont="1" applyBorder="1">
      <alignment/>
      <protection/>
    </xf>
    <xf numFmtId="3" fontId="13" fillId="0" borderId="1" xfId="25" applyNumberFormat="1" applyFont="1" applyBorder="1">
      <alignment/>
      <protection/>
    </xf>
    <xf numFmtId="4" fontId="13" fillId="0" borderId="1" xfId="25" applyNumberFormat="1" applyFont="1" applyBorder="1" applyAlignment="1">
      <alignment horizontal="center"/>
      <protection/>
    </xf>
    <xf numFmtId="3" fontId="13" fillId="0" borderId="0" xfId="25" applyNumberFormat="1" applyFont="1" applyBorder="1">
      <alignment/>
      <protection/>
    </xf>
    <xf numFmtId="0" fontId="21" fillId="0" borderId="0" xfId="0" applyFont="1" applyAlignment="1">
      <alignment horizontal="center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 applyProtection="1">
      <alignment horizontal="center" wrapText="1"/>
      <protection locked="0"/>
    </xf>
    <xf numFmtId="0" fontId="25" fillId="2" borderId="4" xfId="0" applyFont="1" applyFill="1" applyBorder="1" applyAlignment="1" applyProtection="1">
      <alignment horizontal="center" wrapText="1"/>
      <protection locked="0"/>
    </xf>
    <xf numFmtId="0" fontId="25" fillId="2" borderId="3" xfId="0" applyFont="1" applyFill="1" applyBorder="1" applyAlignment="1">
      <alignment horizontal="center" wrapText="1"/>
    </xf>
    <xf numFmtId="0" fontId="25" fillId="2" borderId="4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2" borderId="39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40" xfId="0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3" fillId="0" borderId="41" xfId="21" applyFont="1" applyFill="1" applyBorder="1" applyAlignment="1">
      <alignment horizontal="center"/>
    </xf>
    <xf numFmtId="0" fontId="13" fillId="0" borderId="42" xfId="21" applyFont="1" applyFill="1" applyBorder="1" applyAlignment="1">
      <alignment horizontal="center"/>
    </xf>
    <xf numFmtId="0" fontId="13" fillId="0" borderId="14" xfId="21" applyFont="1" applyFill="1" applyBorder="1" applyAlignment="1">
      <alignment horizontal="center"/>
    </xf>
    <xf numFmtId="0" fontId="21" fillId="0" borderId="0" xfId="21" applyFont="1" applyFill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45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46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169" fontId="13" fillId="0" borderId="13" xfId="0" applyNumberFormat="1" applyFont="1" applyBorder="1" applyAlignment="1">
      <alignment horizontal="center" vertical="center" wrapText="1"/>
    </xf>
    <xf numFmtId="169" fontId="13" fillId="0" borderId="2" xfId="0" applyNumberFormat="1" applyFont="1" applyBorder="1" applyAlignment="1">
      <alignment horizontal="center" vertical="center" wrapText="1"/>
    </xf>
    <xf numFmtId="169" fontId="13" fillId="0" borderId="4" xfId="0" applyNumberFormat="1" applyFont="1" applyBorder="1" applyAlignment="1">
      <alignment horizontal="center" vertical="center" wrapText="1"/>
    </xf>
    <xf numFmtId="169" fontId="13" fillId="0" borderId="3" xfId="0" applyNumberFormat="1" applyFont="1" applyBorder="1" applyAlignment="1">
      <alignment horizontal="center" vertical="center" wrapText="1"/>
    </xf>
    <xf numFmtId="0" fontId="25" fillId="2" borderId="0" xfId="0" applyFont="1" applyFill="1" applyAlignment="1">
      <alignment/>
    </xf>
    <xf numFmtId="0" fontId="25" fillId="2" borderId="1" xfId="0" applyFont="1" applyFill="1" applyBorder="1" applyAlignment="1">
      <alignment/>
    </xf>
    <xf numFmtId="0" fontId="25" fillId="2" borderId="0" xfId="0" applyFont="1" applyFill="1" applyAlignment="1" applyProtection="1">
      <alignment/>
      <protection locked="0"/>
    </xf>
    <xf numFmtId="0" fontId="25" fillId="2" borderId="1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9" fontId="13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5" fillId="2" borderId="36" xfId="0" applyFont="1" applyFill="1" applyBorder="1" applyAlignment="1">
      <alignment horizontal="center"/>
    </xf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Fixed" xfId="17"/>
    <cellStyle name="Hyperlink" xfId="18"/>
    <cellStyle name="Currency" xfId="19"/>
    <cellStyle name="Currency [0]" xfId="20"/>
    <cellStyle name="normal" xfId="21"/>
    <cellStyle name="normálne_definit 2002 NAVRH VYSTUPOV" xfId="22"/>
    <cellStyle name="normálne_Hárok1" xfId="23"/>
    <cellStyle name="normálne_Prehlad od 1993" xfId="24"/>
    <cellStyle name="normálne_Vývoj poistencov  štátu  a Soc.poisťov." xfId="25"/>
    <cellStyle name="normální_Požadavek demografie1993-2050" xfId="26"/>
    <cellStyle name="normální_TABULKY_1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Počet obyvateľov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Rok</c:v>
          </c:tx>
          <c:spPr>
            <a:pattFill prst="wdUpDiag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'vekové skupiny'!$B$4:$H$4</c:f>
              <c:numCache/>
            </c:numRef>
          </c:cat>
          <c:val>
            <c:numRef>
              <c:f>'vekové skupiny'!$B$12:$H$12</c:f>
              <c:numCache/>
            </c:numRef>
          </c:val>
        </c:ser>
        <c:axId val="43968614"/>
        <c:axId val="60173207"/>
      </c:barChart>
      <c:catAx>
        <c:axId val="43968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6861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2700000" scaled="1"/>
    </a:gra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Počet poistencov na 1 dôchodcu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'poistenci a pober'!$A$10</c:f>
              <c:strCache>
                <c:ptCount val="1"/>
                <c:pt idx="0">
                  <c:v>Počet poistencov na 1 dôchodcu </c:v>
                </c:pt>
              </c:strCache>
            </c:strRef>
          </c:tx>
          <c:spPr>
            <a:pattFill prst="dashDn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'poistenci a pober'!$B$3:$U$3</c:f>
              <c:numCache/>
            </c:numRef>
          </c:cat>
          <c:val>
            <c:numRef>
              <c:f>'poistenci a pober'!$B$10:$U$10</c:f>
              <c:numCache/>
            </c:numRef>
          </c:val>
        </c:ser>
        <c:axId val="11720736"/>
        <c:axId val="38377761"/>
      </c:barChart>
      <c:cat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77761"/>
        <c:crosses val="autoZero"/>
        <c:auto val="1"/>
        <c:lblOffset val="100"/>
        <c:tickLblSkip val="2"/>
        <c:noMultiLvlLbl val="0"/>
      </c:catAx>
      <c:valAx>
        <c:axId val="38377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207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Počet poistencov a dôchodcov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85"/>
          <c:w val="0.879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'poistenci a pober'!$A$7</c:f>
              <c:strCache>
                <c:ptCount val="1"/>
                <c:pt idx="0">
                  <c:v>Poistenci celkom</c:v>
                </c:pt>
              </c:strCache>
            </c:strRef>
          </c:tx>
          <c:spPr>
            <a:gradFill rotWithShape="1">
              <a:gsLst>
                <a:gs pos="0">
                  <a:srgbClr val="E9E9E9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'poistenci a pober'!$B$3:$U$3</c:f>
              <c:numCache/>
            </c:numRef>
          </c:cat>
          <c:val>
            <c:numRef>
              <c:f>'poistenci a pober'!$B$7:$U$7</c:f>
              <c:numCache/>
            </c:numRef>
          </c:val>
        </c:ser>
        <c:ser>
          <c:idx val="1"/>
          <c:order val="1"/>
          <c:tx>
            <c:strRef>
              <c:f>'poistenci a pober'!$A$8</c:f>
              <c:strCache>
                <c:ptCount val="1"/>
                <c:pt idx="0">
                  <c:v>Priemerný počet dôchodcov spolu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'poistenci a pober'!$B$3:$U$3</c:f>
              <c:numCache/>
            </c:numRef>
          </c:cat>
          <c:val>
            <c:numRef>
              <c:f>'poistenci a pober'!$B$8:$U$8</c:f>
              <c:numCache/>
            </c:numRef>
          </c:val>
        </c:ser>
        <c:axId val="9855530"/>
        <c:axId val="21590907"/>
      </c:barChart>
      <c:catAx>
        <c:axId val="985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90907"/>
        <c:crosses val="autoZero"/>
        <c:auto val="1"/>
        <c:lblOffset val="100"/>
        <c:tickLblSkip val="3"/>
        <c:noMultiLvlLbl val="0"/>
      </c:catAx>
      <c:valAx>
        <c:axId val="21590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5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"/>
          <c:y val="0.10475"/>
          <c:w val="0.337"/>
          <c:h val="0.1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Ekonomicky aktívni poistenci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25"/>
          <c:w val="0.9197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'poistenci a pober'!$A$4</c:f>
              <c:strCache>
                <c:ptCount val="1"/>
                <c:pt idx="0">
                  <c:v>Poistenci ekonomicky aktívni</c:v>
                </c:pt>
              </c:strCache>
            </c:strRef>
          </c:tx>
          <c:spPr>
            <a:pattFill prst="pct90">
              <a:fgClr>
                <a:srgbClr val="C0C0C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'poistenci a pober'!$B$3:$U$3</c:f>
              <c:numCache/>
            </c:numRef>
          </c:cat>
          <c:val>
            <c:numRef>
              <c:f>'poistenci a pober'!$B$4:$U$4</c:f>
              <c:numCache/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33013"/>
        <c:crosses val="autoZero"/>
        <c:auto val="1"/>
        <c:lblOffset val="100"/>
        <c:tickLblSkip val="3"/>
        <c:noMultiLvlLbl val="0"/>
      </c:catAx>
      <c:valAx>
        <c:axId val="4033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004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ECECEC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Počet poistencov štátu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'poistenci a pober'!$A$5</c:f>
              <c:strCache>
                <c:ptCount val="1"/>
                <c:pt idx="0">
                  <c:v>Poistenci štátu</c:v>
                </c:pt>
              </c:strCache>
            </c:strRef>
          </c:tx>
          <c:spPr>
            <a:pattFill prst="pct5">
              <a:fgClr>
                <a:srgbClr val="80808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'poistenci a pober'!$B$3:$U$3</c:f>
              <c:numCache/>
            </c:numRef>
          </c:cat>
          <c:val>
            <c:numRef>
              <c:f>'poistenci a pober'!$B$5:$U$5</c:f>
              <c:numCache/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38607"/>
        <c:crosses val="autoZero"/>
        <c:auto val="1"/>
        <c:lblOffset val="100"/>
        <c:tickLblSkip val="3"/>
        <c:noMultiLvlLbl val="0"/>
      </c:catAx>
      <c:valAx>
        <c:axId val="58238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2971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Podiely zamestnanov v % podľa pásiem priemernej mzdy v rokoch 2001 - 2003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4625"/>
          <c:w val="0.915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'[1]mzdy'!$D$5</c:f>
              <c:strCache>
                <c:ptCount val="1"/>
                <c:pt idx="0">
                  <c:v>2001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'[1]mzdy'!$M$9:$M$41</c:f>
              <c:strCache>
                <c:ptCount val="33"/>
                <c:pt idx="0">
                  <c:v>do 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  <c:pt idx="11">
                  <c:v>15000</c:v>
                </c:pt>
                <c:pt idx="12">
                  <c:v>16000</c:v>
                </c:pt>
                <c:pt idx="13">
                  <c:v>17000</c:v>
                </c:pt>
                <c:pt idx="14">
                  <c:v>18000</c:v>
                </c:pt>
                <c:pt idx="15">
                  <c:v>19000</c:v>
                </c:pt>
                <c:pt idx="16">
                  <c:v>20000</c:v>
                </c:pt>
                <c:pt idx="17">
                  <c:v>21000</c:v>
                </c:pt>
                <c:pt idx="18">
                  <c:v>22000</c:v>
                </c:pt>
                <c:pt idx="19">
                  <c:v>23000</c:v>
                </c:pt>
                <c:pt idx="20">
                  <c:v>24000</c:v>
                </c:pt>
                <c:pt idx="21">
                  <c:v>25000</c:v>
                </c:pt>
                <c:pt idx="22">
                  <c:v>26000</c:v>
                </c:pt>
                <c:pt idx="23">
                  <c:v>27000</c:v>
                </c:pt>
                <c:pt idx="24">
                  <c:v>28000</c:v>
                </c:pt>
                <c:pt idx="25">
                  <c:v>29000</c:v>
                </c:pt>
                <c:pt idx="26">
                  <c:v>30000</c:v>
                </c:pt>
                <c:pt idx="27">
                  <c:v>35000</c:v>
                </c:pt>
                <c:pt idx="28">
                  <c:v>40000</c:v>
                </c:pt>
                <c:pt idx="29">
                  <c:v>45000</c:v>
                </c:pt>
                <c:pt idx="30">
                  <c:v>50000</c:v>
                </c:pt>
                <c:pt idx="31">
                  <c:v>60000</c:v>
                </c:pt>
                <c:pt idx="32">
                  <c:v>nad 60000</c:v>
                </c:pt>
              </c:strCache>
            </c:strRef>
          </c:cat>
          <c:val>
            <c:numRef>
              <c:f>'[1]mzdy'!$D$9:$D$41</c:f>
              <c:numCache>
                <c:ptCount val="33"/>
                <c:pt idx="0">
                  <c:v>1.3512877704082609</c:v>
                </c:pt>
                <c:pt idx="1">
                  <c:v>2.953410308926689</c:v>
                </c:pt>
                <c:pt idx="2">
                  <c:v>5.3322972553736125</c:v>
                </c:pt>
                <c:pt idx="3">
                  <c:v>7.302291182996166</c:v>
                </c:pt>
                <c:pt idx="4">
                  <c:v>8.119342065990423</c:v>
                </c:pt>
                <c:pt idx="5">
                  <c:v>8.687322552045273</c:v>
                </c:pt>
                <c:pt idx="6">
                  <c:v>9.047695363673656</c:v>
                </c:pt>
                <c:pt idx="7">
                  <c:v>8.847953844050172</c:v>
                </c:pt>
                <c:pt idx="8">
                  <c:v>8.148601221238911</c:v>
                </c:pt>
                <c:pt idx="9">
                  <c:v>7.370072442139652</c:v>
                </c:pt>
                <c:pt idx="10">
                  <c:v>6.082302033878867</c:v>
                </c:pt>
                <c:pt idx="11">
                  <c:v>4.785709769764265</c:v>
                </c:pt>
                <c:pt idx="12">
                  <c:v>3.765756202132243</c:v>
                </c:pt>
                <c:pt idx="13">
                  <c:v>3.048171743889762</c:v>
                </c:pt>
                <c:pt idx="14">
                  <c:v>2.3593318326376322</c:v>
                </c:pt>
                <c:pt idx="15">
                  <c:v>1.8450911518256095</c:v>
                </c:pt>
                <c:pt idx="16">
                  <c:v>1.4130407613849725</c:v>
                </c:pt>
                <c:pt idx="17">
                  <c:v>1.0999383940399543</c:v>
                </c:pt>
                <c:pt idx="18">
                  <c:v>0.961361741669595</c:v>
                </c:pt>
                <c:pt idx="19">
                  <c:v>0.7755146450158721</c:v>
                </c:pt>
                <c:pt idx="20">
                  <c:v>0.653037879578727</c:v>
                </c:pt>
                <c:pt idx="21">
                  <c:v>0.46211821580905976</c:v>
                </c:pt>
                <c:pt idx="22">
                  <c:v>0.5361482895156654</c:v>
                </c:pt>
                <c:pt idx="23">
                  <c:v>0.3977921835416517</c:v>
                </c:pt>
                <c:pt idx="24">
                  <c:v>0.4015414722795234</c:v>
                </c:pt>
                <c:pt idx="25">
                  <c:v>0.3183219653918595</c:v>
                </c:pt>
                <c:pt idx="26">
                  <c:v>0.2934737380702779</c:v>
                </c:pt>
                <c:pt idx="27">
                  <c:v>1.2072709735947151</c:v>
                </c:pt>
                <c:pt idx="28">
                  <c:v>0.7008964475856787</c:v>
                </c:pt>
                <c:pt idx="29">
                  <c:v>0.46961679328480327</c:v>
                </c:pt>
                <c:pt idx="30">
                  <c:v>0.3192041509772411</c:v>
                </c:pt>
                <c:pt idx="31">
                  <c:v>0.3039864496294085</c:v>
                </c:pt>
                <c:pt idx="32">
                  <c:v>0.640099157659797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'[1]mzdy'!$E$5</c:f>
              <c:strCache>
                <c:ptCount val="1"/>
                <c:pt idx="0">
                  <c:v>2002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'[1]mzdy'!$M$9:$M$41</c:f>
              <c:strCache>
                <c:ptCount val="33"/>
                <c:pt idx="0">
                  <c:v>do 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  <c:pt idx="11">
                  <c:v>15000</c:v>
                </c:pt>
                <c:pt idx="12">
                  <c:v>16000</c:v>
                </c:pt>
                <c:pt idx="13">
                  <c:v>17000</c:v>
                </c:pt>
                <c:pt idx="14">
                  <c:v>18000</c:v>
                </c:pt>
                <c:pt idx="15">
                  <c:v>19000</c:v>
                </c:pt>
                <c:pt idx="16">
                  <c:v>20000</c:v>
                </c:pt>
                <c:pt idx="17">
                  <c:v>21000</c:v>
                </c:pt>
                <c:pt idx="18">
                  <c:v>22000</c:v>
                </c:pt>
                <c:pt idx="19">
                  <c:v>23000</c:v>
                </c:pt>
                <c:pt idx="20">
                  <c:v>24000</c:v>
                </c:pt>
                <c:pt idx="21">
                  <c:v>25000</c:v>
                </c:pt>
                <c:pt idx="22">
                  <c:v>26000</c:v>
                </c:pt>
                <c:pt idx="23">
                  <c:v>27000</c:v>
                </c:pt>
                <c:pt idx="24">
                  <c:v>28000</c:v>
                </c:pt>
                <c:pt idx="25">
                  <c:v>29000</c:v>
                </c:pt>
                <c:pt idx="26">
                  <c:v>30000</c:v>
                </c:pt>
                <c:pt idx="27">
                  <c:v>35000</c:v>
                </c:pt>
                <c:pt idx="28">
                  <c:v>40000</c:v>
                </c:pt>
                <c:pt idx="29">
                  <c:v>45000</c:v>
                </c:pt>
                <c:pt idx="30">
                  <c:v>50000</c:v>
                </c:pt>
                <c:pt idx="31">
                  <c:v>60000</c:v>
                </c:pt>
                <c:pt idx="32">
                  <c:v>nad 60000</c:v>
                </c:pt>
              </c:strCache>
            </c:strRef>
          </c:cat>
          <c:val>
            <c:numRef>
              <c:f>'[1]mzdy'!$E$9:$E$41</c:f>
              <c:numCache>
                <c:ptCount val="33"/>
                <c:pt idx="0">
                  <c:v>0</c:v>
                </c:pt>
                <c:pt idx="1">
                  <c:v>1.1602107460952442</c:v>
                </c:pt>
                <c:pt idx="2">
                  <c:v>2.912929192417972</c:v>
                </c:pt>
                <c:pt idx="3">
                  <c:v>5.422800725877654</c:v>
                </c:pt>
                <c:pt idx="4">
                  <c:v>6.752833482400917</c:v>
                </c:pt>
                <c:pt idx="5">
                  <c:v>7.594034804165456</c:v>
                </c:pt>
                <c:pt idx="6">
                  <c:v>8.050728034579844</c:v>
                </c:pt>
                <c:pt idx="7">
                  <c:v>8.602182234403264</c:v>
                </c:pt>
                <c:pt idx="8">
                  <c:v>8.274760796854913</c:v>
                </c:pt>
                <c:pt idx="9">
                  <c:v>7.758536395977187</c:v>
                </c:pt>
                <c:pt idx="10">
                  <c:v>6.869738896861528</c:v>
                </c:pt>
                <c:pt idx="11">
                  <c:v>5.882585550893399</c:v>
                </c:pt>
                <c:pt idx="12">
                  <c:v>4.7127405332497405</c:v>
                </c:pt>
                <c:pt idx="13">
                  <c:v>3.7307638108001617</c:v>
                </c:pt>
                <c:pt idx="14">
                  <c:v>2.987271257948274</c:v>
                </c:pt>
                <c:pt idx="15">
                  <c:v>2.485354469295433</c:v>
                </c:pt>
                <c:pt idx="16">
                  <c:v>2.117598506831705</c:v>
                </c:pt>
                <c:pt idx="17">
                  <c:v>1.8076481736584635</c:v>
                </c:pt>
                <c:pt idx="18">
                  <c:v>1.5787982756091878</c:v>
                </c:pt>
                <c:pt idx="19">
                  <c:v>1.3148623737119554</c:v>
                </c:pt>
                <c:pt idx="20">
                  <c:v>1.1542432495391366</c:v>
                </c:pt>
                <c:pt idx="21">
                  <c:v>0.9660154666007127</c:v>
                </c:pt>
                <c:pt idx="22">
                  <c:v>0.8564436021247164</c:v>
                </c:pt>
                <c:pt idx="23">
                  <c:v>0.7235050342663718</c:v>
                </c:pt>
                <c:pt idx="24">
                  <c:v>0.6225608756546271</c:v>
                </c:pt>
                <c:pt idx="25">
                  <c:v>0.5098255190284052</c:v>
                </c:pt>
                <c:pt idx="26">
                  <c:v>0.4687720186243411</c:v>
                </c:pt>
                <c:pt idx="27">
                  <c:v>1.5740530373838495</c:v>
                </c:pt>
                <c:pt idx="28">
                  <c:v>0.9279816632491364</c:v>
                </c:pt>
                <c:pt idx="29">
                  <c:v>0.5725920791908362</c:v>
                </c:pt>
                <c:pt idx="30">
                  <c:v>0.38213547223748046</c:v>
                </c:pt>
                <c:pt idx="31">
                  <c:v>0.4323199613478777</c:v>
                </c:pt>
                <c:pt idx="32">
                  <c:v>0.7931737591202039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'[1]mzdy'!$F$5</c:f>
              <c:strCache>
                <c:ptCount val="1"/>
                <c:pt idx="0">
                  <c:v>2003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'[1]mzdy'!$M$9:$M$41</c:f>
              <c:strCache>
                <c:ptCount val="33"/>
                <c:pt idx="0">
                  <c:v>do 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  <c:pt idx="11">
                  <c:v>15000</c:v>
                </c:pt>
                <c:pt idx="12">
                  <c:v>16000</c:v>
                </c:pt>
                <c:pt idx="13">
                  <c:v>17000</c:v>
                </c:pt>
                <c:pt idx="14">
                  <c:v>18000</c:v>
                </c:pt>
                <c:pt idx="15">
                  <c:v>19000</c:v>
                </c:pt>
                <c:pt idx="16">
                  <c:v>20000</c:v>
                </c:pt>
                <c:pt idx="17">
                  <c:v>21000</c:v>
                </c:pt>
                <c:pt idx="18">
                  <c:v>22000</c:v>
                </c:pt>
                <c:pt idx="19">
                  <c:v>23000</c:v>
                </c:pt>
                <c:pt idx="20">
                  <c:v>24000</c:v>
                </c:pt>
                <c:pt idx="21">
                  <c:v>25000</c:v>
                </c:pt>
                <c:pt idx="22">
                  <c:v>26000</c:v>
                </c:pt>
                <c:pt idx="23">
                  <c:v>27000</c:v>
                </c:pt>
                <c:pt idx="24">
                  <c:v>28000</c:v>
                </c:pt>
                <c:pt idx="25">
                  <c:v>29000</c:v>
                </c:pt>
                <c:pt idx="26">
                  <c:v>30000</c:v>
                </c:pt>
                <c:pt idx="27">
                  <c:v>35000</c:v>
                </c:pt>
                <c:pt idx="28">
                  <c:v>40000</c:v>
                </c:pt>
                <c:pt idx="29">
                  <c:v>45000</c:v>
                </c:pt>
                <c:pt idx="30">
                  <c:v>50000</c:v>
                </c:pt>
                <c:pt idx="31">
                  <c:v>60000</c:v>
                </c:pt>
                <c:pt idx="32">
                  <c:v>nad 60000</c:v>
                </c:pt>
              </c:strCache>
            </c:strRef>
          </c:cat>
          <c:val>
            <c:numRef>
              <c:f>'[1]mzdy'!$F$9:$F$41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2.815601964787856</c:v>
                </c:pt>
                <c:pt idx="3">
                  <c:v>4.921394495737093</c:v>
                </c:pt>
                <c:pt idx="4">
                  <c:v>6.533854743831689</c:v>
                </c:pt>
                <c:pt idx="5">
                  <c:v>7.101039605746511</c:v>
                </c:pt>
                <c:pt idx="6">
                  <c:v>7.6933328719081135</c:v>
                </c:pt>
                <c:pt idx="7">
                  <c:v>7.940661698491508</c:v>
                </c:pt>
                <c:pt idx="8">
                  <c:v>7.65791603190019</c:v>
                </c:pt>
                <c:pt idx="9">
                  <c:v>7.2955745148960585</c:v>
                </c:pt>
                <c:pt idx="10">
                  <c:v>6.691868337713192</c:v>
                </c:pt>
                <c:pt idx="11">
                  <c:v>5.854749722224472</c:v>
                </c:pt>
                <c:pt idx="12">
                  <c:v>5.0916309491639495</c:v>
                </c:pt>
                <c:pt idx="13">
                  <c:v>4.259519288187785</c:v>
                </c:pt>
                <c:pt idx="14">
                  <c:v>3.4327091084602066</c:v>
                </c:pt>
                <c:pt idx="15">
                  <c:v>2.8779680011427637</c:v>
                </c:pt>
                <c:pt idx="16">
                  <c:v>2.401055583821941</c:v>
                </c:pt>
                <c:pt idx="17">
                  <c:v>2.0083041813224396</c:v>
                </c:pt>
                <c:pt idx="18">
                  <c:v>1.7209933503226174</c:v>
                </c:pt>
                <c:pt idx="19">
                  <c:v>1.4984784012499714</c:v>
                </c:pt>
                <c:pt idx="20">
                  <c:v>1.3117484506052892</c:v>
                </c:pt>
                <c:pt idx="21">
                  <c:v>1.2119775187742388</c:v>
                </c:pt>
                <c:pt idx="22">
                  <c:v>1.0658922577020582</c:v>
                </c:pt>
                <c:pt idx="23">
                  <c:v>0.9635442169307222</c:v>
                </c:pt>
                <c:pt idx="24">
                  <c:v>0.8424937284213146</c:v>
                </c:pt>
                <c:pt idx="25">
                  <c:v>0.729984515256853</c:v>
                </c:pt>
                <c:pt idx="26">
                  <c:v>0.6772642295070138</c:v>
                </c:pt>
                <c:pt idx="27">
                  <c:v>2.087458241631207</c:v>
                </c:pt>
                <c:pt idx="28">
                  <c:v>1.0257629899176135</c:v>
                </c:pt>
                <c:pt idx="29">
                  <c:v>0.6271946843814681</c:v>
                </c:pt>
                <c:pt idx="30">
                  <c:v>0.3911315054513217</c:v>
                </c:pt>
                <c:pt idx="31">
                  <c:v>0.4437781595171528</c:v>
                </c:pt>
                <c:pt idx="32">
                  <c:v>0.8251166509953899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mzdové pásma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podiel zamestnancov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385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29075"/>
          <c:w val="0.15"/>
          <c:h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Stredná dĺžka života pri narodení - prognóza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7375"/>
          <c:w val="0.8502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v>Muži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'stredná dĺžka života'!$D$4:$F$4</c:f>
              <c:numCache/>
            </c:numRef>
          </c:cat>
          <c:val>
            <c:numRef>
              <c:f>'stredná dĺžka života'!$D$5:$F$5</c:f>
              <c:numCache/>
            </c:numRef>
          </c:val>
        </c:ser>
        <c:ser>
          <c:idx val="1"/>
          <c:order val="1"/>
          <c:tx>
            <c:v>Ženy</c:v>
          </c:tx>
          <c:spPr>
            <a:pattFill prst="pct3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'stredná dĺžka života'!$D$4:$F$4</c:f>
              <c:numCache/>
            </c:numRef>
          </c:cat>
          <c:val>
            <c:numRef>
              <c:f>'stredná dĺžka života'!$D$6:$F$6</c:f>
              <c:numCache/>
            </c:numRef>
          </c:val>
        </c:ser>
        <c:axId val="4687952"/>
        <c:axId val="42191569"/>
      </c:barChart>
      <c:cat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Vek</a:t>
                </a:r>
              </a:p>
            </c:rich>
          </c:tx>
          <c:layout>
            <c:manualLayout>
              <c:xMode val="factor"/>
              <c:yMode val="factor"/>
              <c:x val="0.013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79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"/>
          <c:y val="0.17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Stredná dĺžka života pri narodení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725"/>
          <c:w val="0.945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v>Muži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'stredná dĺžka života'!$B$13:$AA$13</c:f>
              <c:strCache/>
            </c:strRef>
          </c:cat>
          <c:val>
            <c:numRef>
              <c:f>'stredná dĺžka života'!$B$14:$AA$14</c:f>
              <c:numCache/>
            </c:numRef>
          </c:val>
        </c:ser>
        <c:ser>
          <c:idx val="1"/>
          <c:order val="1"/>
          <c:tx>
            <c:v>Ženy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'stredná dĺžka života'!$B$13:$AA$13</c:f>
              <c:strCache/>
            </c:strRef>
          </c:cat>
          <c:val>
            <c:numRef>
              <c:f>'stredná dĺžka života'!$B$15:$AA$15</c:f>
              <c:numCache/>
            </c:numRef>
          </c:val>
        </c:ser>
        <c:axId val="44179802"/>
        <c:axId val="62073899"/>
      </c:barChart>
      <c:catAx>
        <c:axId val="4417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73899"/>
        <c:crosses val="autoZero"/>
        <c:auto val="1"/>
        <c:lblOffset val="100"/>
        <c:tickLblSkip val="5"/>
        <c:noMultiLvlLbl val="0"/>
      </c:catAx>
      <c:valAx>
        <c:axId val="6207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7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Demografický index závislosti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3"/>
          <c:w val="0.9132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'demografický index závislosti'!$B$9:$K$9</c:f>
              <c:numCache/>
            </c:numRef>
          </c:cat>
          <c:val>
            <c:numRef>
              <c:f>'demografický index závislosti'!$B$10:$K$10</c:f>
              <c:numCache/>
            </c:numRef>
          </c:val>
        </c:ser>
        <c:gapWidth val="200"/>
        <c:axId val="21794180"/>
        <c:axId val="61929893"/>
      </c:barChart>
      <c:catAx>
        <c:axId val="2179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1929893"/>
        <c:crosses val="autoZero"/>
        <c:auto val="1"/>
        <c:lblOffset val="100"/>
        <c:tickLblSkip val="1"/>
        <c:noMultiLvlLbl val="0"/>
      </c:catAx>
      <c:valAx>
        <c:axId val="61929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9418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E5E5E5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Demografický index závislosti - prognóza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'demografický index závislosti'!$L$9:$P$9</c:f>
              <c:numCache/>
            </c:numRef>
          </c:cat>
          <c:val>
            <c:numRef>
              <c:f>'demografický index závislosti'!$L$10:$P$10</c:f>
              <c:numCache/>
            </c:numRef>
          </c:val>
        </c:ser>
        <c:gapWidth val="200"/>
        <c:axId val="20498126"/>
        <c:axId val="50265407"/>
      </c:barChart>
      <c:catAx>
        <c:axId val="20498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98126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DBDBDB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Výdavky na dôchodky (v % HDP)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gGrid">
              <a:fgClr>
                <a:srgbClr val="C0C0C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'výdavky na dôch'!$A$5:$A$16</c:f>
              <c:numCache/>
            </c:numRef>
          </c:cat>
          <c:val>
            <c:numRef>
              <c:f>'výdavky na dôch'!$D$5:$D$16</c:f>
              <c:numCache/>
            </c:numRef>
          </c:val>
        </c:ser>
        <c:axId val="49735480"/>
        <c:axId val="44966137"/>
      </c:barChart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73548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Rozdiel príjmov a výdavkov dôchodkového poistenia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61"/>
          <c:w val="0.91225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'príjmy-výdavky DP'!$A$7:$A$16</c:f>
              <c:numCache/>
            </c:numRef>
          </c:cat>
          <c:val>
            <c:numRef>
              <c:f>'príjmy-výdavky DP'!$D$7:$D$16</c:f>
              <c:numCache/>
            </c:numRef>
          </c:val>
        </c:ser>
        <c:axId val="2042050"/>
        <c:axId val="18378451"/>
      </c:barChart>
      <c:catAx>
        <c:axId val="204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mld. Sk</a:t>
                </a:r>
              </a:p>
            </c:rich>
          </c:tx>
          <c:layout>
            <c:manualLayout>
              <c:xMode val="factor"/>
              <c:yMode val="factor"/>
              <c:x val="0.0222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205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Priemerná výška dôchodku a mzdy v hospodárstve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33475"/>
          <c:w val="0.9235"/>
          <c:h val="0.5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'dôch-mzda'!$B$2:$B$3</c:f>
              <c:strCache>
                <c:ptCount val="1"/>
                <c:pt idx="0">
                  <c:v>Priem. mes. výška starob. dôchodkov zamestnancov - sólo (v Sk)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'dôch-mzda'!$A$4:$A$14</c:f>
              <c:strCache/>
            </c:strRef>
          </c:cat>
          <c:val>
            <c:numRef>
              <c:f>'dôch-mzda'!$B$4:$B$14</c:f>
              <c:numCache/>
            </c:numRef>
          </c:val>
        </c:ser>
        <c:ser>
          <c:idx val="1"/>
          <c:order val="1"/>
          <c:tx>
            <c:strRef>
              <c:f>'dôch-mzda'!$C$2:$C$3</c:f>
              <c:strCache>
                <c:ptCount val="1"/>
                <c:pt idx="0">
                  <c:v>Priem. mes. mzda v hospodárstve SR (v Sk)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'dôch-mzda'!$A$4:$A$14</c:f>
              <c:strCache/>
            </c:strRef>
          </c:cat>
          <c:val>
            <c:numRef>
              <c:f>'dôch-mzda'!$C$4:$C$14</c:f>
              <c:numCache/>
            </c:numRef>
          </c:val>
        </c:ser>
        <c:axId val="31188332"/>
        <c:axId val="12259533"/>
      </c:barChart>
      <c:catAx>
        <c:axId val="3118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88332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206"/>
          <c:w val="0.713"/>
          <c:h val="0.14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Miera náhrady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'dôch-mzda'!$A$4:$A$14</c:f>
              <c:strCache/>
            </c:strRef>
          </c:cat>
          <c:val>
            <c:numRef>
              <c:f>'dôch-mzda'!$D$4:$D$14</c:f>
              <c:numCache/>
            </c:numRef>
          </c:val>
          <c:smooth val="0"/>
        </c:ser>
        <c:axId val="43226934"/>
        <c:axId val="53498087"/>
      </c:lineChart>
      <c:catAx>
        <c:axId val="4322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  <c:max val="0.55"/>
          <c:min val="0.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269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BEBE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3</xdr:row>
      <xdr:rowOff>9525</xdr:rowOff>
    </xdr:from>
    <xdr:to>
      <xdr:col>16</xdr:col>
      <xdr:colOff>257175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391400" y="619125"/>
        <a:ext cx="5638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20</xdr:row>
      <xdr:rowOff>0</xdr:rowOff>
    </xdr:from>
    <xdr:to>
      <xdr:col>14</xdr:col>
      <xdr:colOff>495300</xdr:colOff>
      <xdr:row>39</xdr:row>
      <xdr:rowOff>9525</xdr:rowOff>
    </xdr:to>
    <xdr:graphicFrame>
      <xdr:nvGraphicFramePr>
        <xdr:cNvPr id="1" name="Chart 3"/>
        <xdr:cNvGraphicFramePr/>
      </xdr:nvGraphicFramePr>
      <xdr:xfrm>
        <a:off x="6515100" y="3552825"/>
        <a:ext cx="56673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20</xdr:row>
      <xdr:rowOff>0</xdr:rowOff>
    </xdr:from>
    <xdr:to>
      <xdr:col>6</xdr:col>
      <xdr:colOff>257175</xdr:colOff>
      <xdr:row>39</xdr:row>
      <xdr:rowOff>28575</xdr:rowOff>
    </xdr:to>
    <xdr:graphicFrame>
      <xdr:nvGraphicFramePr>
        <xdr:cNvPr id="2" name="Chart 6"/>
        <xdr:cNvGraphicFramePr/>
      </xdr:nvGraphicFramePr>
      <xdr:xfrm>
        <a:off x="704850" y="3552825"/>
        <a:ext cx="56769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12</xdr:row>
      <xdr:rowOff>28575</xdr:rowOff>
    </xdr:from>
    <xdr:to>
      <xdr:col>7</xdr:col>
      <xdr:colOff>361950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371475" y="2257425"/>
        <a:ext cx="6200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12</xdr:row>
      <xdr:rowOff>38100</xdr:rowOff>
    </xdr:from>
    <xdr:to>
      <xdr:col>16</xdr:col>
      <xdr:colOff>28575</xdr:colOff>
      <xdr:row>31</xdr:row>
      <xdr:rowOff>38100</xdr:rowOff>
    </xdr:to>
    <xdr:graphicFrame>
      <xdr:nvGraphicFramePr>
        <xdr:cNvPr id="2" name="Chart 2"/>
        <xdr:cNvGraphicFramePr/>
      </xdr:nvGraphicFramePr>
      <xdr:xfrm>
        <a:off x="6848475" y="2266950"/>
        <a:ext cx="56483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85725</xdr:rowOff>
    </xdr:from>
    <xdr:to>
      <xdr:col>3</xdr:col>
      <xdr:colOff>1295400</xdr:colOff>
      <xdr:row>36</xdr:row>
      <xdr:rowOff>38100</xdr:rowOff>
    </xdr:to>
    <xdr:graphicFrame>
      <xdr:nvGraphicFramePr>
        <xdr:cNvPr id="1" name="Chart 4"/>
        <xdr:cNvGraphicFramePr/>
      </xdr:nvGraphicFramePr>
      <xdr:xfrm>
        <a:off x="66675" y="3686175"/>
        <a:ext cx="56864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171450</xdr:rowOff>
    </xdr:from>
    <xdr:to>
      <xdr:col>5</xdr:col>
      <xdr:colOff>695325</xdr:colOff>
      <xdr:row>37</xdr:row>
      <xdr:rowOff>19050</xdr:rowOff>
    </xdr:to>
    <xdr:graphicFrame>
      <xdr:nvGraphicFramePr>
        <xdr:cNvPr id="1" name="Chart 4"/>
        <xdr:cNvGraphicFramePr/>
      </xdr:nvGraphicFramePr>
      <xdr:xfrm>
        <a:off x="238125" y="3590925"/>
        <a:ext cx="56864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</xdr:row>
      <xdr:rowOff>123825</xdr:rowOff>
    </xdr:from>
    <xdr:to>
      <xdr:col>3</xdr:col>
      <xdr:colOff>57150</xdr:colOff>
      <xdr:row>34</xdr:row>
      <xdr:rowOff>19050</xdr:rowOff>
    </xdr:to>
    <xdr:graphicFrame>
      <xdr:nvGraphicFramePr>
        <xdr:cNvPr id="1" name="Chart 8"/>
        <xdr:cNvGraphicFramePr/>
      </xdr:nvGraphicFramePr>
      <xdr:xfrm>
        <a:off x="180975" y="3543300"/>
        <a:ext cx="56769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17</xdr:row>
      <xdr:rowOff>133350</xdr:rowOff>
    </xdr:from>
    <xdr:to>
      <xdr:col>11</xdr:col>
      <xdr:colOff>19050</xdr:colOff>
      <xdr:row>34</xdr:row>
      <xdr:rowOff>28575</xdr:rowOff>
    </xdr:to>
    <xdr:graphicFrame>
      <xdr:nvGraphicFramePr>
        <xdr:cNvPr id="2" name="Chart 9"/>
        <xdr:cNvGraphicFramePr/>
      </xdr:nvGraphicFramePr>
      <xdr:xfrm>
        <a:off x="6038850" y="3552825"/>
        <a:ext cx="56483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14</xdr:row>
      <xdr:rowOff>104775</xdr:rowOff>
    </xdr:from>
    <xdr:to>
      <xdr:col>12</xdr:col>
      <xdr:colOff>85725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6391275" y="3200400"/>
        <a:ext cx="5657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14</xdr:row>
      <xdr:rowOff>85725</xdr:rowOff>
    </xdr:from>
    <xdr:to>
      <xdr:col>3</xdr:col>
      <xdr:colOff>228600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171450" y="3181350"/>
        <a:ext cx="51720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30</xdr:row>
      <xdr:rowOff>9525</xdr:rowOff>
    </xdr:from>
    <xdr:to>
      <xdr:col>3</xdr:col>
      <xdr:colOff>200025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152400" y="6800850"/>
        <a:ext cx="51625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552450</xdr:colOff>
      <xdr:row>30</xdr:row>
      <xdr:rowOff>66675</xdr:rowOff>
    </xdr:from>
    <xdr:to>
      <xdr:col>12</xdr:col>
      <xdr:colOff>142875</xdr:colOff>
      <xdr:row>41</xdr:row>
      <xdr:rowOff>171450</xdr:rowOff>
    </xdr:to>
    <xdr:graphicFrame>
      <xdr:nvGraphicFramePr>
        <xdr:cNvPr id="4" name="Chart 4"/>
        <xdr:cNvGraphicFramePr/>
      </xdr:nvGraphicFramePr>
      <xdr:xfrm>
        <a:off x="6419850" y="6858000"/>
        <a:ext cx="56864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16</xdr:row>
      <xdr:rowOff>38100</xdr:rowOff>
    </xdr:from>
    <xdr:to>
      <xdr:col>15</xdr:col>
      <xdr:colOff>57150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5486400" y="3057525"/>
        <a:ext cx="56769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PSVaR_pril.2_tabulky_I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HDP na obyv"/>
      <sheetName val="veřejné finance"/>
      <sheetName val="prognózy výdajů"/>
      <sheetName val="faktory změny - výd. "/>
      <sheetName val="mzdy"/>
    </sheetNames>
    <sheetDataSet>
      <sheetData sheetId="5">
        <row r="5">
          <cell r="D5">
            <v>2001</v>
          </cell>
          <cell r="E5">
            <v>2002</v>
          </cell>
          <cell r="F5">
            <v>2003</v>
          </cell>
        </row>
        <row r="9">
          <cell r="D9">
            <v>1.3512877704082609</v>
          </cell>
          <cell r="E9" t="str">
            <v>-</v>
          </cell>
          <cell r="F9" t="str">
            <v>-</v>
          </cell>
          <cell r="M9" t="str">
            <v>do 4000</v>
          </cell>
        </row>
        <row r="10">
          <cell r="D10">
            <v>2.953410308926689</v>
          </cell>
          <cell r="E10">
            <v>1.1602107460952442</v>
          </cell>
          <cell r="F10" t="str">
            <v>-</v>
          </cell>
          <cell r="M10">
            <v>5000</v>
          </cell>
        </row>
        <row r="11">
          <cell r="D11">
            <v>5.3322972553736125</v>
          </cell>
          <cell r="E11">
            <v>2.912929192417972</v>
          </cell>
          <cell r="F11">
            <v>2.815601964787856</v>
          </cell>
          <cell r="M11">
            <v>6000</v>
          </cell>
        </row>
        <row r="12">
          <cell r="D12">
            <v>7.302291182996166</v>
          </cell>
          <cell r="E12">
            <v>5.422800725877654</v>
          </cell>
          <cell r="F12">
            <v>4.921394495737093</v>
          </cell>
          <cell r="M12">
            <v>7000</v>
          </cell>
        </row>
        <row r="13">
          <cell r="D13">
            <v>8.119342065990423</v>
          </cell>
          <cell r="E13">
            <v>6.752833482400917</v>
          </cell>
          <cell r="F13">
            <v>6.533854743831689</v>
          </cell>
          <cell r="M13">
            <v>8000</v>
          </cell>
        </row>
        <row r="14">
          <cell r="D14">
            <v>8.687322552045273</v>
          </cell>
          <cell r="E14">
            <v>7.594034804165456</v>
          </cell>
          <cell r="F14">
            <v>7.101039605746511</v>
          </cell>
          <cell r="M14">
            <v>9000</v>
          </cell>
        </row>
        <row r="15">
          <cell r="D15">
            <v>9.047695363673656</v>
          </cell>
          <cell r="E15">
            <v>8.050728034579844</v>
          </cell>
          <cell r="F15">
            <v>7.6933328719081135</v>
          </cell>
          <cell r="M15">
            <v>10000</v>
          </cell>
        </row>
        <row r="16">
          <cell r="D16">
            <v>8.847953844050172</v>
          </cell>
          <cell r="E16">
            <v>8.602182234403264</v>
          </cell>
          <cell r="F16">
            <v>7.940661698491508</v>
          </cell>
          <cell r="M16">
            <v>11000</v>
          </cell>
        </row>
        <row r="17">
          <cell r="D17">
            <v>8.148601221238911</v>
          </cell>
          <cell r="E17">
            <v>8.274760796854913</v>
          </cell>
          <cell r="F17">
            <v>7.65791603190019</v>
          </cell>
          <cell r="M17">
            <v>12000</v>
          </cell>
        </row>
        <row r="18">
          <cell r="D18">
            <v>7.370072442139652</v>
          </cell>
          <cell r="E18">
            <v>7.758536395977187</v>
          </cell>
          <cell r="F18">
            <v>7.2955745148960585</v>
          </cell>
          <cell r="M18">
            <v>13000</v>
          </cell>
        </row>
        <row r="19">
          <cell r="D19">
            <v>6.082302033878867</v>
          </cell>
          <cell r="E19">
            <v>6.869738896861528</v>
          </cell>
          <cell r="F19">
            <v>6.691868337713192</v>
          </cell>
          <cell r="M19">
            <v>14000</v>
          </cell>
        </row>
        <row r="20">
          <cell r="D20">
            <v>4.785709769764265</v>
          </cell>
          <cell r="E20">
            <v>5.882585550893399</v>
          </cell>
          <cell r="F20">
            <v>5.854749722224472</v>
          </cell>
          <cell r="M20">
            <v>15000</v>
          </cell>
        </row>
        <row r="21">
          <cell r="D21">
            <v>3.765756202132243</v>
          </cell>
          <cell r="E21">
            <v>4.7127405332497405</v>
          </cell>
          <cell r="F21">
            <v>5.0916309491639495</v>
          </cell>
          <cell r="M21">
            <v>16000</v>
          </cell>
        </row>
        <row r="22">
          <cell r="D22">
            <v>3.048171743889762</v>
          </cell>
          <cell r="E22">
            <v>3.7307638108001617</v>
          </cell>
          <cell r="F22">
            <v>4.259519288187785</v>
          </cell>
          <cell r="M22">
            <v>17000</v>
          </cell>
        </row>
        <row r="23">
          <cell r="D23">
            <v>2.3593318326376322</v>
          </cell>
          <cell r="E23">
            <v>2.987271257948274</v>
          </cell>
          <cell r="F23">
            <v>3.4327091084602066</v>
          </cell>
          <cell r="M23">
            <v>18000</v>
          </cell>
        </row>
        <row r="24">
          <cell r="D24">
            <v>1.8450911518256095</v>
          </cell>
          <cell r="E24">
            <v>2.485354469295433</v>
          </cell>
          <cell r="F24">
            <v>2.8779680011427637</v>
          </cell>
          <cell r="M24">
            <v>19000</v>
          </cell>
        </row>
        <row r="25">
          <cell r="D25">
            <v>1.4130407613849725</v>
          </cell>
          <cell r="E25">
            <v>2.117598506831705</v>
          </cell>
          <cell r="F25">
            <v>2.401055583821941</v>
          </cell>
          <cell r="M25">
            <v>20000</v>
          </cell>
        </row>
        <row r="26">
          <cell r="D26">
            <v>1.0999383940399543</v>
          </cell>
          <cell r="E26">
            <v>1.8076481736584635</v>
          </cell>
          <cell r="F26">
            <v>2.0083041813224396</v>
          </cell>
          <cell r="M26">
            <v>21000</v>
          </cell>
        </row>
        <row r="27">
          <cell r="D27">
            <v>0.961361741669595</v>
          </cell>
          <cell r="E27">
            <v>1.5787982756091878</v>
          </cell>
          <cell r="F27">
            <v>1.7209933503226174</v>
          </cell>
          <cell r="M27">
            <v>22000</v>
          </cell>
        </row>
        <row r="28">
          <cell r="D28">
            <v>0.7755146450158721</v>
          </cell>
          <cell r="E28">
            <v>1.3148623737119554</v>
          </cell>
          <cell r="F28">
            <v>1.4984784012499714</v>
          </cell>
          <cell r="M28">
            <v>23000</v>
          </cell>
        </row>
        <row r="29">
          <cell r="D29">
            <v>0.653037879578727</v>
          </cell>
          <cell r="E29">
            <v>1.1542432495391366</v>
          </cell>
          <cell r="F29">
            <v>1.3117484506052892</v>
          </cell>
          <cell r="M29">
            <v>24000</v>
          </cell>
        </row>
        <row r="30">
          <cell r="D30">
            <v>0.46211821580905976</v>
          </cell>
          <cell r="E30">
            <v>0.9660154666007127</v>
          </cell>
          <cell r="F30">
            <v>1.2119775187742388</v>
          </cell>
          <cell r="M30">
            <v>25000</v>
          </cell>
        </row>
        <row r="31">
          <cell r="D31">
            <v>0.5361482895156654</v>
          </cell>
          <cell r="E31">
            <v>0.8564436021247164</v>
          </cell>
          <cell r="F31">
            <v>1.0658922577020582</v>
          </cell>
          <cell r="M31">
            <v>26000</v>
          </cell>
        </row>
        <row r="32">
          <cell r="D32">
            <v>0.3977921835416517</v>
          </cell>
          <cell r="E32">
            <v>0.7235050342663718</v>
          </cell>
          <cell r="F32">
            <v>0.9635442169307222</v>
          </cell>
          <cell r="M32">
            <v>27000</v>
          </cell>
        </row>
        <row r="33">
          <cell r="D33">
            <v>0.4015414722795234</v>
          </cell>
          <cell r="E33">
            <v>0.6225608756546271</v>
          </cell>
          <cell r="F33">
            <v>0.8424937284213146</v>
          </cell>
          <cell r="M33">
            <v>28000</v>
          </cell>
        </row>
        <row r="34">
          <cell r="D34">
            <v>0.3183219653918595</v>
          </cell>
          <cell r="E34">
            <v>0.5098255190284052</v>
          </cell>
          <cell r="F34">
            <v>0.729984515256853</v>
          </cell>
          <cell r="M34">
            <v>29000</v>
          </cell>
        </row>
        <row r="35">
          <cell r="D35">
            <v>0.2934737380702779</v>
          </cell>
          <cell r="E35">
            <v>0.4687720186243411</v>
          </cell>
          <cell r="F35">
            <v>0.6772642295070138</v>
          </cell>
          <cell r="M35">
            <v>30000</v>
          </cell>
        </row>
        <row r="36">
          <cell r="D36">
            <v>1.2072709735947151</v>
          </cell>
          <cell r="E36">
            <v>1.5740530373838495</v>
          </cell>
          <cell r="F36">
            <v>2.087458241631207</v>
          </cell>
          <cell r="M36">
            <v>35000</v>
          </cell>
        </row>
        <row r="37">
          <cell r="D37">
            <v>0.7008964475856787</v>
          </cell>
          <cell r="E37">
            <v>0.9279816632491364</v>
          </cell>
          <cell r="F37">
            <v>1.0257629899176135</v>
          </cell>
          <cell r="M37">
            <v>40000</v>
          </cell>
        </row>
        <row r="38">
          <cell r="D38">
            <v>0.46961679328480327</v>
          </cell>
          <cell r="E38">
            <v>0.5725920791908362</v>
          </cell>
          <cell r="F38">
            <v>0.6271946843814681</v>
          </cell>
          <cell r="M38">
            <v>45000</v>
          </cell>
        </row>
        <row r="39">
          <cell r="D39">
            <v>0.3192041509772411</v>
          </cell>
          <cell r="E39">
            <v>0.38213547223748046</v>
          </cell>
          <cell r="F39">
            <v>0.3911315054513217</v>
          </cell>
          <cell r="M39">
            <v>50000</v>
          </cell>
        </row>
        <row r="40">
          <cell r="D40">
            <v>0.3039864496294085</v>
          </cell>
          <cell r="E40">
            <v>0.4323199613478777</v>
          </cell>
          <cell r="F40">
            <v>0.4437781595171528</v>
          </cell>
          <cell r="M40">
            <v>60000</v>
          </cell>
        </row>
        <row r="41">
          <cell r="D41">
            <v>0.640099157659797</v>
          </cell>
          <cell r="E41">
            <v>0.7931737591202039</v>
          </cell>
          <cell r="F41">
            <v>0.8251166509953899</v>
          </cell>
          <cell r="M41" t="str">
            <v>nad 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0"/>
  <sheetViews>
    <sheetView tabSelected="1" workbookViewId="0" topLeftCell="A1">
      <selection activeCell="A10" sqref="A10:A11"/>
    </sheetView>
  </sheetViews>
  <sheetFormatPr defaultColWidth="9.00390625" defaultRowHeight="12.75"/>
  <cols>
    <col min="1" max="1" width="26.375" style="3" bestFit="1" customWidth="1"/>
    <col min="2" max="2" width="9.75390625" style="3" bestFit="1" customWidth="1"/>
    <col min="3" max="3" width="11.625" style="3" bestFit="1" customWidth="1"/>
    <col min="4" max="16384" width="9.125" style="3" customWidth="1"/>
  </cols>
  <sheetData>
    <row r="4" spans="1:7" ht="18.75">
      <c r="A4" s="180" t="s">
        <v>239</v>
      </c>
      <c r="B4" s="180"/>
      <c r="C4" s="180"/>
      <c r="D4" s="180"/>
      <c r="E4" s="180"/>
      <c r="F4" s="180"/>
      <c r="G4" s="180"/>
    </row>
    <row r="7" spans="1:7" ht="16.5">
      <c r="A7" s="151" t="s">
        <v>240</v>
      </c>
      <c r="B7" s="151" t="s">
        <v>279</v>
      </c>
      <c r="C7" s="151" t="s">
        <v>296</v>
      </c>
      <c r="D7" s="252" t="s">
        <v>241</v>
      </c>
      <c r="E7" s="253"/>
      <c r="F7" s="253"/>
      <c r="G7" s="254"/>
    </row>
    <row r="8" spans="1:7" ht="13.5">
      <c r="A8" s="249" t="s">
        <v>280</v>
      </c>
      <c r="B8" s="249" t="s">
        <v>297</v>
      </c>
      <c r="C8" s="249">
        <v>1</v>
      </c>
      <c r="D8" s="248" t="s">
        <v>308</v>
      </c>
      <c r="E8" s="248"/>
      <c r="F8" s="248"/>
      <c r="G8" s="248"/>
    </row>
    <row r="9" spans="1:7" ht="13.5">
      <c r="A9" s="249"/>
      <c r="B9" s="249"/>
      <c r="C9" s="249"/>
      <c r="D9" s="248"/>
      <c r="E9" s="248"/>
      <c r="F9" s="248"/>
      <c r="G9" s="248"/>
    </row>
    <row r="10" spans="1:7" ht="13.5">
      <c r="A10" s="249" t="s">
        <v>281</v>
      </c>
      <c r="B10" s="249" t="s">
        <v>298</v>
      </c>
      <c r="C10" s="249" t="s">
        <v>299</v>
      </c>
      <c r="D10" s="249" t="s">
        <v>165</v>
      </c>
      <c r="E10" s="249"/>
      <c r="F10" s="249"/>
      <c r="G10" s="249"/>
    </row>
    <row r="11" spans="1:7" ht="13.5">
      <c r="A11" s="249"/>
      <c r="B11" s="249"/>
      <c r="C11" s="249"/>
      <c r="D11" s="249"/>
      <c r="E11" s="249"/>
      <c r="F11" s="249"/>
      <c r="G11" s="249"/>
    </row>
    <row r="12" spans="1:7" ht="13.5">
      <c r="A12" s="249" t="s">
        <v>282</v>
      </c>
      <c r="B12" s="249" t="s">
        <v>300</v>
      </c>
      <c r="C12" s="249" t="s">
        <v>301</v>
      </c>
      <c r="D12" s="249" t="s">
        <v>238</v>
      </c>
      <c r="E12" s="249"/>
      <c r="F12" s="249"/>
      <c r="G12" s="249"/>
    </row>
    <row r="13" spans="1:7" ht="13.5">
      <c r="A13" s="249"/>
      <c r="B13" s="249"/>
      <c r="C13" s="249"/>
      <c r="D13" s="249"/>
      <c r="E13" s="249"/>
      <c r="F13" s="249"/>
      <c r="G13" s="249"/>
    </row>
    <row r="14" spans="1:7" ht="13.5">
      <c r="A14" s="249" t="s">
        <v>283</v>
      </c>
      <c r="B14" s="249" t="s">
        <v>302</v>
      </c>
      <c r="C14" s="249"/>
      <c r="D14" s="249" t="s">
        <v>91</v>
      </c>
      <c r="E14" s="249"/>
      <c r="F14" s="249"/>
      <c r="G14" s="249"/>
    </row>
    <row r="15" spans="1:7" ht="13.5">
      <c r="A15" s="249"/>
      <c r="B15" s="249"/>
      <c r="C15" s="249"/>
      <c r="D15" s="249"/>
      <c r="E15" s="249"/>
      <c r="F15" s="249"/>
      <c r="G15" s="249"/>
    </row>
    <row r="16" spans="1:7" ht="13.5">
      <c r="A16" s="249" t="s">
        <v>284</v>
      </c>
      <c r="B16" s="249">
        <v>9</v>
      </c>
      <c r="C16" s="249"/>
      <c r="D16" s="249" t="s">
        <v>309</v>
      </c>
      <c r="E16" s="249"/>
      <c r="F16" s="249"/>
      <c r="G16" s="249"/>
    </row>
    <row r="17" spans="1:7" ht="13.5">
      <c r="A17" s="249"/>
      <c r="B17" s="249"/>
      <c r="C17" s="249"/>
      <c r="D17" s="249"/>
      <c r="E17" s="249"/>
      <c r="F17" s="249"/>
      <c r="G17" s="249"/>
    </row>
    <row r="18" spans="1:7" ht="13.5">
      <c r="A18" s="249" t="s">
        <v>285</v>
      </c>
      <c r="B18" s="249">
        <v>10</v>
      </c>
      <c r="C18" s="249">
        <v>6</v>
      </c>
      <c r="D18" s="249" t="s">
        <v>90</v>
      </c>
      <c r="E18" s="249"/>
      <c r="F18" s="249"/>
      <c r="G18" s="249"/>
    </row>
    <row r="19" spans="1:7" ht="13.5">
      <c r="A19" s="249"/>
      <c r="B19" s="249"/>
      <c r="C19" s="249"/>
      <c r="D19" s="249"/>
      <c r="E19" s="249"/>
      <c r="F19" s="249"/>
      <c r="G19" s="249"/>
    </row>
    <row r="20" spans="1:7" ht="13.5">
      <c r="A20" s="249" t="s">
        <v>286</v>
      </c>
      <c r="B20" s="249">
        <v>11</v>
      </c>
      <c r="C20" s="249">
        <v>7</v>
      </c>
      <c r="D20" s="249" t="s">
        <v>203</v>
      </c>
      <c r="E20" s="249"/>
      <c r="F20" s="249"/>
      <c r="G20" s="249"/>
    </row>
    <row r="21" spans="1:7" ht="13.5">
      <c r="A21" s="249"/>
      <c r="B21" s="249"/>
      <c r="C21" s="249"/>
      <c r="D21" s="249"/>
      <c r="E21" s="249"/>
      <c r="F21" s="249"/>
      <c r="G21" s="249"/>
    </row>
    <row r="22" spans="1:7" ht="13.5">
      <c r="A22" s="249" t="s">
        <v>287</v>
      </c>
      <c r="B22" s="249">
        <v>12</v>
      </c>
      <c r="C22" s="249"/>
      <c r="D22" s="249" t="s">
        <v>310</v>
      </c>
      <c r="E22" s="249"/>
      <c r="F22" s="249"/>
      <c r="G22" s="249"/>
    </row>
    <row r="23" spans="1:7" ht="13.5">
      <c r="A23" s="249"/>
      <c r="B23" s="249"/>
      <c r="C23" s="249"/>
      <c r="D23" s="249"/>
      <c r="E23" s="249"/>
      <c r="F23" s="249"/>
      <c r="G23" s="249"/>
    </row>
    <row r="24" spans="1:7" ht="13.5">
      <c r="A24" s="249" t="s">
        <v>288</v>
      </c>
      <c r="B24" s="249">
        <v>13</v>
      </c>
      <c r="C24" s="249"/>
      <c r="D24" s="249" t="s">
        <v>104</v>
      </c>
      <c r="E24" s="249"/>
      <c r="F24" s="249"/>
      <c r="G24" s="249"/>
    </row>
    <row r="25" spans="1:7" ht="13.5">
      <c r="A25" s="249"/>
      <c r="B25" s="249"/>
      <c r="C25" s="249"/>
      <c r="D25" s="249"/>
      <c r="E25" s="249"/>
      <c r="F25" s="249"/>
      <c r="G25" s="249"/>
    </row>
    <row r="26" spans="1:7" ht="13.5">
      <c r="A26" s="249" t="s">
        <v>289</v>
      </c>
      <c r="B26" s="249" t="s">
        <v>303</v>
      </c>
      <c r="C26" s="249"/>
      <c r="D26" s="248" t="s">
        <v>311</v>
      </c>
      <c r="E26" s="248"/>
      <c r="F26" s="248"/>
      <c r="G26" s="248"/>
    </row>
    <row r="27" spans="1:7" ht="13.5">
      <c r="A27" s="249"/>
      <c r="B27" s="249"/>
      <c r="C27" s="249"/>
      <c r="D27" s="248"/>
      <c r="E27" s="248"/>
      <c r="F27" s="248"/>
      <c r="G27" s="248"/>
    </row>
    <row r="28" spans="1:7" ht="13.5">
      <c r="A28" s="249"/>
      <c r="B28" s="249"/>
      <c r="C28" s="249"/>
      <c r="D28" s="248"/>
      <c r="E28" s="248"/>
      <c r="F28" s="248"/>
      <c r="G28" s="248"/>
    </row>
    <row r="29" spans="1:7" ht="13.5">
      <c r="A29" s="249" t="s">
        <v>290</v>
      </c>
      <c r="B29" s="250">
        <v>16</v>
      </c>
      <c r="C29" s="249" t="s">
        <v>304</v>
      </c>
      <c r="D29" s="249" t="s">
        <v>312</v>
      </c>
      <c r="E29" s="249"/>
      <c r="F29" s="249"/>
      <c r="G29" s="249"/>
    </row>
    <row r="30" spans="1:7" ht="13.5">
      <c r="A30" s="249"/>
      <c r="B30" s="251"/>
      <c r="C30" s="249"/>
      <c r="D30" s="249"/>
      <c r="E30" s="249"/>
      <c r="F30" s="249"/>
      <c r="G30" s="249"/>
    </row>
    <row r="31" spans="1:7" ht="13.5">
      <c r="A31" s="249" t="s">
        <v>291</v>
      </c>
      <c r="B31" s="249">
        <v>17</v>
      </c>
      <c r="C31" s="249"/>
      <c r="D31" s="249" t="s">
        <v>313</v>
      </c>
      <c r="E31" s="249"/>
      <c r="F31" s="249"/>
      <c r="G31" s="249"/>
    </row>
    <row r="32" spans="1:7" ht="13.5">
      <c r="A32" s="249"/>
      <c r="B32" s="249"/>
      <c r="C32" s="249"/>
      <c r="D32" s="249"/>
      <c r="E32" s="249"/>
      <c r="F32" s="249"/>
      <c r="G32" s="249"/>
    </row>
    <row r="33" spans="1:7" ht="13.5">
      <c r="A33" s="249" t="s">
        <v>292</v>
      </c>
      <c r="B33" s="249">
        <v>18</v>
      </c>
      <c r="C33" s="249" t="s">
        <v>305</v>
      </c>
      <c r="D33" s="249" t="s">
        <v>314</v>
      </c>
      <c r="E33" s="249"/>
      <c r="F33" s="249"/>
      <c r="G33" s="249"/>
    </row>
    <row r="34" spans="1:7" ht="13.5">
      <c r="A34" s="249"/>
      <c r="B34" s="249"/>
      <c r="C34" s="249"/>
      <c r="D34" s="249"/>
      <c r="E34" s="249"/>
      <c r="F34" s="249"/>
      <c r="G34" s="249"/>
    </row>
    <row r="35" spans="1:7" ht="13.5">
      <c r="A35" s="249" t="s">
        <v>293</v>
      </c>
      <c r="B35" s="249" t="s">
        <v>306</v>
      </c>
      <c r="C35" s="249"/>
      <c r="D35" s="249" t="s">
        <v>315</v>
      </c>
      <c r="E35" s="249"/>
      <c r="F35" s="249"/>
      <c r="G35" s="249"/>
    </row>
    <row r="36" spans="1:7" ht="13.5">
      <c r="A36" s="249"/>
      <c r="B36" s="249"/>
      <c r="C36" s="249"/>
      <c r="D36" s="249"/>
      <c r="E36" s="249"/>
      <c r="F36" s="249"/>
      <c r="G36" s="249"/>
    </row>
    <row r="37" spans="1:7" ht="13.5">
      <c r="A37" s="249" t="s">
        <v>294</v>
      </c>
      <c r="B37" s="249" t="s">
        <v>307</v>
      </c>
      <c r="C37" s="249"/>
      <c r="D37" s="249" t="s">
        <v>316</v>
      </c>
      <c r="E37" s="249"/>
      <c r="F37" s="249"/>
      <c r="G37" s="249"/>
    </row>
    <row r="38" spans="1:7" ht="13.5">
      <c r="A38" s="249"/>
      <c r="B38" s="249"/>
      <c r="C38" s="249"/>
      <c r="D38" s="249"/>
      <c r="E38" s="249"/>
      <c r="F38" s="249"/>
      <c r="G38" s="249"/>
    </row>
    <row r="39" spans="1:7" ht="13.5">
      <c r="A39" s="249" t="s">
        <v>295</v>
      </c>
      <c r="B39" s="249">
        <v>23</v>
      </c>
      <c r="C39" s="249">
        <v>14</v>
      </c>
      <c r="D39" s="249" t="s">
        <v>317</v>
      </c>
      <c r="E39" s="249"/>
      <c r="F39" s="249"/>
      <c r="G39" s="249"/>
    </row>
    <row r="40" spans="1:7" ht="13.5">
      <c r="A40" s="249"/>
      <c r="B40" s="249"/>
      <c r="C40" s="249"/>
      <c r="D40" s="249"/>
      <c r="E40" s="249"/>
      <c r="F40" s="249"/>
      <c r="G40" s="249"/>
    </row>
  </sheetData>
  <mergeCells count="66">
    <mergeCell ref="A14:A15"/>
    <mergeCell ref="B14:B15"/>
    <mergeCell ref="C14:C15"/>
    <mergeCell ref="C12:C13"/>
    <mergeCell ref="B12:B13"/>
    <mergeCell ref="A12:A13"/>
    <mergeCell ref="A18:A19"/>
    <mergeCell ref="B18:B19"/>
    <mergeCell ref="C18:C19"/>
    <mergeCell ref="C16:C17"/>
    <mergeCell ref="B16:B17"/>
    <mergeCell ref="A16:A17"/>
    <mergeCell ref="A22:A23"/>
    <mergeCell ref="B22:B23"/>
    <mergeCell ref="C22:C23"/>
    <mergeCell ref="C20:C21"/>
    <mergeCell ref="B20:B21"/>
    <mergeCell ref="A20:A21"/>
    <mergeCell ref="C26:C28"/>
    <mergeCell ref="B26:B28"/>
    <mergeCell ref="A26:A28"/>
    <mergeCell ref="A24:A25"/>
    <mergeCell ref="B24:B25"/>
    <mergeCell ref="C24:C25"/>
    <mergeCell ref="C31:C32"/>
    <mergeCell ref="B31:B32"/>
    <mergeCell ref="A31:A32"/>
    <mergeCell ref="A29:A30"/>
    <mergeCell ref="C29:C30"/>
    <mergeCell ref="B29:B30"/>
    <mergeCell ref="A35:A36"/>
    <mergeCell ref="B35:B36"/>
    <mergeCell ref="C35:C36"/>
    <mergeCell ref="A33:A34"/>
    <mergeCell ref="B33:B34"/>
    <mergeCell ref="C33:C34"/>
    <mergeCell ref="D37:G38"/>
    <mergeCell ref="D39:G40"/>
    <mergeCell ref="A39:A40"/>
    <mergeCell ref="B39:B40"/>
    <mergeCell ref="C39:C40"/>
    <mergeCell ref="C37:C38"/>
    <mergeCell ref="B37:B38"/>
    <mergeCell ref="A37:A38"/>
    <mergeCell ref="D29:G30"/>
    <mergeCell ref="D31:G32"/>
    <mergeCell ref="D33:G34"/>
    <mergeCell ref="D35:G36"/>
    <mergeCell ref="D18:G19"/>
    <mergeCell ref="D20:G21"/>
    <mergeCell ref="D22:G23"/>
    <mergeCell ref="D24:G25"/>
    <mergeCell ref="D26:G28"/>
    <mergeCell ref="A10:A11"/>
    <mergeCell ref="B10:B11"/>
    <mergeCell ref="B8:B9"/>
    <mergeCell ref="C8:C9"/>
    <mergeCell ref="C10:C11"/>
    <mergeCell ref="D10:G11"/>
    <mergeCell ref="D12:G13"/>
    <mergeCell ref="D14:G15"/>
    <mergeCell ref="D16:G17"/>
    <mergeCell ref="A4:G4"/>
    <mergeCell ref="A8:A9"/>
    <mergeCell ref="D8:G9"/>
    <mergeCell ref="D7:G7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3" sqref="F3"/>
    </sheetView>
  </sheetViews>
  <sheetFormatPr defaultColWidth="9.00390625" defaultRowHeight="12.75"/>
  <cols>
    <col min="1" max="1" width="10.00390625" style="2" customWidth="1"/>
    <col min="2" max="2" width="12.875" style="2" customWidth="1"/>
    <col min="3" max="4" width="27.75390625" style="2" customWidth="1"/>
    <col min="5" max="16384" width="9.125" style="2" customWidth="1"/>
  </cols>
  <sheetData>
    <row r="1" ht="15.75">
      <c r="A1" s="3" t="s">
        <v>261</v>
      </c>
    </row>
    <row r="2" spans="1:4" ht="18.75">
      <c r="A2" s="180" t="s">
        <v>104</v>
      </c>
      <c r="B2" s="180"/>
      <c r="C2" s="180"/>
      <c r="D2" s="180"/>
    </row>
    <row r="3" ht="16.5" thickBot="1">
      <c r="D3" s="7" t="s">
        <v>209</v>
      </c>
    </row>
    <row r="4" spans="1:4" ht="17.25" thickBot="1">
      <c r="A4" s="108" t="s">
        <v>220</v>
      </c>
      <c r="B4" s="109" t="s">
        <v>160</v>
      </c>
      <c r="C4" s="109" t="s">
        <v>105</v>
      </c>
      <c r="D4" s="110" t="s">
        <v>106</v>
      </c>
    </row>
    <row r="5" spans="1:5" ht="16.5">
      <c r="A5" s="102">
        <v>2005</v>
      </c>
      <c r="B5" s="103">
        <f>SUM(C5:D5)</f>
        <v>7.410571342054251</v>
      </c>
      <c r="C5" s="103">
        <v>5.540574207297576</v>
      </c>
      <c r="D5" s="103">
        <v>1.8699971347566746</v>
      </c>
      <c r="E5" s="8"/>
    </row>
    <row r="6" spans="1:5" ht="16.5">
      <c r="A6" s="37">
        <v>2010</v>
      </c>
      <c r="B6" s="104">
        <f aca="true" t="shared" si="0" ref="B6:B14">SUM(C6:D6)</f>
        <v>6.399202671915351</v>
      </c>
      <c r="C6" s="104">
        <v>4.399067553270106</v>
      </c>
      <c r="D6" s="104">
        <v>2.0001351186452454</v>
      </c>
      <c r="E6" s="9"/>
    </row>
    <row r="7" spans="1:5" ht="16.5">
      <c r="A7" s="37">
        <v>2015</v>
      </c>
      <c r="B7" s="104">
        <f t="shared" si="0"/>
        <v>6.06638117831371</v>
      </c>
      <c r="C7" s="104">
        <v>3.9082796575314216</v>
      </c>
      <c r="D7" s="104">
        <v>2.158101520782289</v>
      </c>
      <c r="E7" s="8"/>
    </row>
    <row r="8" spans="1:5" ht="16.5">
      <c r="A8" s="37">
        <v>2020</v>
      </c>
      <c r="B8" s="104">
        <f t="shared" si="0"/>
        <v>6.55445607249823</v>
      </c>
      <c r="C8" s="104">
        <v>4.264610527527543</v>
      </c>
      <c r="D8" s="104">
        <v>2.289845544970687</v>
      </c>
      <c r="E8" s="8"/>
    </row>
    <row r="9" spans="1:5" ht="16.5">
      <c r="A9" s="37">
        <v>2025</v>
      </c>
      <c r="B9" s="104">
        <f t="shared" si="0"/>
        <v>6.935823638075196</v>
      </c>
      <c r="C9" s="104">
        <v>4.515028264266574</v>
      </c>
      <c r="D9" s="104">
        <v>2.4207953738086223</v>
      </c>
      <c r="E9" s="8"/>
    </row>
    <row r="10" spans="1:5" ht="16.5">
      <c r="A10" s="37">
        <v>2030</v>
      </c>
      <c r="B10" s="104">
        <f t="shared" si="0"/>
        <v>7.311070478734132</v>
      </c>
      <c r="C10" s="104">
        <v>4.733137624518789</v>
      </c>
      <c r="D10" s="104">
        <v>2.577932854215344</v>
      </c>
      <c r="E10" s="8"/>
    </row>
    <row r="11" spans="1:5" ht="16.5">
      <c r="A11" s="37">
        <v>2035</v>
      </c>
      <c r="B11" s="104">
        <f t="shared" si="0"/>
        <v>7.606526873217971</v>
      </c>
      <c r="C11" s="104">
        <v>4.900316869391955</v>
      </c>
      <c r="D11" s="104">
        <v>2.706210003826016</v>
      </c>
      <c r="E11" s="8"/>
    </row>
    <row r="12" spans="1:5" ht="16.5">
      <c r="A12" s="37">
        <v>2040</v>
      </c>
      <c r="B12" s="104">
        <f t="shared" si="0"/>
        <v>8.03263776817555</v>
      </c>
      <c r="C12" s="104">
        <v>5.3153141514956515</v>
      </c>
      <c r="D12" s="104">
        <v>2.717323616679898</v>
      </c>
      <c r="E12" s="8"/>
    </row>
    <row r="13" spans="1:5" ht="16.5">
      <c r="A13" s="37">
        <v>2045</v>
      </c>
      <c r="B13" s="104">
        <f t="shared" si="0"/>
        <v>8.438089659354771</v>
      </c>
      <c r="C13" s="104">
        <v>5.753077165299239</v>
      </c>
      <c r="D13" s="104">
        <v>2.6850124940555316</v>
      </c>
      <c r="E13" s="8"/>
    </row>
    <row r="14" spans="1:5" ht="16.5">
      <c r="A14" s="82">
        <v>2050</v>
      </c>
      <c r="B14" s="105">
        <f t="shared" si="0"/>
        <v>8.953156283521981</v>
      </c>
      <c r="C14" s="105">
        <v>6.234237460516353</v>
      </c>
      <c r="D14" s="105">
        <v>2.7189188230056285</v>
      </c>
      <c r="E14" s="8"/>
    </row>
    <row r="15" ht="15.75">
      <c r="B15" s="10"/>
    </row>
    <row r="17" spans="1:3" ht="16.5">
      <c r="A17" s="111" t="s">
        <v>210</v>
      </c>
      <c r="B17" s="107"/>
      <c r="C17" s="107"/>
    </row>
    <row r="18" spans="1:8" ht="16.5">
      <c r="A18" s="106" t="s">
        <v>208</v>
      </c>
      <c r="B18" s="107"/>
      <c r="C18" s="107"/>
      <c r="D18" s="107"/>
      <c r="E18" s="107"/>
      <c r="F18" s="107"/>
      <c r="G18" s="107"/>
      <c r="H18" s="107"/>
    </row>
    <row r="19" spans="1:8" ht="15.75">
      <c r="A19" s="107"/>
      <c r="B19" s="107" t="s">
        <v>107</v>
      </c>
      <c r="C19" s="107"/>
      <c r="D19" s="107"/>
      <c r="E19" s="107"/>
      <c r="F19" s="107"/>
      <c r="G19" s="107"/>
      <c r="H19" s="107"/>
    </row>
    <row r="20" spans="1:8" ht="15.75">
      <c r="A20" s="107"/>
      <c r="B20" s="107" t="s">
        <v>108</v>
      </c>
      <c r="C20" s="107"/>
      <c r="D20" s="107"/>
      <c r="E20" s="107"/>
      <c r="F20" s="107"/>
      <c r="G20" s="107"/>
      <c r="H20" s="107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2" sqref="A2:G3"/>
    </sheetView>
  </sheetViews>
  <sheetFormatPr defaultColWidth="9.00390625" defaultRowHeight="12.75"/>
  <cols>
    <col min="1" max="1" width="47.00390625" style="2" customWidth="1"/>
    <col min="2" max="7" width="12.00390625" style="2" bestFit="1" customWidth="1"/>
    <col min="8" max="16384" width="9.125" style="2" customWidth="1"/>
  </cols>
  <sheetData>
    <row r="1" s="3" customFormat="1" ht="13.5">
      <c r="A1" s="3" t="s">
        <v>262</v>
      </c>
    </row>
    <row r="2" spans="1:7" ht="15.75">
      <c r="A2" s="207" t="s">
        <v>211</v>
      </c>
      <c r="B2" s="208"/>
      <c r="C2" s="208"/>
      <c r="D2" s="208"/>
      <c r="E2" s="208"/>
      <c r="F2" s="208"/>
      <c r="G2" s="208"/>
    </row>
    <row r="3" spans="1:7" ht="27.75" customHeight="1">
      <c r="A3" s="208"/>
      <c r="B3" s="208"/>
      <c r="C3" s="208"/>
      <c r="D3" s="208"/>
      <c r="E3" s="208"/>
      <c r="F3" s="208"/>
      <c r="G3" s="208"/>
    </row>
    <row r="4" ht="16.5" thickBot="1">
      <c r="G4" s="112" t="s">
        <v>23</v>
      </c>
    </row>
    <row r="5" spans="1:7" ht="17.25" thickBot="1">
      <c r="A5" s="113"/>
      <c r="B5" s="114">
        <v>2005</v>
      </c>
      <c r="C5" s="114">
        <v>2010</v>
      </c>
      <c r="D5" s="114">
        <v>2020</v>
      </c>
      <c r="E5" s="114">
        <v>2030</v>
      </c>
      <c r="F5" s="114">
        <v>2040</v>
      </c>
      <c r="G5" s="115">
        <v>2050</v>
      </c>
    </row>
    <row r="6" spans="1:7" ht="16.5">
      <c r="A6" s="116"/>
      <c r="B6" s="102"/>
      <c r="C6" s="102"/>
      <c r="D6" s="102"/>
      <c r="E6" s="102"/>
      <c r="F6" s="102"/>
      <c r="G6" s="102"/>
    </row>
    <row r="7" spans="1:8" ht="16.5">
      <c r="A7" s="11" t="s">
        <v>109</v>
      </c>
      <c r="B7" s="104">
        <v>7.42116566448237</v>
      </c>
      <c r="C7" s="104">
        <v>6.410660829411525</v>
      </c>
      <c r="D7" s="104">
        <v>6.5823418951087564</v>
      </c>
      <c r="E7" s="104">
        <v>7.34769113505768</v>
      </c>
      <c r="F7" s="104">
        <v>8.087876035824053</v>
      </c>
      <c r="G7" s="104">
        <v>9.034046832794264</v>
      </c>
      <c r="H7" s="9"/>
    </row>
    <row r="8" spans="1:8" ht="16.5">
      <c r="A8" s="12"/>
      <c r="B8" s="117"/>
      <c r="C8" s="117"/>
      <c r="D8" s="117"/>
      <c r="E8" s="117"/>
      <c r="F8" s="117"/>
      <c r="G8" s="117"/>
      <c r="H8" s="9"/>
    </row>
    <row r="9" spans="1:8" ht="16.5">
      <c r="A9" s="13" t="s">
        <v>110</v>
      </c>
      <c r="B9" s="105">
        <v>30.29091028584036</v>
      </c>
      <c r="C9" s="105">
        <v>33.817217965194466</v>
      </c>
      <c r="D9" s="105">
        <v>42.86265290781111</v>
      </c>
      <c r="E9" s="105">
        <v>52.01716884419867</v>
      </c>
      <c r="F9" s="105">
        <v>64.42506900891782</v>
      </c>
      <c r="G9" s="105">
        <v>77.0492419363725</v>
      </c>
      <c r="H9" s="9"/>
    </row>
    <row r="10" spans="1:8" ht="16.5">
      <c r="A10" s="11"/>
      <c r="B10" s="104"/>
      <c r="C10" s="104"/>
      <c r="D10" s="104"/>
      <c r="E10" s="104"/>
      <c r="F10" s="104"/>
      <c r="G10" s="104"/>
      <c r="H10" s="9"/>
    </row>
    <row r="11" spans="1:8" ht="16.5">
      <c r="A11" s="13" t="s">
        <v>111</v>
      </c>
      <c r="B11" s="105">
        <v>168.90900882084767</v>
      </c>
      <c r="C11" s="105">
        <v>160.994683285165</v>
      </c>
      <c r="D11" s="105">
        <v>142.4669504057055</v>
      </c>
      <c r="E11" s="105">
        <v>137.81098653672336</v>
      </c>
      <c r="F11" s="105">
        <v>143.93485489687927</v>
      </c>
      <c r="G11" s="105">
        <v>145.4687575687797</v>
      </c>
      <c r="H11" s="9"/>
    </row>
    <row r="12" spans="1:8" ht="16.5">
      <c r="A12" s="11"/>
      <c r="B12" s="104"/>
      <c r="C12" s="104"/>
      <c r="D12" s="104"/>
      <c r="E12" s="104"/>
      <c r="F12" s="104"/>
      <c r="G12" s="104"/>
      <c r="H12" s="9"/>
    </row>
    <row r="13" spans="1:8" ht="16.5">
      <c r="A13" s="13" t="s">
        <v>112</v>
      </c>
      <c r="B13" s="105">
        <v>126.02386446626492</v>
      </c>
      <c r="C13" s="105">
        <v>109.83709078899591</v>
      </c>
      <c r="D13" s="105">
        <v>105.63940215374723</v>
      </c>
      <c r="E13" s="105">
        <v>108.62188221425893</v>
      </c>
      <c r="F13" s="105">
        <v>103.66422994714195</v>
      </c>
      <c r="G13" s="105">
        <v>106.29213571521139</v>
      </c>
      <c r="H13" s="9"/>
    </row>
    <row r="14" spans="1:8" ht="16.5">
      <c r="A14" s="12"/>
      <c r="B14" s="117"/>
      <c r="C14" s="117"/>
      <c r="D14" s="117"/>
      <c r="E14" s="117"/>
      <c r="F14" s="117"/>
      <c r="G14" s="117"/>
      <c r="H14" s="9"/>
    </row>
    <row r="15" spans="1:8" ht="16.5">
      <c r="A15" s="13" t="s">
        <v>113</v>
      </c>
      <c r="B15" s="105">
        <v>11.509440059481605</v>
      </c>
      <c r="C15" s="105">
        <v>10.720236537651653</v>
      </c>
      <c r="D15" s="105">
        <v>10.203785633150005</v>
      </c>
      <c r="E15" s="105">
        <v>9.436327721920696</v>
      </c>
      <c r="F15" s="105">
        <v>8.413654875026175</v>
      </c>
      <c r="G15" s="105">
        <v>7.583035767805686</v>
      </c>
      <c r="H15" s="9"/>
    </row>
    <row r="16" spans="1:8" ht="15.75">
      <c r="A16" s="15"/>
      <c r="B16" s="15"/>
      <c r="C16" s="15"/>
      <c r="D16" s="15"/>
      <c r="E16" s="15"/>
      <c r="F16" s="15"/>
      <c r="G16" s="15"/>
      <c r="H16" s="9"/>
    </row>
    <row r="17" spans="1:8" s="3" customFormat="1" ht="13.5">
      <c r="A17" s="14" t="s">
        <v>263</v>
      </c>
      <c r="B17" s="14"/>
      <c r="C17" s="14"/>
      <c r="D17" s="14"/>
      <c r="E17" s="14"/>
      <c r="F17" s="14"/>
      <c r="G17" s="14"/>
      <c r="H17" s="247"/>
    </row>
    <row r="18" spans="1:8" ht="16.5" thickBot="1">
      <c r="A18" s="16"/>
      <c r="B18" s="16"/>
      <c r="C18" s="16"/>
      <c r="D18" s="16"/>
      <c r="E18" s="16"/>
      <c r="F18" s="16"/>
      <c r="G18" s="118" t="s">
        <v>23</v>
      </c>
      <c r="H18" s="17"/>
    </row>
    <row r="19" spans="1:7" ht="17.25" thickBot="1">
      <c r="A19" s="113"/>
      <c r="B19" s="114" t="s">
        <v>114</v>
      </c>
      <c r="C19" s="114" t="s">
        <v>115</v>
      </c>
      <c r="D19" s="114" t="s">
        <v>116</v>
      </c>
      <c r="E19" s="114" t="s">
        <v>117</v>
      </c>
      <c r="F19" s="114" t="s">
        <v>118</v>
      </c>
      <c r="G19" s="115" t="s">
        <v>119</v>
      </c>
    </row>
    <row r="20" spans="1:7" ht="16.5">
      <c r="A20" s="116"/>
      <c r="B20" s="116"/>
      <c r="C20" s="116"/>
      <c r="D20" s="116"/>
      <c r="E20" s="116"/>
      <c r="F20" s="116"/>
      <c r="G20" s="116"/>
    </row>
    <row r="21" spans="1:7" ht="16.5">
      <c r="A21" s="11" t="s">
        <v>109</v>
      </c>
      <c r="B21" s="119">
        <v>-13.616524421589338</v>
      </c>
      <c r="C21" s="83">
        <v>2.6780556679831538</v>
      </c>
      <c r="D21" s="83">
        <v>11.627309127130626</v>
      </c>
      <c r="E21" s="83">
        <v>10.073707334195973</v>
      </c>
      <c r="F21" s="83">
        <v>11.698631294288973</v>
      </c>
      <c r="G21" s="83">
        <v>21.733528683116837</v>
      </c>
    </row>
    <row r="22" spans="1:7" ht="16.5">
      <c r="A22" s="12"/>
      <c r="B22" s="104"/>
      <c r="C22" s="104"/>
      <c r="D22" s="104"/>
      <c r="E22" s="104"/>
      <c r="F22" s="104"/>
      <c r="G22" s="104"/>
    </row>
    <row r="23" spans="1:7" ht="16.5">
      <c r="A23" s="13" t="s">
        <v>110</v>
      </c>
      <c r="B23" s="105">
        <v>11.641471471402081</v>
      </c>
      <c r="C23" s="105">
        <v>26.748016208566995</v>
      </c>
      <c r="D23" s="105">
        <v>21.35779125962425</v>
      </c>
      <c r="E23" s="105">
        <v>23.853470768244172</v>
      </c>
      <c r="F23" s="105">
        <v>19.595125192193777</v>
      </c>
      <c r="G23" s="105">
        <v>154.36423405337393</v>
      </c>
    </row>
    <row r="24" spans="1:7" ht="16.5">
      <c r="A24" s="11"/>
      <c r="B24" s="104"/>
      <c r="C24" s="104"/>
      <c r="D24" s="104"/>
      <c r="E24" s="104"/>
      <c r="F24" s="104"/>
      <c r="G24" s="104"/>
    </row>
    <row r="25" spans="1:7" ht="16.5">
      <c r="A25" s="13" t="s">
        <v>111</v>
      </c>
      <c r="B25" s="105">
        <v>-4.685555608272476</v>
      </c>
      <c r="C25" s="105">
        <v>-11.508288659844682</v>
      </c>
      <c r="D25" s="105">
        <v>-3.2681010267456854</v>
      </c>
      <c r="E25" s="105">
        <v>4.443672100499799</v>
      </c>
      <c r="F25" s="105">
        <v>1.0656923043409954</v>
      </c>
      <c r="G25" s="105">
        <v>-13.877442899999338</v>
      </c>
    </row>
    <row r="26" spans="1:7" ht="16.5">
      <c r="A26" s="11"/>
      <c r="B26" s="104"/>
      <c r="C26" s="104"/>
      <c r="D26" s="104"/>
      <c r="E26" s="104"/>
      <c r="F26" s="104"/>
      <c r="G26" s="104"/>
    </row>
    <row r="27" spans="1:7" ht="16.5">
      <c r="A27" s="13" t="s">
        <v>112</v>
      </c>
      <c r="B27" s="105">
        <v>-12.844213074899017</v>
      </c>
      <c r="C27" s="105">
        <v>-3.821740547837989</v>
      </c>
      <c r="D27" s="105">
        <v>2.823264804330314</v>
      </c>
      <c r="E27" s="105">
        <v>-4.564137691278367</v>
      </c>
      <c r="F27" s="105">
        <v>2.535016918959799</v>
      </c>
      <c r="G27" s="105">
        <v>-15.65713671344802</v>
      </c>
    </row>
    <row r="28" spans="1:7" ht="16.5">
      <c r="A28" s="11"/>
      <c r="B28" s="104"/>
      <c r="C28" s="104"/>
      <c r="D28" s="104"/>
      <c r="E28" s="104"/>
      <c r="F28" s="104"/>
      <c r="G28" s="104"/>
    </row>
    <row r="29" spans="1:7" ht="16.5">
      <c r="A29" s="13" t="s">
        <v>113</v>
      </c>
      <c r="B29" s="105">
        <v>-6.857010573505681</v>
      </c>
      <c r="C29" s="105">
        <v>-4.817532735287761</v>
      </c>
      <c r="D29" s="105">
        <v>-7.521305707716907</v>
      </c>
      <c r="E29" s="105">
        <v>-10.837614769555323</v>
      </c>
      <c r="F29" s="105">
        <v>-9.87227452941971</v>
      </c>
      <c r="G29" s="105">
        <v>-34.11464216663871</v>
      </c>
    </row>
    <row r="32" ht="16.5">
      <c r="A32" s="106" t="s">
        <v>210</v>
      </c>
    </row>
    <row r="33" spans="1:13" ht="16.5">
      <c r="A33" s="106" t="s">
        <v>212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ht="15.75">
      <c r="A34" s="107" t="s">
        <v>120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5.75">
      <c r="A35" s="107" t="s">
        <v>121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ht="15.75">
      <c r="A36" s="107" t="s">
        <v>122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3" ht="15.75">
      <c r="A37" s="120" t="s">
        <v>123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ht="16.5">
      <c r="A38" s="18"/>
    </row>
    <row r="39" ht="15.75">
      <c r="A39" s="107" t="s">
        <v>124</v>
      </c>
    </row>
    <row r="40" ht="15.75">
      <c r="A40" s="107" t="s">
        <v>125</v>
      </c>
    </row>
  </sheetData>
  <mergeCells count="1">
    <mergeCell ref="A2:G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F10" sqref="F10"/>
    </sheetView>
  </sheetViews>
  <sheetFormatPr defaultColWidth="9.00390625" defaultRowHeight="12.75"/>
  <cols>
    <col min="1" max="1" width="9.25390625" style="2" bestFit="1" customWidth="1"/>
    <col min="2" max="2" width="40.875" style="2" customWidth="1"/>
    <col min="3" max="3" width="26.00390625" style="2" customWidth="1"/>
    <col min="4" max="4" width="11.875" style="2" customWidth="1"/>
    <col min="5" max="9" width="9.375" style="2" bestFit="1" customWidth="1"/>
    <col min="10" max="16384" width="9.125" style="2" customWidth="1"/>
  </cols>
  <sheetData>
    <row r="1" s="3" customFormat="1" ht="13.5">
      <c r="A1" s="3" t="s">
        <v>264</v>
      </c>
    </row>
    <row r="2" spans="2:4" ht="15.75">
      <c r="B2" s="196" t="s">
        <v>193</v>
      </c>
      <c r="C2" s="198" t="s">
        <v>194</v>
      </c>
      <c r="D2" s="198" t="s">
        <v>197</v>
      </c>
    </row>
    <row r="3" spans="2:4" ht="15.75">
      <c r="B3" s="197"/>
      <c r="C3" s="199"/>
      <c r="D3" s="199"/>
    </row>
    <row r="4" spans="1:4" ht="16.5">
      <c r="A4" s="145" t="s">
        <v>183</v>
      </c>
      <c r="B4" s="5">
        <v>2928</v>
      </c>
      <c r="C4" s="5">
        <v>6294</v>
      </c>
      <c r="D4" s="146">
        <f aca="true" t="shared" si="0" ref="D4:D14">B4/C4</f>
        <v>0.4652049571020019</v>
      </c>
    </row>
    <row r="5" spans="1:4" ht="16.5">
      <c r="A5" s="145" t="s">
        <v>184</v>
      </c>
      <c r="B5" s="5">
        <v>3184</v>
      </c>
      <c r="C5" s="5">
        <v>7195</v>
      </c>
      <c r="D5" s="146">
        <f t="shared" si="0"/>
        <v>0.4425295343988881</v>
      </c>
    </row>
    <row r="6" spans="1:4" ht="16.5">
      <c r="A6" s="145" t="s">
        <v>185</v>
      </c>
      <c r="B6" s="5">
        <v>3757</v>
      </c>
      <c r="C6" s="5">
        <v>8154</v>
      </c>
      <c r="D6" s="146">
        <f t="shared" si="0"/>
        <v>0.46075545744419916</v>
      </c>
    </row>
    <row r="7" spans="1:4" ht="16.5">
      <c r="A7" s="145" t="s">
        <v>186</v>
      </c>
      <c r="B7" s="5">
        <v>4155</v>
      </c>
      <c r="C7" s="5">
        <v>9226</v>
      </c>
      <c r="D7" s="146">
        <f t="shared" si="0"/>
        <v>0.45035768480381533</v>
      </c>
    </row>
    <row r="8" spans="1:4" ht="16.5">
      <c r="A8" s="145" t="s">
        <v>187</v>
      </c>
      <c r="B8" s="5">
        <v>4521</v>
      </c>
      <c r="C8" s="5">
        <v>10003</v>
      </c>
      <c r="D8" s="146">
        <f t="shared" si="0"/>
        <v>0.45196441067679693</v>
      </c>
    </row>
    <row r="9" spans="1:4" ht="16.5">
      <c r="A9" s="145" t="s">
        <v>188</v>
      </c>
      <c r="B9" s="5">
        <v>4908</v>
      </c>
      <c r="C9" s="5">
        <v>10728</v>
      </c>
      <c r="D9" s="146">
        <f t="shared" si="0"/>
        <v>0.4574944071588367</v>
      </c>
    </row>
    <row r="10" spans="1:4" ht="16.5">
      <c r="A10" s="145" t="s">
        <v>189</v>
      </c>
      <c r="B10" s="5">
        <v>5412</v>
      </c>
      <c r="C10" s="5">
        <v>11430</v>
      </c>
      <c r="D10" s="146">
        <f t="shared" si="0"/>
        <v>0.473490813648294</v>
      </c>
    </row>
    <row r="11" spans="1:4" ht="16.5">
      <c r="A11" s="145" t="s">
        <v>190</v>
      </c>
      <c r="B11" s="5">
        <v>5812</v>
      </c>
      <c r="C11" s="5">
        <v>12365</v>
      </c>
      <c r="D11" s="146">
        <f t="shared" si="0"/>
        <v>0.47003639304488476</v>
      </c>
    </row>
    <row r="12" spans="1:4" ht="16.5">
      <c r="A12" s="145" t="s">
        <v>191</v>
      </c>
      <c r="B12" s="5">
        <v>6133</v>
      </c>
      <c r="C12" s="5">
        <v>13511</v>
      </c>
      <c r="D12" s="146">
        <f t="shared" si="0"/>
        <v>0.4539264303160388</v>
      </c>
    </row>
    <row r="13" spans="1:4" ht="16.5">
      <c r="A13" s="145" t="s">
        <v>192</v>
      </c>
      <c r="B13" s="5">
        <v>6531</v>
      </c>
      <c r="C13" s="5">
        <v>14365</v>
      </c>
      <c r="D13" s="146">
        <f t="shared" si="0"/>
        <v>0.45464671075530805</v>
      </c>
    </row>
    <row r="14" spans="1:4" ht="16.5">
      <c r="A14" s="147">
        <v>2004</v>
      </c>
      <c r="B14" s="5">
        <v>7046</v>
      </c>
      <c r="C14" s="5">
        <v>15825</v>
      </c>
      <c r="D14" s="146">
        <f t="shared" si="0"/>
        <v>0.44524486571879934</v>
      </c>
    </row>
    <row r="16" ht="16.5">
      <c r="A16" s="106" t="s">
        <v>221</v>
      </c>
    </row>
    <row r="17" spans="3:11" s="3" customFormat="1" ht="13.5">
      <c r="C17" s="7" t="s">
        <v>265</v>
      </c>
      <c r="K17" s="3" t="s">
        <v>266</v>
      </c>
    </row>
  </sheetData>
  <mergeCells count="3">
    <mergeCell ref="B2:B3"/>
    <mergeCell ref="C2:C3"/>
    <mergeCell ref="D2:D3"/>
  </mergeCell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2" sqref="A2:H2"/>
    </sheetView>
  </sheetViews>
  <sheetFormatPr defaultColWidth="9.125" defaultRowHeight="12.75"/>
  <cols>
    <col min="1" max="2" width="9.125" style="2" customWidth="1"/>
    <col min="3" max="3" width="24.375" style="2" customWidth="1"/>
    <col min="4" max="4" width="9.125" style="2" customWidth="1"/>
    <col min="5" max="8" width="14.875" style="2" customWidth="1"/>
    <col min="9" max="14" width="13.625" style="2" customWidth="1"/>
    <col min="15" max="16384" width="9.125" style="2" customWidth="1"/>
  </cols>
  <sheetData>
    <row r="1" ht="15.75">
      <c r="A1" s="3" t="s">
        <v>267</v>
      </c>
    </row>
    <row r="2" spans="1:8" ht="18.75">
      <c r="A2" s="180" t="s">
        <v>204</v>
      </c>
      <c r="B2" s="180"/>
      <c r="C2" s="180"/>
      <c r="D2" s="180"/>
      <c r="E2" s="180"/>
      <c r="F2" s="180"/>
      <c r="G2" s="180"/>
      <c r="H2" s="180"/>
    </row>
    <row r="4" spans="1:8" ht="49.5">
      <c r="A4" s="204"/>
      <c r="B4" s="205"/>
      <c r="C4" s="205"/>
      <c r="D4" s="206"/>
      <c r="E4" s="138" t="s">
        <v>26</v>
      </c>
      <c r="F4" s="138" t="s">
        <v>25</v>
      </c>
      <c r="G4" s="139" t="s">
        <v>27</v>
      </c>
      <c r="H4" s="139" t="s">
        <v>28</v>
      </c>
    </row>
    <row r="5" spans="1:8" ht="16.5">
      <c r="A5" s="203" t="s">
        <v>29</v>
      </c>
      <c r="B5" s="203"/>
      <c r="C5" s="203"/>
      <c r="D5" s="140">
        <v>2005</v>
      </c>
      <c r="E5" s="136">
        <v>0.4937</v>
      </c>
      <c r="F5" s="136">
        <v>0</v>
      </c>
      <c r="G5" s="137">
        <f aca="true" t="shared" si="0" ref="G5:G18">E5</f>
        <v>0.4937</v>
      </c>
      <c r="H5" s="137">
        <v>0.6311</v>
      </c>
    </row>
    <row r="6" spans="1:8" ht="16.5">
      <c r="A6" s="203"/>
      <c r="B6" s="203"/>
      <c r="C6" s="203"/>
      <c r="D6" s="140">
        <v>2010</v>
      </c>
      <c r="E6" s="136">
        <v>0.4937</v>
      </c>
      <c r="F6" s="136">
        <v>0</v>
      </c>
      <c r="G6" s="137">
        <f t="shared" si="0"/>
        <v>0.4937</v>
      </c>
      <c r="H6" s="137">
        <v>0.6277</v>
      </c>
    </row>
    <row r="7" spans="1:8" ht="16.5">
      <c r="A7" s="203"/>
      <c r="B7" s="203"/>
      <c r="C7" s="203"/>
      <c r="D7" s="140">
        <v>2030</v>
      </c>
      <c r="E7" s="136">
        <v>0.4864</v>
      </c>
      <c r="F7" s="136">
        <v>0</v>
      </c>
      <c r="G7" s="137">
        <f t="shared" si="0"/>
        <v>0.4864</v>
      </c>
      <c r="H7" s="137">
        <v>0.6179</v>
      </c>
    </row>
    <row r="8" spans="1:8" ht="16.5">
      <c r="A8" s="203"/>
      <c r="B8" s="203"/>
      <c r="C8" s="203"/>
      <c r="D8" s="140">
        <v>2050</v>
      </c>
      <c r="E8" s="136">
        <v>0.5016</v>
      </c>
      <c r="F8" s="136">
        <v>0</v>
      </c>
      <c r="G8" s="137">
        <f t="shared" si="0"/>
        <v>0.5016</v>
      </c>
      <c r="H8" s="137">
        <v>0.637</v>
      </c>
    </row>
    <row r="9" spans="1:8" ht="16.5">
      <c r="A9" s="203" t="s">
        <v>30</v>
      </c>
      <c r="B9" s="203"/>
      <c r="C9" s="203"/>
      <c r="D9" s="140">
        <v>2005</v>
      </c>
      <c r="E9" s="136">
        <v>0.5924</v>
      </c>
      <c r="F9" s="136">
        <v>0</v>
      </c>
      <c r="G9" s="137">
        <f t="shared" si="0"/>
        <v>0.5924</v>
      </c>
      <c r="H9" s="137">
        <v>0.72</v>
      </c>
    </row>
    <row r="10" spans="1:8" ht="16.5">
      <c r="A10" s="203"/>
      <c r="B10" s="203"/>
      <c r="C10" s="203"/>
      <c r="D10" s="140">
        <v>2050</v>
      </c>
      <c r="E10" s="136">
        <v>0.5016</v>
      </c>
      <c r="F10" s="136">
        <v>0</v>
      </c>
      <c r="G10" s="137">
        <f t="shared" si="0"/>
        <v>0.5016</v>
      </c>
      <c r="H10" s="137">
        <v>0.604</v>
      </c>
    </row>
    <row r="11" spans="1:8" ht="16.5">
      <c r="A11" s="203" t="s">
        <v>31</v>
      </c>
      <c r="B11" s="203"/>
      <c r="C11" s="203"/>
      <c r="D11" s="140">
        <v>2005</v>
      </c>
      <c r="E11" s="136">
        <v>0.491</v>
      </c>
      <c r="F11" s="136">
        <v>0</v>
      </c>
      <c r="G11" s="137">
        <f t="shared" si="0"/>
        <v>0.491</v>
      </c>
      <c r="H11" s="137">
        <v>0.6307</v>
      </c>
    </row>
    <row r="12" spans="1:8" ht="16.5">
      <c r="A12" s="203"/>
      <c r="B12" s="203"/>
      <c r="C12" s="203"/>
      <c r="D12" s="140">
        <v>2050</v>
      </c>
      <c r="E12" s="136">
        <v>0.4782</v>
      </c>
      <c r="F12" s="136">
        <v>0</v>
      </c>
      <c r="G12" s="137">
        <f t="shared" si="0"/>
        <v>0.4782</v>
      </c>
      <c r="H12" s="137">
        <v>0.6104</v>
      </c>
    </row>
    <row r="13" spans="1:8" ht="16.5">
      <c r="A13" s="203" t="s">
        <v>32</v>
      </c>
      <c r="B13" s="203"/>
      <c r="C13" s="203"/>
      <c r="D13" s="140">
        <v>2005</v>
      </c>
      <c r="E13" s="136">
        <v>0.4515</v>
      </c>
      <c r="F13" s="136">
        <v>0</v>
      </c>
      <c r="G13" s="137">
        <f t="shared" si="0"/>
        <v>0.4515</v>
      </c>
      <c r="H13" s="137">
        <v>0.5872</v>
      </c>
    </row>
    <row r="14" spans="1:8" ht="16.5">
      <c r="A14" s="203"/>
      <c r="B14" s="203"/>
      <c r="C14" s="203"/>
      <c r="D14" s="140">
        <v>2050</v>
      </c>
      <c r="E14" s="136">
        <v>0.42</v>
      </c>
      <c r="F14" s="136">
        <v>0</v>
      </c>
      <c r="G14" s="137">
        <f t="shared" si="0"/>
        <v>0.42</v>
      </c>
      <c r="H14" s="137">
        <v>0.5433</v>
      </c>
    </row>
    <row r="15" spans="1:8" ht="16.5">
      <c r="A15" s="203" t="s">
        <v>33</v>
      </c>
      <c r="B15" s="203"/>
      <c r="C15" s="203"/>
      <c r="D15" s="140">
        <v>2005</v>
      </c>
      <c r="E15" s="136">
        <v>0.3817</v>
      </c>
      <c r="F15" s="136">
        <v>0</v>
      </c>
      <c r="G15" s="137">
        <f t="shared" si="0"/>
        <v>0.3817</v>
      </c>
      <c r="H15" s="137">
        <v>0.5145</v>
      </c>
    </row>
    <row r="16" spans="1:8" ht="16.5">
      <c r="A16" s="203"/>
      <c r="B16" s="203"/>
      <c r="C16" s="203"/>
      <c r="D16" s="140">
        <v>2050</v>
      </c>
      <c r="E16" s="136">
        <v>0.3767</v>
      </c>
      <c r="F16" s="136">
        <v>0</v>
      </c>
      <c r="G16" s="137">
        <f t="shared" si="0"/>
        <v>0.3767</v>
      </c>
      <c r="H16" s="137">
        <v>0.5061</v>
      </c>
    </row>
    <row r="17" spans="1:8" ht="16.5">
      <c r="A17" s="203" t="s">
        <v>34</v>
      </c>
      <c r="B17" s="203"/>
      <c r="C17" s="203"/>
      <c r="D17" s="140">
        <v>2005</v>
      </c>
      <c r="E17" s="136">
        <v>0.3703</v>
      </c>
      <c r="F17" s="136">
        <v>0</v>
      </c>
      <c r="G17" s="137">
        <f t="shared" si="0"/>
        <v>0.3703</v>
      </c>
      <c r="H17" s="137">
        <v>0.4733</v>
      </c>
    </row>
    <row r="18" spans="1:8" ht="16.5">
      <c r="A18" s="203"/>
      <c r="B18" s="203"/>
      <c r="C18" s="203"/>
      <c r="D18" s="140">
        <v>2050</v>
      </c>
      <c r="E18" s="136">
        <v>0.314</v>
      </c>
      <c r="F18" s="136">
        <v>0</v>
      </c>
      <c r="G18" s="137">
        <f t="shared" si="0"/>
        <v>0.314</v>
      </c>
      <c r="H18" s="137">
        <v>0.3987</v>
      </c>
    </row>
  </sheetData>
  <mergeCells count="8">
    <mergeCell ref="A2:H2"/>
    <mergeCell ref="A13:C14"/>
    <mergeCell ref="A15:C16"/>
    <mergeCell ref="A17:C18"/>
    <mergeCell ref="A4:D4"/>
    <mergeCell ref="A5:C8"/>
    <mergeCell ref="A9:C10"/>
    <mergeCell ref="A11:C12"/>
  </mergeCells>
  <printOptions/>
  <pageMargins left="0.75" right="0.75" top="1" bottom="1" header="0.4921259845" footer="0.492125984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L31" sqref="L31"/>
    </sheetView>
  </sheetViews>
  <sheetFormatPr defaultColWidth="9.00390625" defaultRowHeight="22.5" customHeight="1"/>
  <cols>
    <col min="1" max="1" width="47.375" style="84" customWidth="1"/>
    <col min="2" max="2" width="9.875" style="85" bestFit="1" customWidth="1"/>
    <col min="3" max="3" width="9.875" style="85" customWidth="1"/>
    <col min="4" max="4" width="9.875" style="85" bestFit="1" customWidth="1"/>
    <col min="5" max="5" width="9.875" style="85" customWidth="1"/>
    <col min="6" max="7" width="9.875" style="85" bestFit="1" customWidth="1"/>
    <col min="8" max="11" width="9.875" style="84" bestFit="1" customWidth="1"/>
    <col min="12" max="12" width="10.875" style="84" bestFit="1" customWidth="1"/>
    <col min="13" max="21" width="9.875" style="84" customWidth="1"/>
    <col min="22" max="16384" width="9.125" style="84" customWidth="1"/>
  </cols>
  <sheetData>
    <row r="1" ht="13.5">
      <c r="A1" s="3" t="s">
        <v>268</v>
      </c>
    </row>
    <row r="2" spans="1:10" s="86" customFormat="1" ht="13.5">
      <c r="A2" s="87"/>
      <c r="B2" s="88"/>
      <c r="C2" s="88"/>
      <c r="D2" s="88"/>
      <c r="E2" s="88"/>
      <c r="F2" s="88"/>
      <c r="G2" s="88"/>
      <c r="H2" s="84"/>
      <c r="I2" s="84"/>
      <c r="J2" s="84"/>
    </row>
    <row r="3" spans="1:21" s="89" customFormat="1" ht="19.5" customHeight="1">
      <c r="A3" s="174"/>
      <c r="B3" s="175">
        <v>1995</v>
      </c>
      <c r="C3" s="175">
        <v>1996</v>
      </c>
      <c r="D3" s="175">
        <v>1997</v>
      </c>
      <c r="E3" s="175">
        <v>1998</v>
      </c>
      <c r="F3" s="175">
        <v>1999</v>
      </c>
      <c r="G3" s="175">
        <v>2000</v>
      </c>
      <c r="H3" s="175">
        <v>2001</v>
      </c>
      <c r="I3" s="175">
        <v>2002</v>
      </c>
      <c r="J3" s="175">
        <v>2003</v>
      </c>
      <c r="K3" s="175">
        <v>2004</v>
      </c>
      <c r="L3" s="175">
        <v>2005</v>
      </c>
      <c r="M3" s="175">
        <v>2006</v>
      </c>
      <c r="N3" s="175">
        <v>2007</v>
      </c>
      <c r="O3" s="175">
        <v>2008</v>
      </c>
      <c r="P3" s="175">
        <v>2009</v>
      </c>
      <c r="Q3" s="175">
        <v>2010</v>
      </c>
      <c r="R3" s="175">
        <v>2011</v>
      </c>
      <c r="S3" s="175">
        <v>2012</v>
      </c>
      <c r="T3" s="175">
        <v>2013</v>
      </c>
      <c r="U3" s="175">
        <v>2014</v>
      </c>
    </row>
    <row r="4" spans="1:21" s="90" customFormat="1" ht="19.5" customHeight="1">
      <c r="A4" s="176" t="s">
        <v>231</v>
      </c>
      <c r="B4" s="177">
        <v>2237369</v>
      </c>
      <c r="C4" s="177">
        <v>2315411</v>
      </c>
      <c r="D4" s="177">
        <v>2423209</v>
      </c>
      <c r="E4" s="177">
        <v>2356263</v>
      </c>
      <c r="F4" s="177">
        <v>2239731</v>
      </c>
      <c r="G4" s="177">
        <v>2187447</v>
      </c>
      <c r="H4" s="177">
        <v>2121737</v>
      </c>
      <c r="I4" s="177">
        <v>2085436</v>
      </c>
      <c r="J4" s="177">
        <v>2061255</v>
      </c>
      <c r="K4" s="177">
        <v>2090792.9288758703</v>
      </c>
      <c r="L4" s="177">
        <v>2086117.1406883926</v>
      </c>
      <c r="M4" s="177">
        <v>2097848.694248413</v>
      </c>
      <c r="N4" s="177">
        <v>2108641.6733673913</v>
      </c>
      <c r="O4" s="177">
        <v>2109366.5065011494</v>
      </c>
      <c r="P4" s="177">
        <v>2134921.93159726</v>
      </c>
      <c r="Q4" s="177">
        <v>2110754.8827772425</v>
      </c>
      <c r="R4" s="177">
        <v>2143288.359020733</v>
      </c>
      <c r="S4" s="177">
        <v>2112961.2964023836</v>
      </c>
      <c r="T4" s="177">
        <v>2110065.84787366</v>
      </c>
      <c r="U4" s="177">
        <v>2107524.0201864867</v>
      </c>
    </row>
    <row r="5" spans="1:21" s="90" customFormat="1" ht="19.5" customHeight="1">
      <c r="A5" s="176" t="s">
        <v>232</v>
      </c>
      <c r="B5" s="177">
        <v>711689</v>
      </c>
      <c r="C5" s="177">
        <v>678920</v>
      </c>
      <c r="D5" s="177">
        <v>691970</v>
      </c>
      <c r="E5" s="177">
        <v>718230</v>
      </c>
      <c r="F5" s="177">
        <v>687324</v>
      </c>
      <c r="G5" s="177">
        <v>559823</v>
      </c>
      <c r="H5" s="177">
        <v>413399</v>
      </c>
      <c r="I5" s="177">
        <v>407596</v>
      </c>
      <c r="J5" s="177">
        <v>392796</v>
      </c>
      <c r="K5" s="177">
        <v>191950</v>
      </c>
      <c r="L5" s="177">
        <v>178000</v>
      </c>
      <c r="M5" s="177">
        <v>170005.5555340711</v>
      </c>
      <c r="N5" s="177">
        <v>168618.30713160842</v>
      </c>
      <c r="O5" s="177">
        <v>168797.99628266977</v>
      </c>
      <c r="P5" s="177">
        <v>169809.43245980368</v>
      </c>
      <c r="Q5" s="177">
        <v>170917.30475273344</v>
      </c>
      <c r="R5" s="177">
        <v>171671.4575322655</v>
      </c>
      <c r="S5" s="177">
        <v>172042.59294372503</v>
      </c>
      <c r="T5" s="177">
        <v>172033.6442892112</v>
      </c>
      <c r="U5" s="177">
        <v>171625.4898785333</v>
      </c>
    </row>
    <row r="6" spans="1:21" s="90" customFormat="1" ht="19.5" customHeight="1">
      <c r="A6" s="176" t="s">
        <v>233</v>
      </c>
      <c r="B6" s="177">
        <v>76590</v>
      </c>
      <c r="C6" s="177">
        <v>85388</v>
      </c>
      <c r="D6" s="177">
        <v>83914</v>
      </c>
      <c r="E6" s="177">
        <v>103617</v>
      </c>
      <c r="F6" s="177">
        <v>131380</v>
      </c>
      <c r="G6" s="177">
        <v>111567</v>
      </c>
      <c r="H6" s="177">
        <v>88059</v>
      </c>
      <c r="I6" s="177">
        <v>86442</v>
      </c>
      <c r="J6" s="177">
        <v>80126</v>
      </c>
      <c r="K6" s="177">
        <v>185046</v>
      </c>
      <c r="L6" s="177">
        <v>165610</v>
      </c>
      <c r="M6" s="177">
        <v>154838.97530797368</v>
      </c>
      <c r="N6" s="177">
        <v>154613.40202440345</v>
      </c>
      <c r="O6" s="177">
        <v>154550.31418458075</v>
      </c>
      <c r="P6" s="177">
        <v>154377.6409511004</v>
      </c>
      <c r="Q6" s="177">
        <v>153852.47791148286</v>
      </c>
      <c r="R6" s="177">
        <v>153169.198466061</v>
      </c>
      <c r="S6" s="177">
        <v>152213.78218413325</v>
      </c>
      <c r="T6" s="177">
        <v>151111.17270493828</v>
      </c>
      <c r="U6" s="177">
        <v>150046.4661762379</v>
      </c>
    </row>
    <row r="7" spans="1:21" s="90" customFormat="1" ht="19.5" customHeight="1">
      <c r="A7" s="176" t="s">
        <v>234</v>
      </c>
      <c r="B7" s="177">
        <v>3025648</v>
      </c>
      <c r="C7" s="177">
        <v>3079719</v>
      </c>
      <c r="D7" s="177">
        <v>3199093</v>
      </c>
      <c r="E7" s="177">
        <v>3178110</v>
      </c>
      <c r="F7" s="177">
        <v>3058435</v>
      </c>
      <c r="G7" s="177">
        <v>2858837</v>
      </c>
      <c r="H7" s="177">
        <v>2623195</v>
      </c>
      <c r="I7" s="177">
        <v>2579474</v>
      </c>
      <c r="J7" s="177">
        <v>2534177</v>
      </c>
      <c r="K7" s="177">
        <v>2467788.92887587</v>
      </c>
      <c r="L7" s="177">
        <v>2429727.1406883923</v>
      </c>
      <c r="M7" s="177">
        <v>2422693.225090458</v>
      </c>
      <c r="N7" s="177">
        <v>2431873.3825234035</v>
      </c>
      <c r="O7" s="177">
        <v>2432714.8169684</v>
      </c>
      <c r="P7" s="177">
        <v>2459109.005008164</v>
      </c>
      <c r="Q7" s="177">
        <v>2435524.665441459</v>
      </c>
      <c r="R7" s="177">
        <v>2468129.0150190596</v>
      </c>
      <c r="S7" s="177">
        <v>2437217.671530242</v>
      </c>
      <c r="T7" s="177">
        <v>2433210.6648678095</v>
      </c>
      <c r="U7" s="177">
        <v>2429195.976241258</v>
      </c>
    </row>
    <row r="8" spans="1:21" s="90" customFormat="1" ht="19.5" customHeight="1">
      <c r="A8" s="176" t="s">
        <v>235</v>
      </c>
      <c r="B8" s="177">
        <v>1147220</v>
      </c>
      <c r="C8" s="177">
        <v>1144449</v>
      </c>
      <c r="D8" s="177">
        <v>1151974</v>
      </c>
      <c r="E8" s="177">
        <v>1159633</v>
      </c>
      <c r="F8" s="177">
        <v>1174385</v>
      </c>
      <c r="G8" s="177">
        <v>1188155</v>
      </c>
      <c r="H8" s="177">
        <v>1184290</v>
      </c>
      <c r="I8" s="177">
        <v>1186328</v>
      </c>
      <c r="J8" s="177">
        <v>1195376</v>
      </c>
      <c r="K8" s="177">
        <v>1208480</v>
      </c>
      <c r="L8" s="177">
        <v>1214825</v>
      </c>
      <c r="M8" s="177">
        <v>1220747</v>
      </c>
      <c r="N8" s="177">
        <v>1222090</v>
      </c>
      <c r="O8" s="177">
        <v>1239658</v>
      </c>
      <c r="P8" s="177">
        <v>1263062</v>
      </c>
      <c r="Q8" s="177">
        <v>1287665</v>
      </c>
      <c r="R8" s="177">
        <v>1313534</v>
      </c>
      <c r="S8" s="177">
        <v>1340747</v>
      </c>
      <c r="T8" s="177">
        <v>1369387</v>
      </c>
      <c r="U8" s="177">
        <v>1399552</v>
      </c>
    </row>
    <row r="9" spans="1:21" s="90" customFormat="1" ht="19.5" customHeight="1">
      <c r="A9" s="176" t="s">
        <v>236</v>
      </c>
      <c r="B9" s="177">
        <v>742976</v>
      </c>
      <c r="C9" s="177">
        <v>748394</v>
      </c>
      <c r="D9" s="177">
        <v>760273</v>
      </c>
      <c r="E9" s="177">
        <v>771470</v>
      </c>
      <c r="F9" s="177">
        <v>785777</v>
      </c>
      <c r="G9" s="177">
        <v>801732</v>
      </c>
      <c r="H9" s="177">
        <v>798158</v>
      </c>
      <c r="I9" s="177">
        <v>800187</v>
      </c>
      <c r="J9" s="177">
        <v>812963</v>
      </c>
      <c r="K9" s="177">
        <v>827171</v>
      </c>
      <c r="L9" s="177">
        <v>844869</v>
      </c>
      <c r="M9" s="177">
        <v>853267</v>
      </c>
      <c r="N9" s="177">
        <v>857045</v>
      </c>
      <c r="O9" s="177">
        <v>876739</v>
      </c>
      <c r="P9" s="177">
        <v>904086</v>
      </c>
      <c r="Q9" s="177">
        <v>932447</v>
      </c>
      <c r="R9" s="177">
        <v>961877</v>
      </c>
      <c r="S9" s="177">
        <v>992431</v>
      </c>
      <c r="T9" s="177">
        <v>1024170</v>
      </c>
      <c r="U9" s="177">
        <v>1057159</v>
      </c>
    </row>
    <row r="10" spans="1:21" s="90" customFormat="1" ht="19.5" customHeight="1">
      <c r="A10" s="176" t="s">
        <v>237</v>
      </c>
      <c r="B10" s="178">
        <f aca="true" t="shared" si="0" ref="B10:U10">B7/B8</f>
        <v>2.6373738254214536</v>
      </c>
      <c r="C10" s="178">
        <f t="shared" si="0"/>
        <v>2.6910058901707283</v>
      </c>
      <c r="D10" s="178">
        <f t="shared" si="0"/>
        <v>2.777053127935179</v>
      </c>
      <c r="E10" s="178">
        <f t="shared" si="0"/>
        <v>2.740617074539962</v>
      </c>
      <c r="F10" s="178">
        <f t="shared" si="0"/>
        <v>2.6042864988909087</v>
      </c>
      <c r="G10" s="178">
        <f t="shared" si="0"/>
        <v>2.4061145220951814</v>
      </c>
      <c r="H10" s="178">
        <f t="shared" si="0"/>
        <v>2.2149937937498416</v>
      </c>
      <c r="I10" s="178">
        <f t="shared" si="0"/>
        <v>2.174334585376051</v>
      </c>
      <c r="J10" s="178">
        <f t="shared" si="0"/>
        <v>2.1199831684758603</v>
      </c>
      <c r="K10" s="178">
        <f t="shared" si="0"/>
        <v>2.042060215209081</v>
      </c>
      <c r="L10" s="178">
        <f t="shared" si="0"/>
        <v>2.00006349942452</v>
      </c>
      <c r="M10" s="178">
        <f t="shared" si="0"/>
        <v>1.9845989587444886</v>
      </c>
      <c r="N10" s="178">
        <f t="shared" si="0"/>
        <v>1.9899298599312683</v>
      </c>
      <c r="O10" s="178">
        <f t="shared" si="0"/>
        <v>1.9624080326738504</v>
      </c>
      <c r="P10" s="178">
        <f t="shared" si="0"/>
        <v>1.9469424343446038</v>
      </c>
      <c r="Q10" s="178">
        <f t="shared" si="0"/>
        <v>1.8914272465598265</v>
      </c>
      <c r="R10" s="178">
        <f t="shared" si="0"/>
        <v>1.878998956265357</v>
      </c>
      <c r="S10" s="178">
        <f t="shared" si="0"/>
        <v>1.8178057989540473</v>
      </c>
      <c r="T10" s="178">
        <f t="shared" si="0"/>
        <v>1.776861226861223</v>
      </c>
      <c r="U10" s="178">
        <f t="shared" si="0"/>
        <v>1.7356954055592488</v>
      </c>
    </row>
    <row r="11" spans="1:21" s="90" customFormat="1" ht="19.5" customHeight="1">
      <c r="A11" s="87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</row>
    <row r="12" spans="1:21" s="90" customFormat="1" ht="13.5">
      <c r="A12" s="90" t="s">
        <v>230</v>
      </c>
      <c r="B12" s="91"/>
      <c r="C12" s="91"/>
      <c r="D12" s="91"/>
      <c r="E12" s="91"/>
      <c r="F12" s="91"/>
      <c r="G12" s="91"/>
      <c r="H12" s="91"/>
      <c r="I12" s="91"/>
      <c r="J12" s="91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s="90" customFormat="1" ht="13.5">
      <c r="A13" s="89"/>
      <c r="B13" s="93"/>
      <c r="C13" s="93"/>
      <c r="D13" s="93"/>
      <c r="E13" s="93"/>
      <c r="F13" s="93"/>
      <c r="G13" s="93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2:21" ht="14.25" customHeight="1">
      <c r="B14" s="88"/>
      <c r="C14" s="88" t="s">
        <v>269</v>
      </c>
      <c r="D14" s="88"/>
      <c r="E14" s="88"/>
      <c r="F14" s="88"/>
      <c r="G14" s="88"/>
      <c r="H14" s="179"/>
      <c r="I14" s="179"/>
      <c r="J14" s="179"/>
      <c r="K14" s="179"/>
      <c r="L14" s="179" t="s">
        <v>270</v>
      </c>
      <c r="M14" s="179"/>
      <c r="N14" s="179"/>
      <c r="O14" s="179"/>
      <c r="P14" s="179"/>
      <c r="Q14" s="179"/>
      <c r="R14" s="179"/>
      <c r="S14" s="179"/>
      <c r="T14" s="179"/>
      <c r="U14" s="179"/>
    </row>
    <row r="15" spans="1:21" s="90" customFormat="1" ht="14.25" customHeight="1">
      <c r="A15" s="94"/>
      <c r="B15" s="93"/>
      <c r="C15" s="93"/>
      <c r="D15" s="93"/>
      <c r="E15" s="93"/>
      <c r="F15" s="93"/>
      <c r="G15" s="93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s="90" customFormat="1" ht="14.25" customHeight="1">
      <c r="A16" s="95"/>
      <c r="B16" s="93"/>
      <c r="C16" s="93"/>
      <c r="D16" s="93"/>
      <c r="E16" s="93"/>
      <c r="F16" s="93"/>
      <c r="G16" s="93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</row>
    <row r="17" spans="1:21" s="90" customFormat="1" ht="14.25" customHeight="1">
      <c r="A17" s="95"/>
      <c r="B17" s="93"/>
      <c r="C17" s="93"/>
      <c r="D17" s="93"/>
      <c r="E17" s="93"/>
      <c r="F17" s="93"/>
      <c r="G17" s="93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</row>
    <row r="18" spans="2:21" s="90" customFormat="1" ht="14.25" customHeight="1">
      <c r="B18" s="96"/>
      <c r="C18" s="96"/>
      <c r="D18" s="96"/>
      <c r="E18" s="96"/>
      <c r="F18" s="96"/>
      <c r="G18" s="96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</row>
    <row r="19" spans="1:21" s="90" customFormat="1" ht="13.5">
      <c r="A19" s="89"/>
      <c r="B19" s="96"/>
      <c r="C19" s="96"/>
      <c r="D19" s="96"/>
      <c r="E19" s="96"/>
      <c r="F19" s="96"/>
      <c r="G19" s="96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</row>
    <row r="20" spans="1:21" s="90" customFormat="1" ht="13.5">
      <c r="A20" s="89"/>
      <c r="B20" s="96"/>
      <c r="C20" s="96"/>
      <c r="D20" s="96"/>
      <c r="E20" s="96"/>
      <c r="F20" s="96"/>
      <c r="G20" s="96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</row>
    <row r="21" spans="1:10" ht="13.5">
      <c r="A21" s="89"/>
      <c r="B21" s="96"/>
      <c r="C21" s="96"/>
      <c r="D21" s="96"/>
      <c r="E21" s="96"/>
      <c r="F21" s="96"/>
      <c r="G21" s="96"/>
      <c r="H21" s="97"/>
      <c r="I21" s="97"/>
      <c r="J21" s="97"/>
    </row>
    <row r="23" spans="2:7" ht="22.5" customHeight="1">
      <c r="B23" s="98"/>
      <c r="C23" s="98"/>
      <c r="D23" s="98"/>
      <c r="E23" s="98"/>
      <c r="F23" s="98"/>
      <c r="G23" s="98"/>
    </row>
    <row r="28" spans="1:7" ht="22.5" customHeight="1">
      <c r="A28" s="89"/>
      <c r="B28" s="96"/>
      <c r="C28" s="96"/>
      <c r="D28" s="96"/>
      <c r="E28" s="96"/>
      <c r="F28" s="96"/>
      <c r="G28" s="96"/>
    </row>
    <row r="29" spans="1:7" ht="13.5">
      <c r="A29" s="89"/>
      <c r="B29" s="96"/>
      <c r="C29" s="96"/>
      <c r="D29" s="96"/>
      <c r="E29" s="96"/>
      <c r="F29" s="96"/>
      <c r="G29" s="96"/>
    </row>
    <row r="30" spans="3:12" ht="22.5" customHeight="1">
      <c r="C30" s="85" t="s">
        <v>276</v>
      </c>
      <c r="L30" s="84" t="s">
        <v>277</v>
      </c>
    </row>
  </sheetData>
  <printOptions/>
  <pageMargins left="0.2" right="0" top="0.49" bottom="0" header="0.15748031496062992" footer="0"/>
  <pageSetup horizontalDpi="600" verticalDpi="600" orientation="landscape" paperSize="9" scale="65" r:id="rId2"/>
  <headerFooter alignWithMargins="0">
    <oddHeader>&amp;L&amp;8Sociálna poisťovňa,
odd. analýz, prognóz a štatistiky&amp;C&amp;7&amp;Z&amp;F    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23" sqref="A23:K23"/>
    </sheetView>
  </sheetViews>
  <sheetFormatPr defaultColWidth="9.00390625" defaultRowHeight="12.75"/>
  <cols>
    <col min="1" max="1" width="24.875" style="3" customWidth="1"/>
    <col min="2" max="16384" width="9.125" style="3" customWidth="1"/>
  </cols>
  <sheetData>
    <row r="2" ht="13.5">
      <c r="A2" s="3" t="s">
        <v>271</v>
      </c>
    </row>
    <row r="3" spans="1:11" ht="18.75">
      <c r="A3" s="218" t="s">
        <v>206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6.5">
      <c r="A4" s="129"/>
      <c r="B4" s="130">
        <v>1995</v>
      </c>
      <c r="C4" s="130">
        <v>1996</v>
      </c>
      <c r="D4" s="130">
        <v>1997</v>
      </c>
      <c r="E4" s="130">
        <v>1998</v>
      </c>
      <c r="F4" s="130">
        <v>1999</v>
      </c>
      <c r="G4" s="130">
        <v>2000</v>
      </c>
      <c r="H4" s="130">
        <v>2001</v>
      </c>
      <c r="I4" s="130">
        <v>2002</v>
      </c>
      <c r="J4" s="130">
        <v>2003</v>
      </c>
      <c r="K4" s="130">
        <v>2004</v>
      </c>
    </row>
    <row r="5" spans="1:11" ht="13.5">
      <c r="A5" s="65" t="s">
        <v>74</v>
      </c>
      <c r="B5" s="66">
        <v>2036586</v>
      </c>
      <c r="C5" s="66">
        <v>2096279</v>
      </c>
      <c r="D5" s="66">
        <v>2185502</v>
      </c>
      <c r="E5" s="66">
        <v>2103318</v>
      </c>
      <c r="F5" s="66">
        <v>1973894</v>
      </c>
      <c r="G5" s="66">
        <v>1912381</v>
      </c>
      <c r="H5" s="66">
        <v>1894469</v>
      </c>
      <c r="I5" s="66">
        <v>1867701</v>
      </c>
      <c r="J5" s="66">
        <v>1839070</v>
      </c>
      <c r="K5" s="66">
        <v>1824097</v>
      </c>
    </row>
    <row r="6" spans="1:11" ht="13.5">
      <c r="A6" s="65" t="s">
        <v>75</v>
      </c>
      <c r="B6" s="66">
        <f>157574+5520+36720+2209</f>
        <v>202023</v>
      </c>
      <c r="C6" s="66">
        <f>171133+7702+42082+2155</f>
        <v>223072</v>
      </c>
      <c r="D6" s="66">
        <f>185400+8848+46523+1894</f>
        <v>242665</v>
      </c>
      <c r="E6" s="66">
        <f>198713+9970+49964+1741</f>
        <v>260388</v>
      </c>
      <c r="F6" s="66">
        <v>271096</v>
      </c>
      <c r="G6" s="66">
        <v>277478</v>
      </c>
      <c r="H6" s="66">
        <v>201942</v>
      </c>
      <c r="I6" s="66">
        <v>187368</v>
      </c>
      <c r="J6" s="66">
        <v>188849</v>
      </c>
      <c r="K6" s="66">
        <v>194846</v>
      </c>
    </row>
    <row r="7" spans="1:11" ht="13.5">
      <c r="A7" s="65" t="s">
        <v>76</v>
      </c>
      <c r="B7" s="66"/>
      <c r="C7" s="66"/>
      <c r="D7" s="66"/>
      <c r="E7" s="66"/>
      <c r="F7" s="66"/>
      <c r="G7" s="66"/>
      <c r="H7" s="66">
        <f>9702+3872</f>
        <v>13574</v>
      </c>
      <c r="I7" s="66">
        <f>24279+4444</f>
        <v>28723</v>
      </c>
      <c r="J7" s="66">
        <f>38926+4462</f>
        <v>43388</v>
      </c>
      <c r="K7" s="66">
        <v>51361</v>
      </c>
    </row>
    <row r="8" spans="1:11" ht="13.5">
      <c r="A8" s="65" t="s">
        <v>77</v>
      </c>
      <c r="B8" s="66">
        <f>882+3396</f>
        <v>4278</v>
      </c>
      <c r="C8" s="66">
        <f>998+2764</f>
        <v>3762</v>
      </c>
      <c r="D8" s="66">
        <f>1528+2361</f>
        <v>3889</v>
      </c>
      <c r="E8" s="66">
        <f>798+1729</f>
        <v>2527</v>
      </c>
      <c r="F8" s="66">
        <v>2096</v>
      </c>
      <c r="G8" s="66">
        <v>1902</v>
      </c>
      <c r="H8" s="66">
        <f>1342+3872+20110</f>
        <v>25324</v>
      </c>
      <c r="I8" s="66">
        <f>984+4444+24938</f>
        <v>30366</v>
      </c>
      <c r="J8" s="66">
        <f>747+4462+28128</f>
        <v>33337</v>
      </c>
      <c r="K8" s="66">
        <v>35005</v>
      </c>
    </row>
    <row r="9" spans="1:11" ht="13.5">
      <c r="A9" s="65" t="s">
        <v>78</v>
      </c>
      <c r="B9" s="67" t="s">
        <v>41</v>
      </c>
      <c r="C9" s="67" t="s">
        <v>41</v>
      </c>
      <c r="D9" s="67" t="s">
        <v>41</v>
      </c>
      <c r="E9" s="67" t="s">
        <v>41</v>
      </c>
      <c r="F9" s="67" t="s">
        <v>41</v>
      </c>
      <c r="G9" s="67" t="s">
        <v>41</v>
      </c>
      <c r="H9" s="67" t="s">
        <v>41</v>
      </c>
      <c r="I9" s="67" t="s">
        <v>41</v>
      </c>
      <c r="J9" s="67" t="s">
        <v>41</v>
      </c>
      <c r="K9" s="66">
        <v>50686</v>
      </c>
    </row>
    <row r="10" spans="1:11" ht="13.5">
      <c r="A10" s="65" t="s">
        <v>79</v>
      </c>
      <c r="B10" s="66">
        <v>76590</v>
      </c>
      <c r="C10" s="66">
        <v>85388</v>
      </c>
      <c r="D10" s="66">
        <v>83914</v>
      </c>
      <c r="E10" s="66">
        <v>103617</v>
      </c>
      <c r="F10" s="66">
        <v>131380</v>
      </c>
      <c r="G10" s="66">
        <v>111567</v>
      </c>
      <c r="H10" s="66">
        <v>88059</v>
      </c>
      <c r="I10" s="66">
        <v>86442</v>
      </c>
      <c r="J10" s="66">
        <v>80126</v>
      </c>
      <c r="K10" s="67" t="s">
        <v>41</v>
      </c>
    </row>
    <row r="11" spans="1:11" ht="13.5">
      <c r="A11" s="65" t="s">
        <v>80</v>
      </c>
      <c r="B11" s="66">
        <v>632428</v>
      </c>
      <c r="C11" s="66">
        <v>570164</v>
      </c>
      <c r="D11" s="66">
        <v>586698</v>
      </c>
      <c r="E11" s="66">
        <v>661209</v>
      </c>
      <c r="F11" s="66">
        <v>715158</v>
      </c>
      <c r="G11" s="66">
        <v>760970</v>
      </c>
      <c r="H11" s="66">
        <v>790344</v>
      </c>
      <c r="I11" s="66">
        <v>800088</v>
      </c>
      <c r="J11" s="66">
        <v>761386</v>
      </c>
      <c r="K11" s="67" t="s">
        <v>41</v>
      </c>
    </row>
    <row r="12" spans="1:11" ht="13.5">
      <c r="A12" s="65" t="s">
        <v>81</v>
      </c>
      <c r="B12" s="66">
        <v>713048</v>
      </c>
      <c r="C12" s="66">
        <v>674354</v>
      </c>
      <c r="D12" s="66">
        <v>671488</v>
      </c>
      <c r="E12" s="66">
        <v>716643</v>
      </c>
      <c r="F12" s="66">
        <v>687324</v>
      </c>
      <c r="G12" s="66">
        <v>559823</v>
      </c>
      <c r="H12" s="66">
        <v>413399</v>
      </c>
      <c r="I12" s="66">
        <v>407596</v>
      </c>
      <c r="J12" s="66">
        <v>392796</v>
      </c>
      <c r="K12" s="66">
        <v>169487</v>
      </c>
    </row>
    <row r="13" spans="1:11" ht="14.25" thickBot="1">
      <c r="A13" s="68" t="s">
        <v>82</v>
      </c>
      <c r="B13" s="69" t="s">
        <v>6</v>
      </c>
      <c r="C13" s="69" t="s">
        <v>6</v>
      </c>
      <c r="D13" s="69" t="s">
        <v>6</v>
      </c>
      <c r="E13" s="69" t="s">
        <v>6</v>
      </c>
      <c r="F13" s="69" t="s">
        <v>6</v>
      </c>
      <c r="G13" s="69" t="s">
        <v>6</v>
      </c>
      <c r="H13" s="69" t="s">
        <v>6</v>
      </c>
      <c r="I13" s="69" t="s">
        <v>6</v>
      </c>
      <c r="J13" s="69" t="s">
        <v>6</v>
      </c>
      <c r="K13" s="70">
        <v>184151</v>
      </c>
    </row>
    <row r="14" spans="1:11" ht="15.75" thickTop="1">
      <c r="A14" s="71" t="s">
        <v>83</v>
      </c>
      <c r="B14" s="72">
        <v>2947629</v>
      </c>
      <c r="C14" s="72">
        <v>2974863</v>
      </c>
      <c r="D14" s="72">
        <v>3098202</v>
      </c>
      <c r="E14" s="72">
        <v>3129792</v>
      </c>
      <c r="F14" s="72">
        <v>3091528</v>
      </c>
      <c r="G14" s="72">
        <v>3062396</v>
      </c>
      <c r="H14" s="72">
        <v>2988387</v>
      </c>
      <c r="I14" s="72">
        <v>2970324</v>
      </c>
      <c r="J14" s="72">
        <v>2912819</v>
      </c>
      <c r="K14" s="72">
        <f>K5+K6+K7</f>
        <v>2070304</v>
      </c>
    </row>
    <row r="15" spans="1:11" ht="15">
      <c r="A15" s="73" t="s">
        <v>84</v>
      </c>
      <c r="B15" s="74">
        <v>3027007</v>
      </c>
      <c r="C15" s="74">
        <v>3075113</v>
      </c>
      <c r="D15" s="74">
        <v>3178033</v>
      </c>
      <c r="E15" s="74">
        <v>3177783</v>
      </c>
      <c r="F15" s="74">
        <v>3058435</v>
      </c>
      <c r="G15" s="74">
        <v>2858837</v>
      </c>
      <c r="H15" s="74">
        <v>2623192</v>
      </c>
      <c r="I15" s="74">
        <v>2579475</v>
      </c>
      <c r="J15" s="74">
        <v>2534117</v>
      </c>
      <c r="K15" s="74">
        <f>K5+K6+K8+K12+K13</f>
        <v>2407586</v>
      </c>
    </row>
    <row r="16" spans="1:11" ht="15">
      <c r="A16" s="73" t="s">
        <v>85</v>
      </c>
      <c r="B16" s="74"/>
      <c r="C16" s="74"/>
      <c r="D16" s="74"/>
      <c r="E16" s="74"/>
      <c r="F16" s="74"/>
      <c r="G16" s="74"/>
      <c r="H16" s="74"/>
      <c r="I16" s="74"/>
      <c r="J16" s="74"/>
      <c r="K16" s="74">
        <f>K5+K6+K8+K12</f>
        <v>2223435</v>
      </c>
    </row>
    <row r="17" spans="1:11" ht="15">
      <c r="A17" s="73" t="s">
        <v>86</v>
      </c>
      <c r="B17" s="75" t="s">
        <v>6</v>
      </c>
      <c r="C17" s="75" t="s">
        <v>6</v>
      </c>
      <c r="D17" s="75" t="s">
        <v>6</v>
      </c>
      <c r="E17" s="75" t="s">
        <v>6</v>
      </c>
      <c r="F17" s="75" t="s">
        <v>6</v>
      </c>
      <c r="G17" s="75" t="s">
        <v>6</v>
      </c>
      <c r="H17" s="75" t="s">
        <v>6</v>
      </c>
      <c r="I17" s="75" t="s">
        <v>6</v>
      </c>
      <c r="J17" s="75" t="s">
        <v>6</v>
      </c>
      <c r="K17" s="74">
        <f>K5+K9</f>
        <v>1874783</v>
      </c>
    </row>
    <row r="18" spans="1:11" ht="15">
      <c r="A18" s="64"/>
      <c r="B18" s="131"/>
      <c r="C18" s="131"/>
      <c r="D18" s="131"/>
      <c r="E18" s="131"/>
      <c r="F18" s="131"/>
      <c r="G18" s="131"/>
      <c r="H18" s="131"/>
      <c r="I18" s="131"/>
      <c r="J18" s="131"/>
      <c r="K18" s="132"/>
    </row>
    <row r="19" spans="1:11" ht="13.5">
      <c r="A19" s="107" t="s">
        <v>87</v>
      </c>
      <c r="B19" s="133"/>
      <c r="C19" s="133"/>
      <c r="D19" s="133"/>
      <c r="E19" s="133"/>
      <c r="F19" s="133"/>
      <c r="G19" s="133"/>
      <c r="H19" s="133"/>
      <c r="I19" s="133"/>
      <c r="J19" s="25"/>
      <c r="K19" s="25"/>
    </row>
    <row r="20" spans="1:9" ht="13.5">
      <c r="A20" s="107" t="s">
        <v>88</v>
      </c>
      <c r="B20" s="107"/>
      <c r="C20" s="107"/>
      <c r="D20" s="107"/>
      <c r="E20" s="107"/>
      <c r="F20" s="107"/>
      <c r="G20" s="107"/>
      <c r="H20" s="107"/>
      <c r="I20" s="107"/>
    </row>
    <row r="22" ht="13.5">
      <c r="A22" s="3" t="s">
        <v>272</v>
      </c>
    </row>
    <row r="23" spans="1:11" ht="18.75">
      <c r="A23" s="218" t="s">
        <v>207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</row>
    <row r="24" spans="1:11" ht="16.5">
      <c r="A24" s="129"/>
      <c r="B24" s="130">
        <v>1995</v>
      </c>
      <c r="C24" s="130">
        <v>1996</v>
      </c>
      <c r="D24" s="130">
        <v>1997</v>
      </c>
      <c r="E24" s="130">
        <v>1998</v>
      </c>
      <c r="F24" s="130">
        <v>1999</v>
      </c>
      <c r="G24" s="130">
        <v>2000</v>
      </c>
      <c r="H24" s="130">
        <v>2001</v>
      </c>
      <c r="I24" s="130">
        <v>2002</v>
      </c>
      <c r="J24" s="130">
        <v>2003</v>
      </c>
      <c r="K24" s="130">
        <v>2004</v>
      </c>
    </row>
    <row r="25" spans="1:11" ht="13.5">
      <c r="A25" s="65" t="s">
        <v>74</v>
      </c>
      <c r="B25" s="66">
        <v>2075462</v>
      </c>
      <c r="C25" s="66">
        <v>2121708</v>
      </c>
      <c r="D25" s="66">
        <v>2176649</v>
      </c>
      <c r="E25" s="66">
        <v>2059464</v>
      </c>
      <c r="F25" s="66">
        <v>1910284</v>
      </c>
      <c r="G25" s="66">
        <v>1925103</v>
      </c>
      <c r="H25" s="66">
        <v>1874021</v>
      </c>
      <c r="I25" s="66">
        <v>1850523</v>
      </c>
      <c r="J25" s="66">
        <v>1805356</v>
      </c>
      <c r="K25" s="66">
        <v>1820240</v>
      </c>
    </row>
    <row r="26" spans="1:11" ht="13.5">
      <c r="A26" s="65" t="s">
        <v>75</v>
      </c>
      <c r="B26" s="66">
        <f>161076+6243+38437+2192</f>
        <v>207948</v>
      </c>
      <c r="C26" s="66">
        <f>175668+8053+43696+2101</f>
        <v>229518</v>
      </c>
      <c r="D26" s="66">
        <f>191587+9310+47806+1818</f>
        <v>250521</v>
      </c>
      <c r="E26" s="66">
        <f>201636+10287+50977+1713</f>
        <v>264613</v>
      </c>
      <c r="F26" s="66">
        <v>274131</v>
      </c>
      <c r="G26" s="66">
        <v>280999</v>
      </c>
      <c r="H26" s="66">
        <v>190250</v>
      </c>
      <c r="I26" s="66">
        <v>188555</v>
      </c>
      <c r="J26" s="66">
        <v>191704</v>
      </c>
      <c r="K26" s="66">
        <v>199426</v>
      </c>
    </row>
    <row r="27" spans="1:11" ht="13.5">
      <c r="A27" s="65" t="s">
        <v>76</v>
      </c>
      <c r="B27" s="66"/>
      <c r="C27" s="66"/>
      <c r="D27" s="66"/>
      <c r="E27" s="66"/>
      <c r="F27" s="66"/>
      <c r="G27" s="66"/>
      <c r="H27" s="66">
        <f>13274+4360</f>
        <v>17634</v>
      </c>
      <c r="I27" s="66">
        <f>31129+4483</f>
        <v>35612</v>
      </c>
      <c r="J27" s="66">
        <f>41857+4286</f>
        <v>46143</v>
      </c>
      <c r="K27" s="66">
        <v>52388</v>
      </c>
    </row>
    <row r="28" spans="1:11" ht="13.5">
      <c r="A28" s="65" t="s">
        <v>77</v>
      </c>
      <c r="B28" s="66">
        <f>665+3120</f>
        <v>3785</v>
      </c>
      <c r="C28" s="66">
        <f>1022+2590</f>
        <v>3612</v>
      </c>
      <c r="D28" s="66">
        <f>1494+2112</f>
        <v>3606</v>
      </c>
      <c r="E28" s="66">
        <f>792+1636</f>
        <v>2428</v>
      </c>
      <c r="F28" s="66">
        <v>2013</v>
      </c>
      <c r="G28" s="66">
        <v>1918</v>
      </c>
      <c r="H28" s="66">
        <f>1044+4360+21112</f>
        <v>26516</v>
      </c>
      <c r="I28" s="66">
        <f>927+4483+26327</f>
        <v>31737</v>
      </c>
      <c r="J28" s="66">
        <f>578+4286+27967</f>
        <v>32831</v>
      </c>
      <c r="K28" s="66">
        <v>35802</v>
      </c>
    </row>
    <row r="29" spans="1:11" ht="13.5">
      <c r="A29" s="65" t="s">
        <v>78</v>
      </c>
      <c r="B29" s="67" t="s">
        <v>41</v>
      </c>
      <c r="C29" s="67" t="s">
        <v>41</v>
      </c>
      <c r="D29" s="67" t="s">
        <v>41</v>
      </c>
      <c r="E29" s="67" t="s">
        <v>41</v>
      </c>
      <c r="F29" s="67" t="s">
        <v>41</v>
      </c>
      <c r="G29" s="67" t="s">
        <v>41</v>
      </c>
      <c r="H29" s="67" t="s">
        <v>41</v>
      </c>
      <c r="I29" s="67" t="s">
        <v>41</v>
      </c>
      <c r="J29" s="67" t="s">
        <v>41</v>
      </c>
      <c r="K29" s="66">
        <v>54153</v>
      </c>
    </row>
    <row r="30" spans="1:11" ht="13.5">
      <c r="A30" s="65" t="s">
        <v>79</v>
      </c>
      <c r="B30" s="66">
        <v>89995</v>
      </c>
      <c r="C30" s="66">
        <v>93517</v>
      </c>
      <c r="D30" s="66">
        <v>92914</v>
      </c>
      <c r="E30" s="66">
        <v>119931</v>
      </c>
      <c r="F30" s="66">
        <v>144796</v>
      </c>
      <c r="G30" s="66">
        <v>92217</v>
      </c>
      <c r="H30" s="66">
        <v>94497</v>
      </c>
      <c r="I30" s="66">
        <v>89739</v>
      </c>
      <c r="J30" s="66">
        <v>94104</v>
      </c>
      <c r="K30" s="67" t="s">
        <v>41</v>
      </c>
    </row>
    <row r="31" spans="1:11" ht="13.5">
      <c r="A31" s="65" t="s">
        <v>80</v>
      </c>
      <c r="B31" s="66">
        <v>601066</v>
      </c>
      <c r="C31" s="66">
        <v>544949</v>
      </c>
      <c r="D31" s="66">
        <v>601762</v>
      </c>
      <c r="E31" s="66">
        <v>690441</v>
      </c>
      <c r="F31" s="66">
        <v>739471</v>
      </c>
      <c r="G31" s="66">
        <v>784204</v>
      </c>
      <c r="H31" s="66">
        <v>809867</v>
      </c>
      <c r="I31" s="66">
        <v>784622</v>
      </c>
      <c r="J31" s="66">
        <v>780078</v>
      </c>
      <c r="K31" s="67" t="s">
        <v>41</v>
      </c>
    </row>
    <row r="32" spans="1:11" ht="13.5">
      <c r="A32" s="65" t="s">
        <v>89</v>
      </c>
      <c r="B32" s="66">
        <v>704440</v>
      </c>
      <c r="C32" s="66">
        <v>648749</v>
      </c>
      <c r="D32" s="66">
        <v>684630</v>
      </c>
      <c r="E32" s="66">
        <v>719289</v>
      </c>
      <c r="F32" s="66">
        <v>675453</v>
      </c>
      <c r="G32" s="66">
        <v>403380</v>
      </c>
      <c r="H32" s="66">
        <v>418593</v>
      </c>
      <c r="I32" s="66">
        <v>408073</v>
      </c>
      <c r="J32" s="66">
        <v>392755</v>
      </c>
      <c r="K32" s="66">
        <v>174558</v>
      </c>
    </row>
    <row r="33" spans="1:11" ht="14.25" thickBot="1">
      <c r="A33" s="68" t="s">
        <v>82</v>
      </c>
      <c r="B33" s="69" t="s">
        <v>6</v>
      </c>
      <c r="C33" s="69" t="s">
        <v>6</v>
      </c>
      <c r="D33" s="69" t="s">
        <v>6</v>
      </c>
      <c r="E33" s="69" t="s">
        <v>6</v>
      </c>
      <c r="F33" s="69" t="s">
        <v>6</v>
      </c>
      <c r="G33" s="69" t="s">
        <v>6</v>
      </c>
      <c r="H33" s="69" t="s">
        <v>6</v>
      </c>
      <c r="I33" s="69" t="s">
        <v>6</v>
      </c>
      <c r="J33" s="69" t="s">
        <v>6</v>
      </c>
      <c r="K33" s="70">
        <v>181519</v>
      </c>
    </row>
    <row r="34" spans="1:11" ht="15.75" thickTop="1">
      <c r="A34" s="71" t="s">
        <v>83</v>
      </c>
      <c r="B34" s="72">
        <v>2974471</v>
      </c>
      <c r="C34" s="72">
        <v>2989692</v>
      </c>
      <c r="D34" s="72">
        <v>3121846</v>
      </c>
      <c r="E34" s="72">
        <v>3134449</v>
      </c>
      <c r="F34" s="72">
        <v>3068682</v>
      </c>
      <c r="G34" s="72">
        <v>3082523</v>
      </c>
      <c r="H34" s="72">
        <v>2986269</v>
      </c>
      <c r="I34" s="72">
        <v>2949051</v>
      </c>
      <c r="J34" s="72">
        <v>2917385</v>
      </c>
      <c r="K34" s="72">
        <f>K25+K26+K27</f>
        <v>2072054</v>
      </c>
    </row>
    <row r="35" spans="1:11" ht="15">
      <c r="A35" s="73" t="s">
        <v>84</v>
      </c>
      <c r="B35" s="74">
        <v>3075387</v>
      </c>
      <c r="C35" s="74">
        <v>3089051</v>
      </c>
      <c r="D35" s="74">
        <v>3199010</v>
      </c>
      <c r="E35" s="74">
        <v>3159940</v>
      </c>
      <c r="F35" s="74">
        <v>2990813</v>
      </c>
      <c r="G35" s="74">
        <v>2699212</v>
      </c>
      <c r="H35" s="74">
        <v>2603877</v>
      </c>
      <c r="I35" s="74">
        <v>2568627</v>
      </c>
      <c r="J35" s="74">
        <v>2516750</v>
      </c>
      <c r="K35" s="74">
        <f>K25+K26+K28+K32+K33</f>
        <v>2411545</v>
      </c>
    </row>
    <row r="36" spans="1:11" ht="15">
      <c r="A36" s="73" t="s">
        <v>85</v>
      </c>
      <c r="B36" s="74"/>
      <c r="C36" s="74"/>
      <c r="D36" s="74"/>
      <c r="E36" s="74"/>
      <c r="F36" s="74"/>
      <c r="G36" s="74"/>
      <c r="H36" s="74"/>
      <c r="I36" s="74"/>
      <c r="J36" s="74"/>
      <c r="K36" s="74">
        <f>K25+K26+K28+K32</f>
        <v>2230026</v>
      </c>
    </row>
    <row r="37" spans="1:11" ht="15">
      <c r="A37" s="73" t="s">
        <v>86</v>
      </c>
      <c r="B37" s="75" t="s">
        <v>6</v>
      </c>
      <c r="C37" s="75" t="s">
        <v>6</v>
      </c>
      <c r="D37" s="75" t="s">
        <v>6</v>
      </c>
      <c r="E37" s="75" t="s">
        <v>6</v>
      </c>
      <c r="F37" s="75" t="s">
        <v>6</v>
      </c>
      <c r="G37" s="75" t="s">
        <v>6</v>
      </c>
      <c r="H37" s="75" t="s">
        <v>6</v>
      </c>
      <c r="I37" s="75" t="s">
        <v>6</v>
      </c>
      <c r="J37" s="75" t="s">
        <v>6</v>
      </c>
      <c r="K37" s="74">
        <f>K25+K29</f>
        <v>1874393</v>
      </c>
    </row>
    <row r="39" ht="14.25">
      <c r="A39" s="106" t="s">
        <v>221</v>
      </c>
    </row>
  </sheetData>
  <mergeCells count="2">
    <mergeCell ref="A3:K3"/>
    <mergeCell ref="A23:K2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0">
      <selection activeCell="A28" sqref="A28"/>
    </sheetView>
  </sheetViews>
  <sheetFormatPr defaultColWidth="9.00390625" defaultRowHeight="12.75"/>
  <cols>
    <col min="1" max="1" width="25.625" style="3" customWidth="1"/>
    <col min="2" max="13" width="8.875" style="3" bestFit="1" customWidth="1"/>
    <col min="14" max="15" width="9.125" style="3" customWidth="1"/>
    <col min="16" max="16" width="25.25390625" style="3" customWidth="1"/>
    <col min="17" max="17" width="8.875" style="3" bestFit="1" customWidth="1"/>
    <col min="18" max="16384" width="9.125" style="3" customWidth="1"/>
  </cols>
  <sheetData>
    <row r="1" ht="13.5">
      <c r="A1" s="3" t="s">
        <v>273</v>
      </c>
    </row>
    <row r="2" spans="1:17" ht="19.5" thickBot="1">
      <c r="A2" s="217" t="s">
        <v>164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7.25" thickBot="1">
      <c r="A3" s="121"/>
      <c r="B3" s="212" t="s">
        <v>44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  <c r="P3" s="215" t="s">
        <v>45</v>
      </c>
      <c r="Q3" s="123" t="s">
        <v>44</v>
      </c>
    </row>
    <row r="4" spans="1:17" ht="20.25" thickBot="1">
      <c r="A4" s="121" t="s">
        <v>46</v>
      </c>
      <c r="B4" s="124">
        <v>1990</v>
      </c>
      <c r="C4" s="124">
        <v>1991</v>
      </c>
      <c r="D4" s="124">
        <v>1992</v>
      </c>
      <c r="E4" s="124">
        <v>1993</v>
      </c>
      <c r="F4" s="124">
        <v>1994</v>
      </c>
      <c r="G4" s="125">
        <v>1995</v>
      </c>
      <c r="H4" s="124">
        <v>1996</v>
      </c>
      <c r="I4" s="124">
        <v>1997</v>
      </c>
      <c r="J4" s="124">
        <v>1998</v>
      </c>
      <c r="K4" s="124">
        <v>1999</v>
      </c>
      <c r="L4" s="124">
        <v>2000</v>
      </c>
      <c r="M4" s="126">
        <v>2001</v>
      </c>
      <c r="N4" s="124">
        <v>2002</v>
      </c>
      <c r="O4" s="124">
        <v>2003</v>
      </c>
      <c r="P4" s="216"/>
      <c r="Q4" s="127" t="s">
        <v>213</v>
      </c>
    </row>
    <row r="5" spans="1:17" ht="13.5">
      <c r="A5" s="20" t="s">
        <v>47</v>
      </c>
      <c r="B5" s="21">
        <v>637438</v>
      </c>
      <c r="C5" s="21">
        <v>671715</v>
      </c>
      <c r="D5" s="21">
        <v>695010</v>
      </c>
      <c r="E5" s="21">
        <v>707461</v>
      </c>
      <c r="F5" s="21">
        <v>716056</v>
      </c>
      <c r="G5" s="22">
        <v>723963</v>
      </c>
      <c r="H5" s="21">
        <v>731781</v>
      </c>
      <c r="I5" s="21">
        <v>743072</v>
      </c>
      <c r="J5" s="23">
        <v>754333</v>
      </c>
      <c r="K5" s="23">
        <v>771323</v>
      </c>
      <c r="L5" s="23">
        <v>778030</v>
      </c>
      <c r="M5" s="23">
        <v>772341</v>
      </c>
      <c r="N5" s="23">
        <v>783676</v>
      </c>
      <c r="O5" s="23">
        <v>796251</v>
      </c>
      <c r="P5" s="24" t="s">
        <v>48</v>
      </c>
      <c r="Q5" s="23">
        <v>811937</v>
      </c>
    </row>
    <row r="6" spans="1:17" ht="13.5">
      <c r="A6" s="20" t="s">
        <v>35</v>
      </c>
      <c r="B6" s="21">
        <v>16715</v>
      </c>
      <c r="C6" s="21">
        <v>16922</v>
      </c>
      <c r="D6" s="21">
        <v>17046</v>
      </c>
      <c r="E6" s="21">
        <v>17140</v>
      </c>
      <c r="F6" s="21">
        <v>16982</v>
      </c>
      <c r="G6" s="22">
        <v>17275</v>
      </c>
      <c r="H6" s="21">
        <v>17263</v>
      </c>
      <c r="I6" s="21">
        <v>17231</v>
      </c>
      <c r="J6" s="21">
        <v>17521</v>
      </c>
      <c r="K6" s="21">
        <v>17522</v>
      </c>
      <c r="L6" s="21">
        <v>17485</v>
      </c>
      <c r="M6" s="21">
        <v>17324</v>
      </c>
      <c r="N6" s="21">
        <v>17144</v>
      </c>
      <c r="O6" s="21">
        <v>16911</v>
      </c>
      <c r="P6" s="24" t="s">
        <v>42</v>
      </c>
      <c r="Q6" s="21">
        <v>12668</v>
      </c>
    </row>
    <row r="7" spans="1:17" ht="13.5">
      <c r="A7" s="20" t="s">
        <v>36</v>
      </c>
      <c r="B7" s="21">
        <v>191418</v>
      </c>
      <c r="C7" s="21">
        <v>200480</v>
      </c>
      <c r="D7" s="21">
        <v>212637</v>
      </c>
      <c r="E7" s="21">
        <v>219886</v>
      </c>
      <c r="F7" s="21">
        <v>223003</v>
      </c>
      <c r="G7" s="22">
        <v>223451</v>
      </c>
      <c r="H7" s="21">
        <v>225005</v>
      </c>
      <c r="I7" s="21">
        <v>225475</v>
      </c>
      <c r="J7" s="21">
        <v>225049</v>
      </c>
      <c r="K7" s="21">
        <v>225018</v>
      </c>
      <c r="L7" s="21">
        <v>224751</v>
      </c>
      <c r="M7" s="21">
        <v>223661</v>
      </c>
      <c r="N7" s="21">
        <v>223330</v>
      </c>
      <c r="O7" s="21">
        <v>222145</v>
      </c>
      <c r="P7" s="24" t="s">
        <v>49</v>
      </c>
      <c r="Q7" s="21">
        <v>286319</v>
      </c>
    </row>
    <row r="8" spans="1:17" ht="13.5">
      <c r="A8" s="20" t="s">
        <v>37</v>
      </c>
      <c r="B8" s="21">
        <v>58676</v>
      </c>
      <c r="C8" s="21">
        <v>57980</v>
      </c>
      <c r="D8" s="21">
        <v>59846</v>
      </c>
      <c r="E8" s="21">
        <v>61969</v>
      </c>
      <c r="F8" s="21">
        <v>63016</v>
      </c>
      <c r="G8" s="22">
        <v>55668</v>
      </c>
      <c r="H8" s="21">
        <v>54451</v>
      </c>
      <c r="I8" s="21">
        <v>55518</v>
      </c>
      <c r="J8" s="21">
        <v>59167</v>
      </c>
      <c r="K8" s="21">
        <v>62391</v>
      </c>
      <c r="L8" s="21">
        <v>65236</v>
      </c>
      <c r="M8" s="21">
        <v>68706</v>
      </c>
      <c r="N8" s="21">
        <v>69978</v>
      </c>
      <c r="O8" s="21">
        <v>69909</v>
      </c>
      <c r="P8" s="24"/>
      <c r="Q8" s="21"/>
    </row>
    <row r="9" spans="1:17" ht="13.5">
      <c r="A9" s="20" t="s">
        <v>40</v>
      </c>
      <c r="B9" s="21">
        <v>25</v>
      </c>
      <c r="C9" s="21">
        <v>32</v>
      </c>
      <c r="D9" s="21">
        <v>74</v>
      </c>
      <c r="E9" s="21">
        <v>83</v>
      </c>
      <c r="F9" s="21">
        <v>80</v>
      </c>
      <c r="G9" s="22">
        <v>84</v>
      </c>
      <c r="H9" s="21">
        <v>86</v>
      </c>
      <c r="I9" s="21">
        <v>88</v>
      </c>
      <c r="J9" s="21">
        <v>102</v>
      </c>
      <c r="K9" s="21">
        <v>104</v>
      </c>
      <c r="L9" s="21">
        <v>110</v>
      </c>
      <c r="M9" s="21">
        <v>121</v>
      </c>
      <c r="N9" s="21">
        <v>122</v>
      </c>
      <c r="O9" s="21">
        <v>122</v>
      </c>
      <c r="P9" s="24"/>
      <c r="Q9" s="21"/>
    </row>
    <row r="10" spans="1:17" ht="13.5">
      <c r="A10" s="20" t="s">
        <v>50</v>
      </c>
      <c r="B10" s="21">
        <v>99600</v>
      </c>
      <c r="C10" s="21">
        <v>93953</v>
      </c>
      <c r="D10" s="21">
        <v>89170</v>
      </c>
      <c r="E10" s="21">
        <v>84729</v>
      </c>
      <c r="F10" s="21">
        <v>80809</v>
      </c>
      <c r="G10" s="22">
        <v>77371</v>
      </c>
      <c r="H10" s="21">
        <v>73282</v>
      </c>
      <c r="I10" s="21">
        <v>68991</v>
      </c>
      <c r="J10" s="21">
        <v>65580</v>
      </c>
      <c r="K10" s="21">
        <v>62645</v>
      </c>
      <c r="L10" s="21">
        <v>59726</v>
      </c>
      <c r="M10" s="21">
        <v>57185</v>
      </c>
      <c r="N10" s="21">
        <v>54766</v>
      </c>
      <c r="O10" s="21">
        <v>51093</v>
      </c>
      <c r="P10" s="24" t="s">
        <v>51</v>
      </c>
      <c r="Q10" s="21">
        <v>54304</v>
      </c>
    </row>
    <row r="11" spans="1:17" ht="15.75">
      <c r="A11" s="20" t="s">
        <v>201</v>
      </c>
      <c r="B11" s="21"/>
      <c r="C11" s="21">
        <v>1941</v>
      </c>
      <c r="D11" s="21">
        <v>2813</v>
      </c>
      <c r="E11" s="21">
        <v>3024</v>
      </c>
      <c r="F11" s="21">
        <v>3102</v>
      </c>
      <c r="G11" s="22">
        <v>3168</v>
      </c>
      <c r="H11" s="21">
        <v>3197</v>
      </c>
      <c r="I11" s="21">
        <v>3207</v>
      </c>
      <c r="J11" s="21">
        <v>3168</v>
      </c>
      <c r="K11" s="21">
        <v>3113</v>
      </c>
      <c r="L11" s="21">
        <v>3135</v>
      </c>
      <c r="M11" s="21">
        <v>3157</v>
      </c>
      <c r="N11" s="21">
        <v>3185</v>
      </c>
      <c r="O11" s="21">
        <v>3111</v>
      </c>
      <c r="P11" s="24" t="s">
        <v>202</v>
      </c>
      <c r="Q11" s="21">
        <v>2997</v>
      </c>
    </row>
    <row r="12" spans="1:17" ht="13.5">
      <c r="A12" s="20" t="s">
        <v>39</v>
      </c>
      <c r="B12" s="21">
        <v>42409</v>
      </c>
      <c r="C12" s="21">
        <v>40834</v>
      </c>
      <c r="D12" s="21">
        <v>40809</v>
      </c>
      <c r="E12" s="21">
        <v>40582</v>
      </c>
      <c r="F12" s="21">
        <v>39923</v>
      </c>
      <c r="G12" s="25">
        <v>39049</v>
      </c>
      <c r="H12" s="21">
        <v>38020</v>
      </c>
      <c r="I12" s="21">
        <v>36568</v>
      </c>
      <c r="J12" s="21">
        <v>34535</v>
      </c>
      <c r="K12" s="21">
        <v>33674</v>
      </c>
      <c r="L12" s="21">
        <v>32963</v>
      </c>
      <c r="M12" s="21">
        <v>33811</v>
      </c>
      <c r="N12" s="21">
        <v>34370</v>
      </c>
      <c r="O12" s="21">
        <v>33854</v>
      </c>
      <c r="P12" s="24" t="s">
        <v>39</v>
      </c>
      <c r="Q12" s="21">
        <v>33378</v>
      </c>
    </row>
    <row r="13" spans="1:17" ht="13.5">
      <c r="A13" s="20" t="s">
        <v>52</v>
      </c>
      <c r="B13" s="21"/>
      <c r="C13" s="21"/>
      <c r="D13" s="21"/>
      <c r="E13" s="21"/>
      <c r="F13" s="21"/>
      <c r="G13" s="25"/>
      <c r="H13" s="21"/>
      <c r="I13" s="21"/>
      <c r="J13" s="21"/>
      <c r="K13" s="21"/>
      <c r="L13" s="21"/>
      <c r="M13" s="21"/>
      <c r="N13" s="21"/>
      <c r="O13" s="21"/>
      <c r="P13" s="24"/>
      <c r="Q13" s="21"/>
    </row>
    <row r="14" spans="1:17" ht="13.5">
      <c r="A14" s="20" t="s">
        <v>53</v>
      </c>
      <c r="B14" s="21">
        <v>41759</v>
      </c>
      <c r="C14" s="21">
        <v>40286</v>
      </c>
      <c r="D14" s="21">
        <v>40239</v>
      </c>
      <c r="E14" s="21">
        <v>40042</v>
      </c>
      <c r="F14" s="21">
        <v>39384</v>
      </c>
      <c r="G14" s="25">
        <v>38486</v>
      </c>
      <c r="H14" s="21">
        <v>37463</v>
      </c>
      <c r="I14" s="21">
        <v>35982</v>
      </c>
      <c r="J14" s="21">
        <v>33974</v>
      </c>
      <c r="K14" s="21">
        <v>33147</v>
      </c>
      <c r="L14" s="21">
        <v>32407</v>
      </c>
      <c r="M14" s="21">
        <v>33182</v>
      </c>
      <c r="N14" s="21">
        <v>33710</v>
      </c>
      <c r="O14" s="21">
        <v>33171</v>
      </c>
      <c r="P14" s="24"/>
      <c r="Q14" s="21"/>
    </row>
    <row r="15" spans="1:17" ht="14.25" thickBot="1">
      <c r="A15" s="20" t="s">
        <v>54</v>
      </c>
      <c r="B15" s="21">
        <v>650</v>
      </c>
      <c r="C15" s="21">
        <v>548</v>
      </c>
      <c r="D15" s="21">
        <v>570</v>
      </c>
      <c r="E15" s="21">
        <v>540</v>
      </c>
      <c r="F15" s="21">
        <v>539</v>
      </c>
      <c r="G15" s="25">
        <v>560</v>
      </c>
      <c r="H15" s="21">
        <v>557</v>
      </c>
      <c r="I15" s="21">
        <v>586</v>
      </c>
      <c r="J15" s="26">
        <v>561</v>
      </c>
      <c r="K15" s="26">
        <v>527</v>
      </c>
      <c r="L15" s="26">
        <v>556</v>
      </c>
      <c r="M15" s="26">
        <v>629</v>
      </c>
      <c r="N15" s="26">
        <v>660</v>
      </c>
      <c r="O15" s="26">
        <v>683</v>
      </c>
      <c r="P15" s="24"/>
      <c r="Q15" s="26"/>
    </row>
    <row r="16" spans="1:17" ht="14.25" thickBot="1">
      <c r="A16" s="19" t="s">
        <v>7</v>
      </c>
      <c r="B16" s="27">
        <f>SUM(B5:B12)</f>
        <v>1046281</v>
      </c>
      <c r="C16" s="27">
        <f aca="true" t="shared" si="0" ref="C16:O16">SUM(C5:C12)</f>
        <v>1083857</v>
      </c>
      <c r="D16" s="27">
        <f t="shared" si="0"/>
        <v>1117405</v>
      </c>
      <c r="E16" s="27">
        <f t="shared" si="0"/>
        <v>1134874</v>
      </c>
      <c r="F16" s="27">
        <f t="shared" si="0"/>
        <v>1142971</v>
      </c>
      <c r="G16" s="27">
        <f t="shared" si="0"/>
        <v>1140029</v>
      </c>
      <c r="H16" s="27">
        <f t="shared" si="0"/>
        <v>1143085</v>
      </c>
      <c r="I16" s="27">
        <f t="shared" si="0"/>
        <v>1150150</v>
      </c>
      <c r="J16" s="27">
        <f t="shared" si="0"/>
        <v>1159455</v>
      </c>
      <c r="K16" s="27">
        <f t="shared" si="0"/>
        <v>1175790</v>
      </c>
      <c r="L16" s="27">
        <f t="shared" si="0"/>
        <v>1181436</v>
      </c>
      <c r="M16" s="27">
        <f t="shared" si="0"/>
        <v>1176306</v>
      </c>
      <c r="N16" s="27">
        <f t="shared" si="0"/>
        <v>1186571</v>
      </c>
      <c r="O16" s="27">
        <f t="shared" si="0"/>
        <v>1193396</v>
      </c>
      <c r="P16" s="28" t="s">
        <v>7</v>
      </c>
      <c r="Q16" s="27">
        <f>SUM(Q5:Q12)</f>
        <v>1201603</v>
      </c>
    </row>
    <row r="17" spans="1:17" ht="13.5">
      <c r="A17" s="20" t="s">
        <v>43</v>
      </c>
      <c r="B17" s="21">
        <v>1108</v>
      </c>
      <c r="C17" s="21">
        <v>798</v>
      </c>
      <c r="D17" s="21">
        <v>524</v>
      </c>
      <c r="E17" s="21">
        <v>372</v>
      </c>
      <c r="F17" s="21">
        <v>274</v>
      </c>
      <c r="G17" s="25">
        <v>196</v>
      </c>
      <c r="H17" s="21">
        <v>150</v>
      </c>
      <c r="I17" s="21">
        <v>105</v>
      </c>
      <c r="J17" s="23">
        <v>72</v>
      </c>
      <c r="K17" s="23">
        <v>44</v>
      </c>
      <c r="L17" s="23">
        <v>36</v>
      </c>
      <c r="M17" s="23">
        <v>29</v>
      </c>
      <c r="N17" s="23">
        <v>26</v>
      </c>
      <c r="O17" s="23">
        <v>5</v>
      </c>
      <c r="P17" s="24"/>
      <c r="Q17" s="23"/>
    </row>
    <row r="18" spans="1:17" ht="13.5">
      <c r="A18" s="20" t="s">
        <v>55</v>
      </c>
      <c r="B18" s="21">
        <v>25465</v>
      </c>
      <c r="C18" s="21">
        <v>25064</v>
      </c>
      <c r="D18" s="21">
        <v>24798</v>
      </c>
      <c r="E18" s="21">
        <v>23510</v>
      </c>
      <c r="F18" s="21">
        <v>21329</v>
      </c>
      <c r="G18" s="25">
        <v>19240</v>
      </c>
      <c r="H18" s="21">
        <v>17109</v>
      </c>
      <c r="I18" s="21">
        <v>15303</v>
      </c>
      <c r="J18" s="21">
        <v>13412</v>
      </c>
      <c r="K18" s="21">
        <v>11755</v>
      </c>
      <c r="L18" s="21">
        <v>10118</v>
      </c>
      <c r="M18" s="21">
        <v>8743</v>
      </c>
      <c r="N18" s="21">
        <v>7469</v>
      </c>
      <c r="O18" s="21">
        <v>6379</v>
      </c>
      <c r="P18" s="24" t="s">
        <v>55</v>
      </c>
      <c r="Q18" s="21">
        <v>5423</v>
      </c>
    </row>
    <row r="19" spans="1:17" ht="14.25" thickBot="1">
      <c r="A19" s="20" t="s">
        <v>56</v>
      </c>
      <c r="B19" s="21">
        <v>10596</v>
      </c>
      <c r="C19" s="21">
        <v>9856</v>
      </c>
      <c r="D19" s="21">
        <v>9058</v>
      </c>
      <c r="E19" s="21">
        <v>8424</v>
      </c>
      <c r="F19" s="21">
        <v>9365</v>
      </c>
      <c r="G19" s="25">
        <v>8662</v>
      </c>
      <c r="H19" s="21">
        <v>7870</v>
      </c>
      <c r="I19" s="21">
        <v>7201</v>
      </c>
      <c r="J19" s="26">
        <v>6641</v>
      </c>
      <c r="K19" s="26">
        <v>6160</v>
      </c>
      <c r="L19" s="26">
        <v>5773</v>
      </c>
      <c r="M19" s="26">
        <v>5472</v>
      </c>
      <c r="N19" s="26">
        <v>5215</v>
      </c>
      <c r="O19" s="26">
        <v>4983</v>
      </c>
      <c r="P19" s="24" t="s">
        <v>56</v>
      </c>
      <c r="Q19" s="26">
        <v>4719</v>
      </c>
    </row>
    <row r="20" spans="1:17" ht="14.25" thickBot="1">
      <c r="A20" s="19" t="s">
        <v>57</v>
      </c>
      <c r="B20" s="27">
        <f>SUM(B16:B19)</f>
        <v>1083450</v>
      </c>
      <c r="C20" s="27">
        <f aca="true" t="shared" si="1" ref="C20:O20">SUM(C16:C19)</f>
        <v>1119575</v>
      </c>
      <c r="D20" s="27">
        <f t="shared" si="1"/>
        <v>1151785</v>
      </c>
      <c r="E20" s="27">
        <f t="shared" si="1"/>
        <v>1167180</v>
      </c>
      <c r="F20" s="27">
        <f t="shared" si="1"/>
        <v>1173939</v>
      </c>
      <c r="G20" s="27">
        <f t="shared" si="1"/>
        <v>1168127</v>
      </c>
      <c r="H20" s="27">
        <f t="shared" si="1"/>
        <v>1168214</v>
      </c>
      <c r="I20" s="27">
        <f t="shared" si="1"/>
        <v>1172759</v>
      </c>
      <c r="J20" s="27">
        <f t="shared" si="1"/>
        <v>1179580</v>
      </c>
      <c r="K20" s="27">
        <f t="shared" si="1"/>
        <v>1193749</v>
      </c>
      <c r="L20" s="27">
        <f t="shared" si="1"/>
        <v>1197363</v>
      </c>
      <c r="M20" s="27">
        <f t="shared" si="1"/>
        <v>1190550</v>
      </c>
      <c r="N20" s="27">
        <f t="shared" si="1"/>
        <v>1199281</v>
      </c>
      <c r="O20" s="27">
        <f t="shared" si="1"/>
        <v>1204763</v>
      </c>
      <c r="P20" s="28" t="s">
        <v>57</v>
      </c>
      <c r="Q20" s="27">
        <f>SUM(Q16:Q19)</f>
        <v>1211745</v>
      </c>
    </row>
    <row r="21" spans="1:17" ht="14.25" thickBot="1">
      <c r="A21" s="20" t="s">
        <v>58</v>
      </c>
      <c r="B21" s="21">
        <v>2400</v>
      </c>
      <c r="C21" s="26">
        <v>2751</v>
      </c>
      <c r="D21" s="21">
        <v>3241</v>
      </c>
      <c r="E21" s="21">
        <v>3129</v>
      </c>
      <c r="F21" s="21">
        <v>2363</v>
      </c>
      <c r="G21" s="25">
        <v>2247</v>
      </c>
      <c r="H21" s="21">
        <v>2189</v>
      </c>
      <c r="I21" s="21">
        <v>1259</v>
      </c>
      <c r="J21" s="26">
        <v>1528</v>
      </c>
      <c r="K21" s="26">
        <v>1733</v>
      </c>
      <c r="L21" s="26">
        <v>1891</v>
      </c>
      <c r="M21" s="26">
        <v>1719</v>
      </c>
      <c r="N21" s="26">
        <v>1632</v>
      </c>
      <c r="O21" s="26">
        <v>1519</v>
      </c>
      <c r="P21" s="24" t="s">
        <v>58</v>
      </c>
      <c r="Q21" s="26">
        <v>328</v>
      </c>
    </row>
    <row r="22" spans="1:17" ht="14.25" thickBot="1">
      <c r="A22" s="19" t="s">
        <v>59</v>
      </c>
      <c r="B22" s="27">
        <f aca="true" t="shared" si="2" ref="B22:O22">SUM(B20:B21)</f>
        <v>1085850</v>
      </c>
      <c r="C22" s="27">
        <f t="shared" si="2"/>
        <v>1122326</v>
      </c>
      <c r="D22" s="27">
        <f t="shared" si="2"/>
        <v>1155026</v>
      </c>
      <c r="E22" s="27">
        <f t="shared" si="2"/>
        <v>1170309</v>
      </c>
      <c r="F22" s="27">
        <f t="shared" si="2"/>
        <v>1176302</v>
      </c>
      <c r="G22" s="27">
        <f t="shared" si="2"/>
        <v>1170374</v>
      </c>
      <c r="H22" s="27">
        <f t="shared" si="2"/>
        <v>1170403</v>
      </c>
      <c r="I22" s="27">
        <f t="shared" si="2"/>
        <v>1174018</v>
      </c>
      <c r="J22" s="27">
        <f t="shared" si="2"/>
        <v>1181108</v>
      </c>
      <c r="K22" s="27">
        <f t="shared" si="2"/>
        <v>1195482</v>
      </c>
      <c r="L22" s="27">
        <f t="shared" si="2"/>
        <v>1199254</v>
      </c>
      <c r="M22" s="27">
        <f t="shared" si="2"/>
        <v>1192269</v>
      </c>
      <c r="N22" s="27">
        <f t="shared" si="2"/>
        <v>1200913</v>
      </c>
      <c r="O22" s="27">
        <f t="shared" si="2"/>
        <v>1206282</v>
      </c>
      <c r="P22" s="28" t="s">
        <v>59</v>
      </c>
      <c r="Q22" s="27">
        <f>SUM(Q20:Q21)</f>
        <v>1212073</v>
      </c>
    </row>
    <row r="23" ht="13.5">
      <c r="H23" s="14"/>
    </row>
    <row r="24" spans="1:8" ht="13.5">
      <c r="A24" s="107" t="s">
        <v>60</v>
      </c>
      <c r="B24" s="107"/>
      <c r="C24" s="107"/>
      <c r="D24" s="107"/>
      <c r="E24" s="107"/>
      <c r="F24" s="107"/>
      <c r="G24" s="107"/>
      <c r="H24" s="107"/>
    </row>
    <row r="25" spans="1:8" ht="13.5">
      <c r="A25" s="107" t="s">
        <v>61</v>
      </c>
      <c r="B25" s="107"/>
      <c r="C25" s="107"/>
      <c r="D25" s="107"/>
      <c r="E25" s="107"/>
      <c r="F25" s="107"/>
      <c r="G25" s="107"/>
      <c r="H25" s="107"/>
    </row>
    <row r="26" spans="1:8" ht="13.5">
      <c r="A26" s="107" t="s">
        <v>205</v>
      </c>
      <c r="B26" s="107"/>
      <c r="C26" s="107"/>
      <c r="D26" s="107"/>
      <c r="E26" s="107"/>
      <c r="F26" s="107"/>
      <c r="G26" s="107"/>
      <c r="H26" s="107"/>
    </row>
    <row r="28" ht="13.5">
      <c r="A28" s="3" t="s">
        <v>274</v>
      </c>
    </row>
    <row r="29" spans="1:17" ht="19.5" thickBot="1">
      <c r="A29" s="217" t="s">
        <v>163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</row>
    <row r="30" spans="1:17" ht="16.5" thickBot="1">
      <c r="A30" s="121"/>
      <c r="B30" s="209" t="s">
        <v>44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1"/>
      <c r="P30" s="122" t="s">
        <v>45</v>
      </c>
      <c r="Q30" s="123" t="s">
        <v>44</v>
      </c>
    </row>
    <row r="31" spans="1:17" ht="20.25" thickBot="1">
      <c r="A31" s="121" t="s">
        <v>46</v>
      </c>
      <c r="B31" s="124">
        <v>1990</v>
      </c>
      <c r="C31" s="124">
        <v>1991</v>
      </c>
      <c r="D31" s="124">
        <v>1992</v>
      </c>
      <c r="E31" s="124">
        <v>1993</v>
      </c>
      <c r="F31" s="124">
        <v>1994</v>
      </c>
      <c r="G31" s="125">
        <v>1995</v>
      </c>
      <c r="H31" s="124">
        <v>1996</v>
      </c>
      <c r="I31" s="124">
        <v>1997</v>
      </c>
      <c r="J31" s="124">
        <v>1998</v>
      </c>
      <c r="K31" s="124">
        <v>1999</v>
      </c>
      <c r="L31" s="124">
        <v>2000</v>
      </c>
      <c r="M31" s="126">
        <v>2001</v>
      </c>
      <c r="N31" s="124">
        <v>2002</v>
      </c>
      <c r="O31" s="124">
        <v>2003</v>
      </c>
      <c r="P31" s="128"/>
      <c r="Q31" s="127" t="s">
        <v>213</v>
      </c>
    </row>
    <row r="32" spans="1:17" ht="13.5">
      <c r="A32" s="20" t="s">
        <v>47</v>
      </c>
      <c r="B32" s="21">
        <v>637438</v>
      </c>
      <c r="C32" s="21">
        <v>671715</v>
      </c>
      <c r="D32" s="21">
        <v>695010</v>
      </c>
      <c r="E32" s="21">
        <v>707461</v>
      </c>
      <c r="F32" s="21">
        <v>716056</v>
      </c>
      <c r="G32" s="22">
        <v>723963</v>
      </c>
      <c r="H32" s="21">
        <v>731781</v>
      </c>
      <c r="I32" s="21">
        <v>743072</v>
      </c>
      <c r="J32" s="23">
        <v>754333</v>
      </c>
      <c r="K32" s="23">
        <v>771323</v>
      </c>
      <c r="L32" s="23">
        <v>778030</v>
      </c>
      <c r="M32" s="23">
        <v>772341</v>
      </c>
      <c r="N32" s="23">
        <v>783676</v>
      </c>
      <c r="O32" s="23">
        <v>796251</v>
      </c>
      <c r="P32" s="24" t="s">
        <v>48</v>
      </c>
      <c r="Q32" s="23">
        <v>811937</v>
      </c>
    </row>
    <row r="33" spans="1:17" ht="13.5">
      <c r="A33" s="20" t="s">
        <v>35</v>
      </c>
      <c r="B33" s="21">
        <v>16715</v>
      </c>
      <c r="C33" s="21">
        <v>16922</v>
      </c>
      <c r="D33" s="21">
        <v>17046</v>
      </c>
      <c r="E33" s="21">
        <v>17140</v>
      </c>
      <c r="F33" s="21">
        <v>16982</v>
      </c>
      <c r="G33" s="22">
        <v>17275</v>
      </c>
      <c r="H33" s="21">
        <v>17263</v>
      </c>
      <c r="I33" s="21">
        <v>17231</v>
      </c>
      <c r="J33" s="21">
        <v>17521</v>
      </c>
      <c r="K33" s="21">
        <v>17522</v>
      </c>
      <c r="L33" s="21">
        <v>17485</v>
      </c>
      <c r="M33" s="21">
        <v>17324</v>
      </c>
      <c r="N33" s="21">
        <v>17144</v>
      </c>
      <c r="O33" s="21">
        <v>16911</v>
      </c>
      <c r="P33" s="24" t="s">
        <v>42</v>
      </c>
      <c r="Q33" s="21">
        <v>12668</v>
      </c>
    </row>
    <row r="34" spans="1:17" ht="13.5">
      <c r="A34" s="20" t="s">
        <v>36</v>
      </c>
      <c r="B34" s="21">
        <v>191418</v>
      </c>
      <c r="C34" s="21">
        <v>200480</v>
      </c>
      <c r="D34" s="21">
        <v>212637</v>
      </c>
      <c r="E34" s="21">
        <v>219886</v>
      </c>
      <c r="F34" s="21">
        <v>223003</v>
      </c>
      <c r="G34" s="22">
        <v>223451</v>
      </c>
      <c r="H34" s="21">
        <v>225005</v>
      </c>
      <c r="I34" s="21">
        <v>225475</v>
      </c>
      <c r="J34" s="21">
        <v>225049</v>
      </c>
      <c r="K34" s="21">
        <v>225018</v>
      </c>
      <c r="L34" s="21">
        <v>224751</v>
      </c>
      <c r="M34" s="21">
        <v>223661</v>
      </c>
      <c r="N34" s="21">
        <v>223330</v>
      </c>
      <c r="O34" s="21">
        <v>222145</v>
      </c>
      <c r="P34" s="24" t="s">
        <v>49</v>
      </c>
      <c r="Q34" s="21">
        <v>286319</v>
      </c>
    </row>
    <row r="35" spans="1:17" ht="13.5">
      <c r="A35" s="20" t="s">
        <v>37</v>
      </c>
      <c r="B35" s="21">
        <v>58676</v>
      </c>
      <c r="C35" s="21">
        <v>57980</v>
      </c>
      <c r="D35" s="21">
        <v>59846</v>
      </c>
      <c r="E35" s="21">
        <v>61969</v>
      </c>
      <c r="F35" s="21">
        <v>63016</v>
      </c>
      <c r="G35" s="22">
        <v>55668</v>
      </c>
      <c r="H35" s="21">
        <v>54451</v>
      </c>
      <c r="I35" s="21">
        <v>55518</v>
      </c>
      <c r="J35" s="21">
        <v>59167</v>
      </c>
      <c r="K35" s="21">
        <v>62391</v>
      </c>
      <c r="L35" s="21">
        <v>65236</v>
      </c>
      <c r="M35" s="21">
        <v>68706</v>
      </c>
      <c r="N35" s="21">
        <v>69978</v>
      </c>
      <c r="O35" s="21">
        <v>69909</v>
      </c>
      <c r="P35" s="24"/>
      <c r="Q35" s="21"/>
    </row>
    <row r="36" spans="1:17" ht="14.25" thickBot="1">
      <c r="A36" s="29" t="s">
        <v>40</v>
      </c>
      <c r="B36" s="26">
        <v>25</v>
      </c>
      <c r="C36" s="26">
        <v>32</v>
      </c>
      <c r="D36" s="26">
        <v>74</v>
      </c>
      <c r="E36" s="26">
        <v>83</v>
      </c>
      <c r="F36" s="26">
        <v>80</v>
      </c>
      <c r="G36" s="30">
        <v>84</v>
      </c>
      <c r="H36" s="26">
        <v>86</v>
      </c>
      <c r="I36" s="26">
        <v>88</v>
      </c>
      <c r="J36" s="26">
        <v>102</v>
      </c>
      <c r="K36" s="26">
        <v>104</v>
      </c>
      <c r="L36" s="26">
        <v>110</v>
      </c>
      <c r="M36" s="26">
        <v>121</v>
      </c>
      <c r="N36" s="26">
        <v>122</v>
      </c>
      <c r="O36" s="26">
        <v>122</v>
      </c>
      <c r="P36" s="31"/>
      <c r="Q36" s="26"/>
    </row>
    <row r="37" spans="1:17" ht="13.5">
      <c r="A37" s="32" t="s">
        <v>51</v>
      </c>
      <c r="B37" s="21">
        <v>99600</v>
      </c>
      <c r="C37" s="21">
        <v>93953</v>
      </c>
      <c r="D37" s="21">
        <v>89170</v>
      </c>
      <c r="E37" s="21">
        <v>84729</v>
      </c>
      <c r="F37" s="21">
        <v>80809</v>
      </c>
      <c r="G37" s="25">
        <v>77371</v>
      </c>
      <c r="H37" s="21">
        <v>73282</v>
      </c>
      <c r="I37" s="21">
        <v>68991</v>
      </c>
      <c r="J37" s="23">
        <v>65580</v>
      </c>
      <c r="K37" s="23">
        <v>62645</v>
      </c>
      <c r="L37" s="23">
        <v>59726</v>
      </c>
      <c r="M37" s="23">
        <v>57185</v>
      </c>
      <c r="N37" s="23">
        <v>54766</v>
      </c>
      <c r="O37" s="23">
        <v>51093</v>
      </c>
      <c r="P37" s="33" t="s">
        <v>51</v>
      </c>
      <c r="Q37" s="23">
        <v>54304</v>
      </c>
    </row>
    <row r="38" spans="1:17" ht="13.5">
      <c r="A38" s="20" t="s">
        <v>62</v>
      </c>
      <c r="B38" s="21"/>
      <c r="C38" s="21"/>
      <c r="D38" s="21"/>
      <c r="E38" s="21"/>
      <c r="F38" s="21"/>
      <c r="G38" s="25"/>
      <c r="H38" s="21"/>
      <c r="I38" s="21"/>
      <c r="J38" s="21"/>
      <c r="K38" s="21"/>
      <c r="L38" s="21"/>
      <c r="M38" s="21"/>
      <c r="N38" s="21"/>
      <c r="O38" s="21"/>
      <c r="P38" s="24" t="s">
        <v>62</v>
      </c>
      <c r="Q38" s="21"/>
    </row>
    <row r="39" spans="1:17" ht="13.5">
      <c r="A39" s="20" t="s">
        <v>63</v>
      </c>
      <c r="B39" s="21">
        <v>138975</v>
      </c>
      <c r="C39" s="21">
        <v>147781</v>
      </c>
      <c r="D39" s="21">
        <v>155517</v>
      </c>
      <c r="E39" s="21">
        <v>162360</v>
      </c>
      <c r="F39" s="21">
        <v>168086</v>
      </c>
      <c r="G39" s="25">
        <v>173678</v>
      </c>
      <c r="H39" s="21">
        <v>179235</v>
      </c>
      <c r="I39" s="21">
        <v>184529</v>
      </c>
      <c r="J39" s="21">
        <v>189289</v>
      </c>
      <c r="K39" s="21">
        <v>194622</v>
      </c>
      <c r="L39" s="21">
        <v>198747</v>
      </c>
      <c r="M39" s="21">
        <v>201594</v>
      </c>
      <c r="N39" s="21">
        <v>205374</v>
      </c>
      <c r="O39" s="21">
        <v>208738</v>
      </c>
      <c r="P39" s="24" t="s">
        <v>64</v>
      </c>
      <c r="Q39" s="21">
        <v>220200</v>
      </c>
    </row>
    <row r="40" spans="1:17" ht="13.5">
      <c r="A40" s="20" t="s">
        <v>65</v>
      </c>
      <c r="B40" s="21">
        <v>8830</v>
      </c>
      <c r="C40" s="21">
        <v>8966</v>
      </c>
      <c r="D40" s="21">
        <v>8893</v>
      </c>
      <c r="E40" s="21">
        <v>8907</v>
      </c>
      <c r="F40" s="21">
        <v>8855</v>
      </c>
      <c r="G40" s="25">
        <v>9106</v>
      </c>
      <c r="H40" s="21">
        <v>9185</v>
      </c>
      <c r="I40" s="21">
        <v>9252</v>
      </c>
      <c r="J40" s="21">
        <v>9394</v>
      </c>
      <c r="K40" s="21">
        <v>9520</v>
      </c>
      <c r="L40" s="21">
        <v>9605</v>
      </c>
      <c r="M40" s="21">
        <v>9592</v>
      </c>
      <c r="N40" s="21">
        <v>9571</v>
      </c>
      <c r="O40" s="21">
        <v>9513</v>
      </c>
      <c r="P40" s="24" t="s">
        <v>66</v>
      </c>
      <c r="Q40" s="21">
        <v>405</v>
      </c>
    </row>
    <row r="41" spans="1:17" ht="13.5">
      <c r="A41" s="20" t="s">
        <v>67</v>
      </c>
      <c r="B41" s="21">
        <v>25145</v>
      </c>
      <c r="C41" s="21">
        <v>26157</v>
      </c>
      <c r="D41" s="21">
        <v>26988</v>
      </c>
      <c r="E41" s="21">
        <v>27569</v>
      </c>
      <c r="F41" s="21">
        <v>28112</v>
      </c>
      <c r="G41" s="25">
        <v>28441</v>
      </c>
      <c r="H41" s="21">
        <v>28740</v>
      </c>
      <c r="I41" s="21">
        <v>28961</v>
      </c>
      <c r="J41" s="21">
        <v>29112</v>
      </c>
      <c r="K41" s="21">
        <v>29328</v>
      </c>
      <c r="L41" s="21">
        <v>29522</v>
      </c>
      <c r="M41" s="21">
        <v>29682</v>
      </c>
      <c r="N41" s="21">
        <v>29822</v>
      </c>
      <c r="O41" s="21">
        <v>29817</v>
      </c>
      <c r="P41" s="24" t="s">
        <v>68</v>
      </c>
      <c r="Q41" s="21">
        <v>31763</v>
      </c>
    </row>
    <row r="42" spans="1:17" ht="13.5">
      <c r="A42" s="20" t="s">
        <v>69</v>
      </c>
      <c r="B42" s="21">
        <v>2201</v>
      </c>
      <c r="C42" s="21">
        <v>2184</v>
      </c>
      <c r="D42" s="21">
        <v>2210</v>
      </c>
      <c r="E42" s="21">
        <v>2241</v>
      </c>
      <c r="F42" s="21">
        <v>2345</v>
      </c>
      <c r="G42" s="25">
        <v>2231</v>
      </c>
      <c r="H42" s="21">
        <v>2132</v>
      </c>
      <c r="I42" s="21">
        <v>2153</v>
      </c>
      <c r="J42" s="21">
        <v>2136</v>
      </c>
      <c r="K42" s="21">
        <v>2129</v>
      </c>
      <c r="L42" s="21">
        <v>2114</v>
      </c>
      <c r="M42" s="21">
        <v>2182</v>
      </c>
      <c r="N42" s="21">
        <v>2192</v>
      </c>
      <c r="O42" s="21">
        <v>2102</v>
      </c>
      <c r="P42" s="24"/>
      <c r="Q42" s="21"/>
    </row>
    <row r="43" spans="1:17" ht="14.25" thickBot="1">
      <c r="A43" s="20" t="s">
        <v>70</v>
      </c>
      <c r="B43" s="21">
        <v>175151</v>
      </c>
      <c r="C43" s="21">
        <v>185088</v>
      </c>
      <c r="D43" s="21">
        <v>193608</v>
      </c>
      <c r="E43" s="21">
        <v>201077</v>
      </c>
      <c r="F43" s="21">
        <v>207398</v>
      </c>
      <c r="G43" s="25">
        <v>213456</v>
      </c>
      <c r="H43" s="21">
        <v>219292</v>
      </c>
      <c r="I43" s="21">
        <v>224895</v>
      </c>
      <c r="J43" s="26">
        <v>229931</v>
      </c>
      <c r="K43" s="26">
        <v>235599</v>
      </c>
      <c r="L43" s="26">
        <f>SUM(L39:L42)</f>
        <v>239988</v>
      </c>
      <c r="M43" s="26">
        <v>243050</v>
      </c>
      <c r="N43" s="26">
        <v>246959</v>
      </c>
      <c r="O43" s="26">
        <v>250170</v>
      </c>
      <c r="P43" s="24" t="s">
        <v>70</v>
      </c>
      <c r="Q43" s="26"/>
    </row>
    <row r="44" spans="1:17" ht="14.25" thickBot="1">
      <c r="A44" s="19" t="s">
        <v>71</v>
      </c>
      <c r="B44" s="27">
        <v>274751</v>
      </c>
      <c r="C44" s="27">
        <v>279041</v>
      </c>
      <c r="D44" s="27">
        <v>282778</v>
      </c>
      <c r="E44" s="27">
        <v>285806</v>
      </c>
      <c r="F44" s="27">
        <v>288207</v>
      </c>
      <c r="G44" s="34">
        <v>290827</v>
      </c>
      <c r="H44" s="27">
        <v>292574</v>
      </c>
      <c r="I44" s="27">
        <v>293886</v>
      </c>
      <c r="J44" s="27">
        <v>295511</v>
      </c>
      <c r="K44" s="26">
        <v>298244</v>
      </c>
      <c r="L44" s="27">
        <f>SUM(L37+L43)</f>
        <v>299714</v>
      </c>
      <c r="M44" s="27">
        <v>300235</v>
      </c>
      <c r="N44" s="27">
        <v>301725</v>
      </c>
      <c r="O44" s="27">
        <v>301263</v>
      </c>
      <c r="P44" s="28" t="s">
        <v>71</v>
      </c>
      <c r="Q44" s="27">
        <f>SUM(Q37:Q43)</f>
        <v>306672</v>
      </c>
    </row>
    <row r="45" spans="1:17" ht="15.75">
      <c r="A45" s="20" t="s">
        <v>201</v>
      </c>
      <c r="B45" s="21"/>
      <c r="C45" s="21">
        <v>1941</v>
      </c>
      <c r="D45" s="21">
        <v>2813</v>
      </c>
      <c r="E45" s="21">
        <v>3024</v>
      </c>
      <c r="F45" s="21">
        <v>3102</v>
      </c>
      <c r="G45" s="25">
        <v>3168</v>
      </c>
      <c r="H45" s="21">
        <v>3197</v>
      </c>
      <c r="I45" s="21">
        <v>3207</v>
      </c>
      <c r="J45" s="23">
        <v>3168</v>
      </c>
      <c r="K45" s="23">
        <v>3113</v>
      </c>
      <c r="L45" s="23">
        <v>3135</v>
      </c>
      <c r="M45" s="23">
        <v>3157</v>
      </c>
      <c r="N45" s="23">
        <v>3185</v>
      </c>
      <c r="O45" s="23">
        <v>3111</v>
      </c>
      <c r="P45" s="24" t="s">
        <v>38</v>
      </c>
      <c r="Q45" s="23">
        <v>5254</v>
      </c>
    </row>
    <row r="46" spans="1:17" ht="13.5">
      <c r="A46" s="20" t="s">
        <v>39</v>
      </c>
      <c r="B46" s="21">
        <v>42409</v>
      </c>
      <c r="C46" s="21">
        <v>40834</v>
      </c>
      <c r="D46" s="21">
        <v>40809</v>
      </c>
      <c r="E46" s="21">
        <v>40582</v>
      </c>
      <c r="F46" s="21">
        <v>39923</v>
      </c>
      <c r="G46" s="25">
        <v>39049</v>
      </c>
      <c r="H46" s="21">
        <v>38020</v>
      </c>
      <c r="I46" s="21">
        <v>36568</v>
      </c>
      <c r="J46" s="21">
        <v>34535</v>
      </c>
      <c r="K46" s="21">
        <v>33674</v>
      </c>
      <c r="L46" s="21">
        <v>32963</v>
      </c>
      <c r="M46" s="21">
        <v>33811</v>
      </c>
      <c r="N46" s="21">
        <v>34370</v>
      </c>
      <c r="O46" s="21">
        <v>33854</v>
      </c>
      <c r="P46" s="24" t="s">
        <v>39</v>
      </c>
      <c r="Q46" s="21">
        <v>33378</v>
      </c>
    </row>
    <row r="47" spans="1:17" ht="13.5">
      <c r="A47" s="20" t="s">
        <v>52</v>
      </c>
      <c r="B47" s="21"/>
      <c r="C47" s="21"/>
      <c r="D47" s="21"/>
      <c r="E47" s="21"/>
      <c r="F47" s="21"/>
      <c r="G47" s="25"/>
      <c r="H47" s="21"/>
      <c r="I47" s="21"/>
      <c r="J47" s="21"/>
      <c r="K47" s="21"/>
      <c r="L47" s="21"/>
      <c r="M47" s="21"/>
      <c r="N47" s="21"/>
      <c r="O47" s="21"/>
      <c r="P47" s="24"/>
      <c r="Q47" s="21"/>
    </row>
    <row r="48" spans="1:17" ht="13.5">
      <c r="A48" s="20" t="s">
        <v>53</v>
      </c>
      <c r="B48" s="21">
        <v>41759</v>
      </c>
      <c r="C48" s="21">
        <v>40286</v>
      </c>
      <c r="D48" s="21">
        <v>40239</v>
      </c>
      <c r="E48" s="21">
        <v>40042</v>
      </c>
      <c r="F48" s="21">
        <v>39384</v>
      </c>
      <c r="G48" s="25">
        <v>38486</v>
      </c>
      <c r="H48" s="21">
        <v>37463</v>
      </c>
      <c r="I48" s="21">
        <v>35982</v>
      </c>
      <c r="J48" s="21">
        <v>33974</v>
      </c>
      <c r="K48" s="21">
        <v>33147</v>
      </c>
      <c r="L48" s="21">
        <v>32407</v>
      </c>
      <c r="M48" s="21">
        <v>33182</v>
      </c>
      <c r="N48" s="21">
        <v>33710</v>
      </c>
      <c r="O48" s="21">
        <v>33171</v>
      </c>
      <c r="P48" s="24"/>
      <c r="Q48" s="21"/>
    </row>
    <row r="49" spans="1:17" ht="14.25" thickBot="1">
      <c r="A49" s="20" t="s">
        <v>54</v>
      </c>
      <c r="B49" s="21">
        <v>650</v>
      </c>
      <c r="C49" s="21">
        <v>548</v>
      </c>
      <c r="D49" s="21">
        <v>570</v>
      </c>
      <c r="E49" s="21">
        <v>540</v>
      </c>
      <c r="F49" s="21">
        <v>539</v>
      </c>
      <c r="G49" s="25">
        <v>560</v>
      </c>
      <c r="H49" s="21">
        <v>557</v>
      </c>
      <c r="I49" s="21">
        <v>586</v>
      </c>
      <c r="J49" s="26">
        <v>561</v>
      </c>
      <c r="K49" s="26">
        <v>527</v>
      </c>
      <c r="L49" s="26">
        <v>556</v>
      </c>
      <c r="M49" s="26">
        <v>629</v>
      </c>
      <c r="N49" s="26">
        <v>660</v>
      </c>
      <c r="O49" s="26">
        <v>683</v>
      </c>
      <c r="P49" s="24"/>
      <c r="Q49" s="26"/>
    </row>
    <row r="50" spans="1:17" ht="14.25" thickBot="1">
      <c r="A50" s="19" t="s">
        <v>7</v>
      </c>
      <c r="B50" s="27">
        <v>1221432</v>
      </c>
      <c r="C50" s="27">
        <v>1268945</v>
      </c>
      <c r="D50" s="27">
        <v>1311013</v>
      </c>
      <c r="E50" s="27">
        <v>1335951</v>
      </c>
      <c r="F50" s="27">
        <v>1350369</v>
      </c>
      <c r="G50" s="34">
        <v>1353485</v>
      </c>
      <c r="H50" s="27">
        <v>1362377</v>
      </c>
      <c r="I50" s="27">
        <v>1375045</v>
      </c>
      <c r="J50" s="27">
        <v>1389386</v>
      </c>
      <c r="K50" s="27">
        <v>1411433</v>
      </c>
      <c r="L50" s="27">
        <v>1421424</v>
      </c>
      <c r="M50" s="27">
        <v>1419356</v>
      </c>
      <c r="N50" s="27">
        <v>1433530</v>
      </c>
      <c r="O50" s="27">
        <v>1443566</v>
      </c>
      <c r="P50" s="28" t="s">
        <v>7</v>
      </c>
      <c r="Q50" s="27">
        <f>Q32+Q33+Q34+Q44+Q45+Q46</f>
        <v>1456228</v>
      </c>
    </row>
    <row r="51" spans="1:17" ht="13.5">
      <c r="A51" s="20" t="s">
        <v>43</v>
      </c>
      <c r="B51" s="21">
        <v>1108</v>
      </c>
      <c r="C51" s="21">
        <v>798</v>
      </c>
      <c r="D51" s="21">
        <v>524</v>
      </c>
      <c r="E51" s="21">
        <v>372</v>
      </c>
      <c r="F51" s="21">
        <v>274</v>
      </c>
      <c r="G51" s="25">
        <v>196</v>
      </c>
      <c r="H51" s="21">
        <v>150</v>
      </c>
      <c r="I51" s="21">
        <v>105</v>
      </c>
      <c r="J51" s="23">
        <v>72</v>
      </c>
      <c r="K51" s="23">
        <v>44</v>
      </c>
      <c r="L51" s="23">
        <v>36</v>
      </c>
      <c r="M51" s="23">
        <v>29</v>
      </c>
      <c r="N51" s="23">
        <v>26</v>
      </c>
      <c r="O51" s="23">
        <v>5</v>
      </c>
      <c r="P51" s="24"/>
      <c r="Q51" s="23"/>
    </row>
    <row r="52" spans="1:17" ht="13.5">
      <c r="A52" s="20" t="s">
        <v>55</v>
      </c>
      <c r="B52" s="21">
        <v>25465</v>
      </c>
      <c r="C52" s="21">
        <v>25064</v>
      </c>
      <c r="D52" s="21">
        <v>24798</v>
      </c>
      <c r="E52" s="21">
        <v>23510</v>
      </c>
      <c r="F52" s="21">
        <v>21329</v>
      </c>
      <c r="G52" s="25">
        <v>19240</v>
      </c>
      <c r="H52" s="21">
        <v>17109</v>
      </c>
      <c r="I52" s="21">
        <v>15303</v>
      </c>
      <c r="J52" s="21">
        <v>13412</v>
      </c>
      <c r="K52" s="21">
        <v>11755</v>
      </c>
      <c r="L52" s="21">
        <v>10118</v>
      </c>
      <c r="M52" s="21">
        <v>8743</v>
      </c>
      <c r="N52" s="21">
        <v>7469</v>
      </c>
      <c r="O52" s="21">
        <v>6379</v>
      </c>
      <c r="P52" s="24" t="s">
        <v>55</v>
      </c>
      <c r="Q52" s="21">
        <v>5423</v>
      </c>
    </row>
    <row r="53" spans="1:17" ht="14.25" thickBot="1">
      <c r="A53" s="20" t="s">
        <v>56</v>
      </c>
      <c r="B53" s="21">
        <v>10596</v>
      </c>
      <c r="C53" s="21">
        <v>9856</v>
      </c>
      <c r="D53" s="21">
        <v>9058</v>
      </c>
      <c r="E53" s="21">
        <v>8424</v>
      </c>
      <c r="F53" s="21">
        <v>9365</v>
      </c>
      <c r="G53" s="25">
        <v>8662</v>
      </c>
      <c r="H53" s="21">
        <v>7870</v>
      </c>
      <c r="I53" s="21">
        <v>7201</v>
      </c>
      <c r="J53" s="26">
        <v>6641</v>
      </c>
      <c r="K53" s="26">
        <v>6160</v>
      </c>
      <c r="L53" s="26">
        <v>5773</v>
      </c>
      <c r="M53" s="26">
        <v>5472</v>
      </c>
      <c r="N53" s="26">
        <v>5215</v>
      </c>
      <c r="O53" s="26">
        <v>4983</v>
      </c>
      <c r="P53" s="24" t="s">
        <v>56</v>
      </c>
      <c r="Q53" s="26">
        <v>4719</v>
      </c>
    </row>
    <row r="54" spans="1:17" ht="14.25" thickBot="1">
      <c r="A54" s="19" t="s">
        <v>57</v>
      </c>
      <c r="B54" s="27">
        <f>SUM(B50:B53)</f>
        <v>1258601</v>
      </c>
      <c r="C54" s="27">
        <f>SUM(C50:C53)</f>
        <v>1304663</v>
      </c>
      <c r="D54" s="27">
        <f>SUM(D50:D53)</f>
        <v>1345393</v>
      </c>
      <c r="E54" s="27">
        <f>SUM(E50:E53)</f>
        <v>1368257</v>
      </c>
      <c r="F54" s="27">
        <f>SUM(F50:F53)</f>
        <v>1381337</v>
      </c>
      <c r="G54" s="34">
        <v>1381583</v>
      </c>
      <c r="H54" s="27">
        <v>1387506</v>
      </c>
      <c r="I54" s="27">
        <v>1397654</v>
      </c>
      <c r="J54" s="27">
        <v>1409511</v>
      </c>
      <c r="K54" s="27">
        <v>1429348</v>
      </c>
      <c r="L54" s="27">
        <f>SUM(L50:L53)</f>
        <v>1437351</v>
      </c>
      <c r="M54" s="27">
        <v>1433600</v>
      </c>
      <c r="N54" s="27">
        <v>1446240</v>
      </c>
      <c r="O54" s="27">
        <v>1454933</v>
      </c>
      <c r="P54" s="19" t="s">
        <v>57</v>
      </c>
      <c r="Q54" s="27">
        <f>SUM(Q50:Q53)</f>
        <v>1466370</v>
      </c>
    </row>
    <row r="55" spans="1:17" ht="13.5">
      <c r="A55" s="20" t="s">
        <v>72</v>
      </c>
      <c r="B55" s="21">
        <v>1176</v>
      </c>
      <c r="C55" s="21">
        <v>1240</v>
      </c>
      <c r="D55" s="21">
        <v>1375</v>
      </c>
      <c r="E55" s="21">
        <v>1893</v>
      </c>
      <c r="F55" s="21">
        <v>2096</v>
      </c>
      <c r="G55" s="25">
        <v>2732</v>
      </c>
      <c r="H55" s="21">
        <v>2947</v>
      </c>
      <c r="I55" s="21">
        <v>3026</v>
      </c>
      <c r="J55" s="23">
        <v>3507</v>
      </c>
      <c r="K55" s="23">
        <v>3826</v>
      </c>
      <c r="L55" s="23">
        <v>4168</v>
      </c>
      <c r="M55" s="23">
        <v>4459</v>
      </c>
      <c r="N55" s="23">
        <v>4750</v>
      </c>
      <c r="O55" s="23">
        <v>5127</v>
      </c>
      <c r="P55" s="20" t="s">
        <v>72</v>
      </c>
      <c r="Q55" s="23">
        <v>5513</v>
      </c>
    </row>
    <row r="56" spans="1:17" ht="14.25" thickBot="1">
      <c r="A56" s="20" t="s">
        <v>73</v>
      </c>
      <c r="B56" s="21">
        <v>2400</v>
      </c>
      <c r="C56" s="26">
        <v>2751</v>
      </c>
      <c r="D56" s="21">
        <v>3241</v>
      </c>
      <c r="E56" s="21">
        <v>3129</v>
      </c>
      <c r="F56" s="21">
        <v>2363</v>
      </c>
      <c r="G56" s="25">
        <v>2247</v>
      </c>
      <c r="H56" s="21">
        <v>2189</v>
      </c>
      <c r="I56" s="21">
        <v>1259</v>
      </c>
      <c r="J56" s="26">
        <v>1528</v>
      </c>
      <c r="K56" s="26">
        <v>1733</v>
      </c>
      <c r="L56" s="26">
        <v>1891</v>
      </c>
      <c r="M56" s="26">
        <v>1719</v>
      </c>
      <c r="N56" s="26">
        <v>1632</v>
      </c>
      <c r="O56" s="26">
        <v>1519</v>
      </c>
      <c r="P56" s="20" t="s">
        <v>73</v>
      </c>
      <c r="Q56" s="26">
        <v>328</v>
      </c>
    </row>
    <row r="57" spans="1:17" ht="14.25" thickBot="1">
      <c r="A57" s="19" t="s">
        <v>59</v>
      </c>
      <c r="B57" s="27">
        <v>1262177</v>
      </c>
      <c r="C57" s="34">
        <v>1308654</v>
      </c>
      <c r="D57" s="27">
        <v>1350009</v>
      </c>
      <c r="E57" s="27">
        <v>1373279</v>
      </c>
      <c r="F57" s="27">
        <v>1385796</v>
      </c>
      <c r="G57" s="34">
        <v>1386562</v>
      </c>
      <c r="H57" s="27">
        <v>1392642</v>
      </c>
      <c r="I57" s="27">
        <v>1401939</v>
      </c>
      <c r="J57" s="27">
        <v>1414546</v>
      </c>
      <c r="K57" s="27">
        <v>1434907</v>
      </c>
      <c r="L57" s="27">
        <v>1443410</v>
      </c>
      <c r="M57" s="27">
        <v>1439778</v>
      </c>
      <c r="N57" s="27">
        <v>1452622</v>
      </c>
      <c r="O57" s="27">
        <v>1461579</v>
      </c>
      <c r="P57" s="19" t="s">
        <v>59</v>
      </c>
      <c r="Q57" s="27">
        <f>SUM(Q54:Q56)</f>
        <v>1472211</v>
      </c>
    </row>
    <row r="58" ht="13.5">
      <c r="H58" s="14"/>
    </row>
    <row r="59" spans="1:8" ht="13.5">
      <c r="A59" s="107" t="s">
        <v>60</v>
      </c>
      <c r="B59" s="107"/>
      <c r="C59" s="107"/>
      <c r="D59" s="107"/>
      <c r="E59" s="107"/>
      <c r="F59" s="107"/>
      <c r="G59" s="107"/>
      <c r="H59" s="107"/>
    </row>
    <row r="60" spans="1:8" ht="13.5">
      <c r="A60" s="107" t="s">
        <v>61</v>
      </c>
      <c r="B60" s="107"/>
      <c r="C60" s="107"/>
      <c r="D60" s="107"/>
      <c r="E60" s="107"/>
      <c r="F60" s="107"/>
      <c r="G60" s="107"/>
      <c r="H60" s="107"/>
    </row>
    <row r="62" ht="14.25">
      <c r="A62" s="106" t="s">
        <v>221</v>
      </c>
    </row>
  </sheetData>
  <mergeCells count="5">
    <mergeCell ref="B30:O30"/>
    <mergeCell ref="B3:O3"/>
    <mergeCell ref="P3:P4"/>
    <mergeCell ref="A2:Q2"/>
    <mergeCell ref="A29:Q29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K7" sqref="K7"/>
    </sheetView>
  </sheetViews>
  <sheetFormatPr defaultColWidth="9.00390625" defaultRowHeight="12.75"/>
  <cols>
    <col min="1" max="2" width="9.125" style="3" customWidth="1"/>
    <col min="3" max="3" width="9.75390625" style="3" customWidth="1"/>
    <col min="4" max="6" width="11.875" style="3" customWidth="1"/>
    <col min="7" max="16384" width="9.125" style="3" customWidth="1"/>
  </cols>
  <sheetData>
    <row r="1" ht="13.5">
      <c r="A1" s="3" t="s">
        <v>275</v>
      </c>
    </row>
    <row r="2" spans="1:10" ht="15" customHeight="1">
      <c r="A2" s="222" t="s">
        <v>159</v>
      </c>
      <c r="B2" s="222"/>
      <c r="C2" s="222"/>
      <c r="D2" s="222"/>
      <c r="E2" s="222"/>
      <c r="F2" s="222"/>
      <c r="H2"/>
      <c r="I2"/>
      <c r="J2"/>
    </row>
    <row r="3" spans="1:10" ht="29.25" customHeight="1">
      <c r="A3" s="222"/>
      <c r="B3" s="222"/>
      <c r="C3" s="222"/>
      <c r="D3" s="222"/>
      <c r="E3" s="222"/>
      <c r="F3" s="222"/>
      <c r="H3"/>
      <c r="I3"/>
      <c r="J3"/>
    </row>
    <row r="4" spans="1:10" ht="14.25" thickBot="1">
      <c r="A4" s="35"/>
      <c r="B4" s="35"/>
      <c r="C4" s="35"/>
      <c r="F4" s="112" t="s">
        <v>23</v>
      </c>
      <c r="H4"/>
      <c r="I4"/>
      <c r="J4"/>
    </row>
    <row r="5" spans="1:10" ht="15" customHeight="1">
      <c r="A5" s="223" t="s">
        <v>217</v>
      </c>
      <c r="B5" s="224"/>
      <c r="C5" s="225"/>
      <c r="D5" s="232">
        <v>2001</v>
      </c>
      <c r="E5" s="232">
        <v>2002</v>
      </c>
      <c r="F5" s="235">
        <v>2003</v>
      </c>
      <c r="H5"/>
      <c r="I5"/>
      <c r="J5"/>
    </row>
    <row r="6" spans="1:10" ht="13.5">
      <c r="A6" s="226"/>
      <c r="B6" s="227"/>
      <c r="C6" s="228"/>
      <c r="D6" s="233"/>
      <c r="E6" s="233"/>
      <c r="F6" s="236"/>
      <c r="H6"/>
      <c r="I6"/>
      <c r="J6"/>
    </row>
    <row r="7" spans="1:10" ht="14.25" customHeight="1" thickBot="1">
      <c r="A7" s="229"/>
      <c r="B7" s="230"/>
      <c r="C7" s="231"/>
      <c r="D7" s="234"/>
      <c r="E7" s="234"/>
      <c r="F7" s="237"/>
      <c r="H7"/>
      <c r="I7"/>
      <c r="J7"/>
    </row>
    <row r="8" spans="1:10" ht="13.5">
      <c r="A8" s="219" t="s">
        <v>160</v>
      </c>
      <c r="B8" s="220"/>
      <c r="C8" s="221"/>
      <c r="D8" s="38">
        <v>100</v>
      </c>
      <c r="E8" s="39">
        <v>100</v>
      </c>
      <c r="F8" s="39">
        <v>100</v>
      </c>
      <c r="H8"/>
      <c r="I8"/>
      <c r="J8"/>
    </row>
    <row r="9" spans="1:10" ht="15">
      <c r="A9" s="40"/>
      <c r="B9" s="41"/>
      <c r="C9" s="36"/>
      <c r="D9" s="42"/>
      <c r="E9" s="43"/>
      <c r="F9" s="43"/>
      <c r="H9"/>
      <c r="I9"/>
      <c r="J9"/>
    </row>
    <row r="10" spans="1:6" ht="13.5">
      <c r="A10" s="44"/>
      <c r="B10" s="45" t="s">
        <v>126</v>
      </c>
      <c r="C10" s="46"/>
      <c r="D10" s="47">
        <v>1.3512877704082609</v>
      </c>
      <c r="E10" s="48" t="s">
        <v>41</v>
      </c>
      <c r="F10" s="48" t="s">
        <v>41</v>
      </c>
    </row>
    <row r="11" spans="1:6" ht="13.5">
      <c r="A11" s="44"/>
      <c r="B11" s="45" t="s">
        <v>127</v>
      </c>
      <c r="C11" s="46"/>
      <c r="D11" s="47">
        <v>2.953410308926689</v>
      </c>
      <c r="E11" s="48">
        <v>1.1602107460952442</v>
      </c>
      <c r="F11" s="48" t="s">
        <v>41</v>
      </c>
    </row>
    <row r="12" spans="1:6" ht="13.5">
      <c r="A12" s="49"/>
      <c r="B12" s="50" t="s">
        <v>128</v>
      </c>
      <c r="C12" s="46"/>
      <c r="D12" s="47">
        <v>5.3322972553736125</v>
      </c>
      <c r="E12" s="48">
        <v>2.912929192417972</v>
      </c>
      <c r="F12" s="48">
        <v>2.815601964787856</v>
      </c>
    </row>
    <row r="13" spans="1:6" ht="13.5">
      <c r="A13" s="49"/>
      <c r="B13" s="50" t="s">
        <v>129</v>
      </c>
      <c r="C13" s="46"/>
      <c r="D13" s="47">
        <v>7.302291182996166</v>
      </c>
      <c r="E13" s="48">
        <v>5.422800725877654</v>
      </c>
      <c r="F13" s="48">
        <v>4.921394495737093</v>
      </c>
    </row>
    <row r="14" spans="1:6" ht="13.5">
      <c r="A14" s="49"/>
      <c r="B14" s="50" t="s">
        <v>130</v>
      </c>
      <c r="C14" s="46"/>
      <c r="D14" s="47">
        <v>8.119342065990423</v>
      </c>
      <c r="E14" s="51">
        <v>6.752833482400917</v>
      </c>
      <c r="F14" s="47">
        <v>6.533854743831689</v>
      </c>
    </row>
    <row r="15" spans="1:6" ht="13.5">
      <c r="A15" s="49"/>
      <c r="B15" s="50" t="s">
        <v>131</v>
      </c>
      <c r="C15" s="46"/>
      <c r="D15" s="47">
        <v>8.687322552045273</v>
      </c>
      <c r="E15" s="51">
        <v>7.594034804165456</v>
      </c>
      <c r="F15" s="47">
        <v>7.101039605746511</v>
      </c>
    </row>
    <row r="16" spans="1:15" ht="13.5">
      <c r="A16" s="49"/>
      <c r="B16" s="50" t="s">
        <v>132</v>
      </c>
      <c r="C16" s="46"/>
      <c r="D16" s="47">
        <v>9.047695363673656</v>
      </c>
      <c r="E16" s="51">
        <v>8.050728034579844</v>
      </c>
      <c r="F16" s="47">
        <v>7.6933328719081135</v>
      </c>
      <c r="O16" s="3" t="s">
        <v>278</v>
      </c>
    </row>
    <row r="17" spans="1:6" ht="13.5">
      <c r="A17" s="49"/>
      <c r="B17" s="50" t="s">
        <v>133</v>
      </c>
      <c r="C17" s="46"/>
      <c r="D17" s="47">
        <v>8.847953844050172</v>
      </c>
      <c r="E17" s="51">
        <v>8.602182234403264</v>
      </c>
      <c r="F17" s="47">
        <v>7.940661698491508</v>
      </c>
    </row>
    <row r="18" spans="1:6" ht="13.5">
      <c r="A18" s="49"/>
      <c r="B18" s="50" t="s">
        <v>134</v>
      </c>
      <c r="C18" s="46"/>
      <c r="D18" s="47">
        <v>8.148601221238911</v>
      </c>
      <c r="E18" s="51">
        <v>8.274760796854913</v>
      </c>
      <c r="F18" s="47">
        <v>7.65791603190019</v>
      </c>
    </row>
    <row r="19" spans="1:6" ht="13.5">
      <c r="A19" s="49"/>
      <c r="B19" s="50" t="s">
        <v>135</v>
      </c>
      <c r="C19" s="46"/>
      <c r="D19" s="47">
        <v>7.370072442139652</v>
      </c>
      <c r="E19" s="51">
        <v>7.758536395977187</v>
      </c>
      <c r="F19" s="47">
        <v>7.2955745148960585</v>
      </c>
    </row>
    <row r="20" spans="1:6" ht="13.5">
      <c r="A20" s="49"/>
      <c r="B20" s="50" t="s">
        <v>136</v>
      </c>
      <c r="C20" s="46"/>
      <c r="D20" s="47">
        <v>6.082302033878867</v>
      </c>
      <c r="E20" s="51">
        <v>6.869738896861528</v>
      </c>
      <c r="F20" s="47">
        <v>6.691868337713192</v>
      </c>
    </row>
    <row r="21" spans="1:6" ht="13.5">
      <c r="A21" s="49"/>
      <c r="B21" s="50" t="s">
        <v>137</v>
      </c>
      <c r="C21" s="46"/>
      <c r="D21" s="47">
        <v>4.785709769764265</v>
      </c>
      <c r="E21" s="51">
        <v>5.882585550893399</v>
      </c>
      <c r="F21" s="47">
        <v>5.854749722224472</v>
      </c>
    </row>
    <row r="22" spans="1:6" ht="13.5">
      <c r="A22" s="49"/>
      <c r="B22" s="50" t="s">
        <v>138</v>
      </c>
      <c r="C22" s="46"/>
      <c r="D22" s="47">
        <v>3.765756202132243</v>
      </c>
      <c r="E22" s="51">
        <v>4.7127405332497405</v>
      </c>
      <c r="F22" s="47">
        <v>5.0916309491639495</v>
      </c>
    </row>
    <row r="23" spans="1:6" ht="13.5">
      <c r="A23" s="49"/>
      <c r="B23" s="50" t="s">
        <v>139</v>
      </c>
      <c r="C23" s="46"/>
      <c r="D23" s="47">
        <v>3.048171743889762</v>
      </c>
      <c r="E23" s="51">
        <v>3.7307638108001617</v>
      </c>
      <c r="F23" s="47">
        <v>4.259519288187785</v>
      </c>
    </row>
    <row r="24" spans="1:6" ht="13.5">
      <c r="A24" s="49"/>
      <c r="B24" s="50" t="s">
        <v>140</v>
      </c>
      <c r="C24" s="46"/>
      <c r="D24" s="47">
        <v>2.3593318326376322</v>
      </c>
      <c r="E24" s="51">
        <v>2.987271257948274</v>
      </c>
      <c r="F24" s="47">
        <v>3.4327091084602066</v>
      </c>
    </row>
    <row r="25" spans="1:6" ht="13.5">
      <c r="A25" s="49"/>
      <c r="B25" s="50" t="s">
        <v>141</v>
      </c>
      <c r="C25" s="46"/>
      <c r="D25" s="47">
        <v>1.8450911518256095</v>
      </c>
      <c r="E25" s="51">
        <v>2.485354469295433</v>
      </c>
      <c r="F25" s="47">
        <v>2.8779680011427637</v>
      </c>
    </row>
    <row r="26" spans="1:6" ht="13.5">
      <c r="A26" s="49"/>
      <c r="B26" s="50" t="s">
        <v>142</v>
      </c>
      <c r="C26" s="46"/>
      <c r="D26" s="47">
        <v>1.4130407613849725</v>
      </c>
      <c r="E26" s="51">
        <v>2.117598506831705</v>
      </c>
      <c r="F26" s="47">
        <v>2.401055583821941</v>
      </c>
    </row>
    <row r="27" spans="1:6" ht="13.5">
      <c r="A27" s="49"/>
      <c r="B27" s="50" t="s">
        <v>143</v>
      </c>
      <c r="C27" s="46"/>
      <c r="D27" s="47">
        <v>1.0999383940399543</v>
      </c>
      <c r="E27" s="51">
        <v>1.8076481736584635</v>
      </c>
      <c r="F27" s="47">
        <v>2.0083041813224396</v>
      </c>
    </row>
    <row r="28" spans="1:6" ht="13.5">
      <c r="A28" s="49"/>
      <c r="B28" s="50" t="s">
        <v>144</v>
      </c>
      <c r="C28" s="46"/>
      <c r="D28" s="47">
        <v>0.961361741669595</v>
      </c>
      <c r="E28" s="51">
        <v>1.5787982756091878</v>
      </c>
      <c r="F28" s="47">
        <v>1.7209933503226174</v>
      </c>
    </row>
    <row r="29" spans="1:6" ht="13.5">
      <c r="A29" s="49"/>
      <c r="B29" s="50" t="s">
        <v>145</v>
      </c>
      <c r="C29" s="46"/>
      <c r="D29" s="47">
        <v>0.7755146450158721</v>
      </c>
      <c r="E29" s="51">
        <v>1.3148623737119554</v>
      </c>
      <c r="F29" s="47">
        <v>1.4984784012499714</v>
      </c>
    </row>
    <row r="30" spans="1:6" ht="13.5">
      <c r="A30" s="49"/>
      <c r="B30" s="50" t="s">
        <v>146</v>
      </c>
      <c r="C30" s="46"/>
      <c r="D30" s="47">
        <v>0.653037879578727</v>
      </c>
      <c r="E30" s="51">
        <v>1.1542432495391366</v>
      </c>
      <c r="F30" s="47">
        <v>1.3117484506052892</v>
      </c>
    </row>
    <row r="31" spans="1:6" ht="13.5">
      <c r="A31" s="49"/>
      <c r="B31" s="50" t="s">
        <v>147</v>
      </c>
      <c r="C31" s="46"/>
      <c r="D31" s="47">
        <v>0.46211821580905976</v>
      </c>
      <c r="E31" s="51">
        <v>0.9660154666007127</v>
      </c>
      <c r="F31" s="47">
        <v>1.2119775187742388</v>
      </c>
    </row>
    <row r="32" spans="1:6" ht="13.5">
      <c r="A32" s="49"/>
      <c r="B32" s="50" t="s">
        <v>148</v>
      </c>
      <c r="C32" s="46"/>
      <c r="D32" s="47">
        <v>0.5361482895156654</v>
      </c>
      <c r="E32" s="51">
        <v>0.8564436021247164</v>
      </c>
      <c r="F32" s="47">
        <v>1.0658922577020582</v>
      </c>
    </row>
    <row r="33" spans="1:6" ht="13.5">
      <c r="A33" s="49"/>
      <c r="B33" s="50" t="s">
        <v>149</v>
      </c>
      <c r="C33" s="46"/>
      <c r="D33" s="47">
        <v>0.3977921835416517</v>
      </c>
      <c r="E33" s="51">
        <v>0.7235050342663718</v>
      </c>
      <c r="F33" s="47">
        <v>0.9635442169307222</v>
      </c>
    </row>
    <row r="34" spans="1:6" ht="13.5">
      <c r="A34" s="49"/>
      <c r="B34" s="50" t="s">
        <v>150</v>
      </c>
      <c r="C34" s="46"/>
      <c r="D34" s="47">
        <v>0.4015414722795234</v>
      </c>
      <c r="E34" s="51">
        <v>0.6225608756546271</v>
      </c>
      <c r="F34" s="47">
        <v>0.8424937284213146</v>
      </c>
    </row>
    <row r="35" spans="1:6" ht="13.5">
      <c r="A35" s="49"/>
      <c r="B35" s="50" t="s">
        <v>151</v>
      </c>
      <c r="C35" s="46"/>
      <c r="D35" s="47">
        <v>0.3183219653918595</v>
      </c>
      <c r="E35" s="51">
        <v>0.5098255190284052</v>
      </c>
      <c r="F35" s="47">
        <v>0.729984515256853</v>
      </c>
    </row>
    <row r="36" spans="1:6" ht="13.5">
      <c r="A36" s="49"/>
      <c r="B36" s="50" t="s">
        <v>152</v>
      </c>
      <c r="C36" s="46"/>
      <c r="D36" s="47">
        <v>0.2934737380702779</v>
      </c>
      <c r="E36" s="51">
        <v>0.4687720186243411</v>
      </c>
      <c r="F36" s="47">
        <v>0.6772642295070138</v>
      </c>
    </row>
    <row r="37" spans="1:6" ht="13.5">
      <c r="A37" s="49"/>
      <c r="B37" s="50" t="s">
        <v>153</v>
      </c>
      <c r="C37" s="46"/>
      <c r="D37" s="47">
        <v>1.2072709735947151</v>
      </c>
      <c r="E37" s="51">
        <v>1.5740530373838495</v>
      </c>
      <c r="F37" s="47">
        <v>2.087458241631207</v>
      </c>
    </row>
    <row r="38" spans="1:6" ht="13.5">
      <c r="A38" s="49"/>
      <c r="B38" s="50" t="s">
        <v>154</v>
      </c>
      <c r="C38" s="46"/>
      <c r="D38" s="47">
        <v>0.7008964475856787</v>
      </c>
      <c r="E38" s="51">
        <v>0.9279816632491364</v>
      </c>
      <c r="F38" s="47">
        <v>1.0257629899176135</v>
      </c>
    </row>
    <row r="39" spans="1:6" ht="13.5">
      <c r="A39" s="49"/>
      <c r="B39" s="50" t="s">
        <v>155</v>
      </c>
      <c r="C39" s="46"/>
      <c r="D39" s="47">
        <v>0.46961679328480327</v>
      </c>
      <c r="E39" s="51">
        <v>0.5725920791908362</v>
      </c>
      <c r="F39" s="47">
        <v>0.6271946843814681</v>
      </c>
    </row>
    <row r="40" spans="1:6" ht="13.5">
      <c r="A40" s="49"/>
      <c r="B40" s="50" t="s">
        <v>156</v>
      </c>
      <c r="C40" s="46"/>
      <c r="D40" s="47">
        <v>0.3192041509772411</v>
      </c>
      <c r="E40" s="51">
        <v>0.38213547223748046</v>
      </c>
      <c r="F40" s="47">
        <v>0.3911315054513217</v>
      </c>
    </row>
    <row r="41" spans="1:6" ht="13.5">
      <c r="A41" s="49"/>
      <c r="B41" s="50" t="s">
        <v>157</v>
      </c>
      <c r="C41" s="46"/>
      <c r="D41" s="47">
        <v>0.3039864496294085</v>
      </c>
      <c r="E41" s="51">
        <v>0.4323199613478777</v>
      </c>
      <c r="F41" s="47">
        <v>0.4437781595171528</v>
      </c>
    </row>
    <row r="42" spans="1:6" ht="13.5">
      <c r="A42" s="49"/>
      <c r="B42" s="50" t="s">
        <v>158</v>
      </c>
      <c r="C42" s="46"/>
      <c r="D42" s="47">
        <v>0.640099157659797</v>
      </c>
      <c r="E42" s="51">
        <v>0.7931737591202039</v>
      </c>
      <c r="F42" s="47">
        <v>0.8251166509953899</v>
      </c>
    </row>
    <row r="43" spans="1:6" ht="13.5">
      <c r="A43" s="49"/>
      <c r="B43" s="35"/>
      <c r="C43" s="46"/>
      <c r="D43" s="52"/>
      <c r="E43" s="53"/>
      <c r="F43" s="52"/>
    </row>
    <row r="44" spans="1:6" ht="15">
      <c r="A44" s="54" t="s">
        <v>161</v>
      </c>
      <c r="B44" s="55"/>
      <c r="C44" s="56"/>
      <c r="D44" s="57">
        <v>12365</v>
      </c>
      <c r="E44" s="58">
        <v>13511</v>
      </c>
      <c r="F44" s="57">
        <v>14365</v>
      </c>
    </row>
    <row r="45" spans="1:6" ht="15">
      <c r="A45" s="59"/>
      <c r="B45" s="60"/>
      <c r="C45" s="61"/>
      <c r="D45" s="62"/>
      <c r="E45" s="62"/>
      <c r="F45" s="62"/>
    </row>
    <row r="46" spans="4:6" ht="13.5">
      <c r="D46" s="63"/>
      <c r="E46" s="63"/>
      <c r="F46" s="63"/>
    </row>
    <row r="47" spans="1:7" ht="14.25">
      <c r="A47" s="106" t="s">
        <v>214</v>
      </c>
      <c r="B47" s="107"/>
      <c r="C47" s="107"/>
      <c r="D47" s="134"/>
      <c r="E47" s="134"/>
      <c r="F47" s="134"/>
      <c r="G47" s="107"/>
    </row>
    <row r="48" spans="1:7" ht="14.25">
      <c r="A48" s="135" t="s">
        <v>215</v>
      </c>
      <c r="B48" s="107"/>
      <c r="C48" s="107"/>
      <c r="D48" s="134"/>
      <c r="E48" s="134"/>
      <c r="F48" s="134"/>
      <c r="G48" s="107"/>
    </row>
    <row r="49" spans="1:7" ht="13.5">
      <c r="A49" s="107"/>
      <c r="B49" s="107" t="s">
        <v>216</v>
      </c>
      <c r="C49" s="107"/>
      <c r="D49" s="134"/>
      <c r="E49" s="134"/>
      <c r="F49" s="134"/>
      <c r="G49" s="107"/>
    </row>
    <row r="50" spans="4:6" ht="13.5">
      <c r="D50" s="63"/>
      <c r="E50" s="63"/>
      <c r="F50" s="63"/>
    </row>
  </sheetData>
  <mergeCells count="6">
    <mergeCell ref="A8:C8"/>
    <mergeCell ref="A2:F3"/>
    <mergeCell ref="A5:C7"/>
    <mergeCell ref="D5:D7"/>
    <mergeCell ref="E5:E7"/>
    <mergeCell ref="F5:F7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2.75"/>
  <cols>
    <col min="1" max="1" width="23.75390625" style="3" customWidth="1"/>
    <col min="2" max="3" width="10.125" style="3" bestFit="1" customWidth="1"/>
    <col min="4" max="8" width="10.125" style="3" customWidth="1"/>
    <col min="9" max="16384" width="9.125" style="3" customWidth="1"/>
  </cols>
  <sheetData>
    <row r="1" ht="13.5">
      <c r="A1" s="3" t="s">
        <v>242</v>
      </c>
    </row>
    <row r="2" spans="1:8" ht="18.75">
      <c r="A2" s="180" t="s">
        <v>8</v>
      </c>
      <c r="B2" s="180"/>
      <c r="C2" s="180"/>
      <c r="D2" s="180"/>
      <c r="E2" s="180"/>
      <c r="F2" s="180"/>
      <c r="G2" s="180"/>
      <c r="H2" s="180"/>
    </row>
    <row r="3" spans="1:16" ht="15.75">
      <c r="A3" s="2"/>
      <c r="B3" s="2"/>
      <c r="C3" s="2"/>
      <c r="D3" s="2"/>
      <c r="E3" s="2"/>
      <c r="F3" s="2"/>
      <c r="G3" s="2"/>
      <c r="H3" s="2"/>
      <c r="P3" s="3" t="s">
        <v>244</v>
      </c>
    </row>
    <row r="4" spans="1:8" ht="16.5">
      <c r="A4" s="166" t="s">
        <v>16</v>
      </c>
      <c r="B4" s="163">
        <v>2002</v>
      </c>
      <c r="C4" s="163">
        <v>2003</v>
      </c>
      <c r="D4" s="163">
        <v>2010</v>
      </c>
      <c r="E4" s="163">
        <v>2020</v>
      </c>
      <c r="F4" s="163">
        <v>2030</v>
      </c>
      <c r="G4" s="163">
        <v>2040</v>
      </c>
      <c r="H4" s="163">
        <v>2050</v>
      </c>
    </row>
    <row r="5" spans="1:8" ht="15">
      <c r="A5" s="168" t="s">
        <v>9</v>
      </c>
      <c r="B5" s="169">
        <v>974991</v>
      </c>
      <c r="C5" s="169">
        <v>944456</v>
      </c>
      <c r="D5" s="169">
        <v>799920</v>
      </c>
      <c r="E5" s="169">
        <f>256603+269138+266377</f>
        <v>792118</v>
      </c>
      <c r="F5" s="169">
        <v>714400</v>
      </c>
      <c r="G5" s="169">
        <f>213749+212159+219899</f>
        <v>645807</v>
      </c>
      <c r="H5" s="169">
        <v>642030</v>
      </c>
    </row>
    <row r="6" spans="1:8" ht="15">
      <c r="A6" s="168" t="s">
        <v>10</v>
      </c>
      <c r="B6" s="169">
        <v>899357</v>
      </c>
      <c r="C6" s="169">
        <v>885900</v>
      </c>
      <c r="D6" s="169">
        <v>750670</v>
      </c>
      <c r="E6" s="169">
        <f>253070+283511</f>
        <v>536581</v>
      </c>
      <c r="F6" s="169">
        <v>539470</v>
      </c>
      <c r="G6" s="169">
        <f>240216+260424</f>
        <v>500640</v>
      </c>
      <c r="H6" s="169">
        <v>436660</v>
      </c>
    </row>
    <row r="7" spans="1:8" ht="15">
      <c r="A7" s="168" t="s">
        <v>11</v>
      </c>
      <c r="B7" s="169">
        <v>1601577</v>
      </c>
      <c r="C7" s="169">
        <v>1614324</v>
      </c>
      <c r="D7" s="169">
        <v>1699840</v>
      </c>
      <c r="E7" s="169">
        <f>348416+404615+444532+467015</f>
        <v>1664578</v>
      </c>
      <c r="F7" s="169">
        <v>1300670</v>
      </c>
      <c r="G7" s="169">
        <f>273817+272837+260369+290209</f>
        <v>1097232</v>
      </c>
      <c r="H7" s="169">
        <v>1062720</v>
      </c>
    </row>
    <row r="8" spans="1:8" ht="15">
      <c r="A8" s="168" t="s">
        <v>12</v>
      </c>
      <c r="B8" s="169">
        <v>1060151</v>
      </c>
      <c r="C8" s="169">
        <v>1084393</v>
      </c>
      <c r="D8" s="169">
        <v>1154440</v>
      </c>
      <c r="E8" s="169">
        <f>421281+348690+359263</f>
        <v>1129234</v>
      </c>
      <c r="F8" s="169">
        <v>1304560</v>
      </c>
      <c r="G8" s="169">
        <f>350878+399153+427144</f>
        <v>1177175</v>
      </c>
      <c r="H8" s="169">
        <v>891360</v>
      </c>
    </row>
    <row r="9" spans="1:8" ht="15">
      <c r="A9" s="168" t="s">
        <v>13</v>
      </c>
      <c r="B9" s="169">
        <v>226860</v>
      </c>
      <c r="C9" s="169">
        <v>230669</v>
      </c>
      <c r="D9" s="169">
        <v>305470</v>
      </c>
      <c r="E9" s="169">
        <f>358784</f>
        <v>358784</v>
      </c>
      <c r="F9" s="169">
        <v>327370</v>
      </c>
      <c r="G9" s="169">
        <f>432585</f>
        <v>432585</v>
      </c>
      <c r="H9" s="169">
        <v>380500</v>
      </c>
    </row>
    <row r="10" spans="1:8" ht="15">
      <c r="A10" s="168" t="s">
        <v>14</v>
      </c>
      <c r="B10" s="169">
        <v>367602</v>
      </c>
      <c r="C10" s="169">
        <v>365568</v>
      </c>
      <c r="D10" s="169">
        <v>391400</v>
      </c>
      <c r="E10" s="169">
        <f>338904+249475</f>
        <v>588379</v>
      </c>
      <c r="F10" s="169">
        <v>625740</v>
      </c>
      <c r="G10" s="169">
        <f>370127+281135</f>
        <v>651262</v>
      </c>
      <c r="H10" s="169">
        <v>770070</v>
      </c>
    </row>
    <row r="11" spans="1:8" ht="15">
      <c r="A11" s="168" t="s">
        <v>15</v>
      </c>
      <c r="B11" s="169">
        <v>247623</v>
      </c>
      <c r="C11" s="169">
        <v>254743</v>
      </c>
      <c r="D11" s="169">
        <v>299040</v>
      </c>
      <c r="E11" s="169">
        <f>159744+103940+58139+21492+3706+193</f>
        <v>347214</v>
      </c>
      <c r="F11" s="169">
        <v>528040</v>
      </c>
      <c r="G11" s="169">
        <f>252597+199520+126294+46658+8708+892</f>
        <v>634669</v>
      </c>
      <c r="H11" s="169">
        <v>696850</v>
      </c>
    </row>
    <row r="12" spans="1:8" ht="15">
      <c r="A12" s="168" t="s">
        <v>7</v>
      </c>
      <c r="B12" s="170">
        <f aca="true" t="shared" si="0" ref="B12:H12">SUM(B5:B11)</f>
        <v>5378161</v>
      </c>
      <c r="C12" s="170">
        <f t="shared" si="0"/>
        <v>5380053</v>
      </c>
      <c r="D12" s="170">
        <f t="shared" si="0"/>
        <v>5400780</v>
      </c>
      <c r="E12" s="170">
        <f t="shared" si="0"/>
        <v>5416888</v>
      </c>
      <c r="F12" s="170">
        <f t="shared" si="0"/>
        <v>5340250</v>
      </c>
      <c r="G12" s="170">
        <f t="shared" si="0"/>
        <v>5139370</v>
      </c>
      <c r="H12" s="170">
        <f t="shared" si="0"/>
        <v>4880190</v>
      </c>
    </row>
    <row r="13" spans="1:8" ht="15.75">
      <c r="A13" s="99"/>
      <c r="B13" s="99"/>
      <c r="C13" s="99"/>
      <c r="D13" s="99"/>
      <c r="E13" s="99"/>
      <c r="F13" s="99"/>
      <c r="G13" s="99"/>
      <c r="H13" s="99"/>
    </row>
    <row r="14" spans="1:8" ht="15.75">
      <c r="A14" s="3" t="s">
        <v>243</v>
      </c>
      <c r="B14" s="99"/>
      <c r="C14" s="99"/>
      <c r="D14" s="99"/>
      <c r="E14" s="99"/>
      <c r="F14" s="99"/>
      <c r="G14" s="99"/>
      <c r="H14" s="99"/>
    </row>
    <row r="15" spans="1:8" ht="16.5">
      <c r="A15" s="166" t="s">
        <v>16</v>
      </c>
      <c r="B15" s="163">
        <v>2002</v>
      </c>
      <c r="C15" s="163">
        <v>2003</v>
      </c>
      <c r="D15" s="163">
        <v>2010</v>
      </c>
      <c r="E15" s="163">
        <v>2020</v>
      </c>
      <c r="F15" s="163">
        <v>2030</v>
      </c>
      <c r="G15" s="163">
        <v>2040</v>
      </c>
      <c r="H15" s="163">
        <v>2050</v>
      </c>
    </row>
    <row r="16" spans="1:8" ht="15">
      <c r="A16" s="168" t="s">
        <v>9</v>
      </c>
      <c r="B16" s="171">
        <f>B5/$B$12</f>
        <v>0.1812870607629634</v>
      </c>
      <c r="C16" s="171">
        <f>C5/$C$12</f>
        <v>0.17554771300580124</v>
      </c>
      <c r="D16" s="171">
        <f>D5/$D$12</f>
        <v>0.14811193938653305</v>
      </c>
      <c r="E16" s="171">
        <f>E5/$E$12</f>
        <v>0.14623119399921136</v>
      </c>
      <c r="F16" s="171">
        <f>F5/$F$12</f>
        <v>0.13377650859042178</v>
      </c>
      <c r="G16" s="171">
        <f>G5/$G$12</f>
        <v>0.12565878697194402</v>
      </c>
      <c r="H16" s="171">
        <f>H5/$H$12</f>
        <v>0.1315584024392493</v>
      </c>
    </row>
    <row r="17" spans="1:8" ht="15">
      <c r="A17" s="168" t="s">
        <v>10</v>
      </c>
      <c r="B17" s="171">
        <f aca="true" t="shared" si="1" ref="B17:B23">B6/$B$12</f>
        <v>0.16722388935548788</v>
      </c>
      <c r="C17" s="171">
        <f aca="true" t="shared" si="2" ref="C17:C23">C6/$C$12</f>
        <v>0.16466380535656433</v>
      </c>
      <c r="D17" s="171">
        <f aca="true" t="shared" si="3" ref="D17:D23">D6/$D$12</f>
        <v>0.13899288621273223</v>
      </c>
      <c r="E17" s="171">
        <f aca="true" t="shared" si="4" ref="E17:E23">E6/$E$12</f>
        <v>0.09905706006843781</v>
      </c>
      <c r="F17" s="171">
        <f aca="true" t="shared" si="5" ref="F17:F23">F6/$F$12</f>
        <v>0.10101961518655493</v>
      </c>
      <c r="G17" s="171">
        <f aca="true" t="shared" si="6" ref="G17:G23">G6/$G$12</f>
        <v>0.09741271790122136</v>
      </c>
      <c r="H17" s="171">
        <f aca="true" t="shared" si="7" ref="H17:H23">H6/$H$12</f>
        <v>0.08947602449904614</v>
      </c>
    </row>
    <row r="18" spans="1:8" ht="15">
      <c r="A18" s="168" t="s">
        <v>11</v>
      </c>
      <c r="B18" s="171">
        <f t="shared" si="1"/>
        <v>0.297792684153561</v>
      </c>
      <c r="C18" s="171">
        <f t="shared" si="2"/>
        <v>0.3000572670938372</v>
      </c>
      <c r="D18" s="171">
        <f t="shared" si="3"/>
        <v>0.3147397227807835</v>
      </c>
      <c r="E18" s="171">
        <f t="shared" si="4"/>
        <v>0.3072941511805302</v>
      </c>
      <c r="F18" s="171">
        <f t="shared" si="5"/>
        <v>0.24355975843827535</v>
      </c>
      <c r="G18" s="171">
        <f t="shared" si="6"/>
        <v>0.21349542842799799</v>
      </c>
      <c r="H18" s="171">
        <f t="shared" si="7"/>
        <v>0.21776201336423376</v>
      </c>
    </row>
    <row r="19" spans="1:8" ht="15">
      <c r="A19" s="168" t="s">
        <v>12</v>
      </c>
      <c r="B19" s="171">
        <f t="shared" si="1"/>
        <v>0.19712146958783866</v>
      </c>
      <c r="C19" s="171">
        <f t="shared" si="2"/>
        <v>0.201558051565663</v>
      </c>
      <c r="D19" s="171">
        <f t="shared" si="3"/>
        <v>0.21375430956269278</v>
      </c>
      <c r="E19" s="171">
        <f t="shared" si="4"/>
        <v>0.2084654510117248</v>
      </c>
      <c r="F19" s="171">
        <f t="shared" si="5"/>
        <v>0.24428818875520808</v>
      </c>
      <c r="G19" s="171">
        <f t="shared" si="6"/>
        <v>0.22905044781753406</v>
      </c>
      <c r="H19" s="171">
        <f t="shared" si="7"/>
        <v>0.1826486263854481</v>
      </c>
    </row>
    <row r="20" spans="1:8" ht="15">
      <c r="A20" s="168" t="s">
        <v>13</v>
      </c>
      <c r="B20" s="171">
        <f t="shared" si="1"/>
        <v>0.04218170486156885</v>
      </c>
      <c r="C20" s="171">
        <f t="shared" si="2"/>
        <v>0.04287485643728788</v>
      </c>
      <c r="D20" s="171">
        <f t="shared" si="3"/>
        <v>0.05656034869037435</v>
      </c>
      <c r="E20" s="171">
        <f t="shared" si="4"/>
        <v>0.06623433971682634</v>
      </c>
      <c r="F20" s="171">
        <f t="shared" si="5"/>
        <v>0.06130237348438743</v>
      </c>
      <c r="G20" s="171">
        <f t="shared" si="6"/>
        <v>0.08417082249380761</v>
      </c>
      <c r="H20" s="171">
        <f t="shared" si="7"/>
        <v>0.07796827582532648</v>
      </c>
    </row>
    <row r="21" spans="1:8" ht="15">
      <c r="A21" s="168" t="s">
        <v>14</v>
      </c>
      <c r="B21" s="171">
        <f t="shared" si="1"/>
        <v>0.06835087309584076</v>
      </c>
      <c r="C21" s="171">
        <f t="shared" si="2"/>
        <v>0.06794877299535897</v>
      </c>
      <c r="D21" s="171">
        <f t="shared" si="3"/>
        <v>0.07247101344620592</v>
      </c>
      <c r="E21" s="171">
        <f t="shared" si="4"/>
        <v>0.10861937702976321</v>
      </c>
      <c r="F21" s="171">
        <f t="shared" si="5"/>
        <v>0.11717428959318384</v>
      </c>
      <c r="G21" s="171">
        <f t="shared" si="6"/>
        <v>0.12672020111414434</v>
      </c>
      <c r="H21" s="171">
        <f t="shared" si="7"/>
        <v>0.15779508584706742</v>
      </c>
    </row>
    <row r="22" spans="1:8" ht="15">
      <c r="A22" s="168" t="s">
        <v>15</v>
      </c>
      <c r="B22" s="171">
        <f t="shared" si="1"/>
        <v>0.04604231818273941</v>
      </c>
      <c r="C22" s="171">
        <f t="shared" si="2"/>
        <v>0.04734953354548738</v>
      </c>
      <c r="D22" s="171">
        <f t="shared" si="3"/>
        <v>0.055369779920678125</v>
      </c>
      <c r="E22" s="171">
        <f t="shared" si="4"/>
        <v>0.06409842699350624</v>
      </c>
      <c r="F22" s="171">
        <f t="shared" si="5"/>
        <v>0.09887926595196854</v>
      </c>
      <c r="G22" s="171">
        <f t="shared" si="6"/>
        <v>0.12349159527335063</v>
      </c>
      <c r="H22" s="171">
        <f t="shared" si="7"/>
        <v>0.14279157163962877</v>
      </c>
    </row>
    <row r="23" spans="1:8" ht="15">
      <c r="A23" s="168" t="s">
        <v>7</v>
      </c>
      <c r="B23" s="171">
        <f t="shared" si="1"/>
        <v>1</v>
      </c>
      <c r="C23" s="171">
        <f t="shared" si="2"/>
        <v>1</v>
      </c>
      <c r="D23" s="171">
        <f t="shared" si="3"/>
        <v>1</v>
      </c>
      <c r="E23" s="171">
        <f t="shared" si="4"/>
        <v>1</v>
      </c>
      <c r="F23" s="171">
        <f t="shared" si="5"/>
        <v>1</v>
      </c>
      <c r="G23" s="171">
        <f t="shared" si="6"/>
        <v>1</v>
      </c>
      <c r="H23" s="171">
        <f t="shared" si="7"/>
        <v>1</v>
      </c>
    </row>
    <row r="24" spans="1:8" ht="13.5">
      <c r="A24" s="77"/>
      <c r="B24" s="77"/>
      <c r="C24" s="77"/>
      <c r="D24" s="78"/>
      <c r="E24" s="78"/>
      <c r="F24" s="78"/>
      <c r="G24" s="78"/>
      <c r="H24" s="78"/>
    </row>
    <row r="25" spans="1:8" ht="14.25">
      <c r="A25" s="106" t="s">
        <v>229</v>
      </c>
      <c r="B25" s="77"/>
      <c r="C25" s="77"/>
      <c r="D25" s="78"/>
      <c r="E25" s="78"/>
      <c r="F25" s="78"/>
      <c r="G25" s="78"/>
      <c r="H25" s="78"/>
    </row>
    <row r="26" spans="1:8" ht="14.25">
      <c r="A26" s="106" t="s">
        <v>225</v>
      </c>
      <c r="B26" s="77"/>
      <c r="C26" s="77"/>
      <c r="D26" s="78"/>
      <c r="E26" s="78"/>
      <c r="F26" s="78"/>
      <c r="G26" s="78"/>
      <c r="H26" s="78"/>
    </row>
    <row r="27" spans="1:8" ht="13.5">
      <c r="A27" s="77"/>
      <c r="B27" s="77"/>
      <c r="C27" s="77"/>
      <c r="D27" s="78"/>
      <c r="E27" s="78"/>
      <c r="F27" s="78"/>
      <c r="G27" s="78"/>
      <c r="H27" s="78"/>
    </row>
    <row r="28" spans="1:8" ht="13.5">
      <c r="A28" s="77"/>
      <c r="B28" s="77"/>
      <c r="C28" s="77"/>
      <c r="D28" s="78"/>
      <c r="E28" s="78"/>
      <c r="F28" s="78"/>
      <c r="G28" s="78"/>
      <c r="H28" s="78"/>
    </row>
  </sheetData>
  <mergeCells count="1">
    <mergeCell ref="A2:H2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"/>
  <sheetViews>
    <sheetView workbookViewId="0" topLeftCell="A1">
      <selection activeCell="N20" sqref="N20"/>
    </sheetView>
  </sheetViews>
  <sheetFormatPr defaultColWidth="9.00390625" defaultRowHeight="12.75"/>
  <cols>
    <col min="1" max="1" width="34.75390625" style="3" customWidth="1"/>
    <col min="2" max="16384" width="9.125" style="3" customWidth="1"/>
  </cols>
  <sheetData>
    <row r="1" ht="13.5">
      <c r="A1" s="3" t="s">
        <v>245</v>
      </c>
    </row>
    <row r="2" spans="1:6" ht="18.75">
      <c r="A2" s="180" t="s">
        <v>165</v>
      </c>
      <c r="B2" s="180"/>
      <c r="C2" s="180"/>
      <c r="D2" s="180"/>
      <c r="E2" s="180"/>
      <c r="F2" s="180"/>
    </row>
    <row r="4" spans="1:6" ht="16.5">
      <c r="A4" s="166"/>
      <c r="B4" s="163">
        <v>2002</v>
      </c>
      <c r="C4" s="163">
        <v>2003</v>
      </c>
      <c r="D4" s="163">
        <v>2010</v>
      </c>
      <c r="E4" s="163">
        <v>2030</v>
      </c>
      <c r="F4" s="163">
        <v>2050</v>
      </c>
    </row>
    <row r="5" spans="1:6" ht="13.5">
      <c r="A5" s="167" t="s">
        <v>0</v>
      </c>
      <c r="B5" s="165">
        <v>69.77</v>
      </c>
      <c r="C5" s="81">
        <v>69.77</v>
      </c>
      <c r="D5" s="81">
        <v>71.43</v>
      </c>
      <c r="E5" s="81">
        <v>75.05</v>
      </c>
      <c r="F5" s="81">
        <v>77.14</v>
      </c>
    </row>
    <row r="6" spans="1:6" ht="13.5">
      <c r="A6" s="167" t="s">
        <v>3</v>
      </c>
      <c r="B6" s="165">
        <v>77.57</v>
      </c>
      <c r="C6" s="81">
        <v>77.62</v>
      </c>
      <c r="D6" s="81">
        <v>79.14</v>
      </c>
      <c r="E6" s="81">
        <v>82.34</v>
      </c>
      <c r="F6" s="81">
        <v>84.03</v>
      </c>
    </row>
    <row r="7" spans="1:6" ht="13.5">
      <c r="A7" s="167" t="s">
        <v>1</v>
      </c>
      <c r="B7" s="165">
        <v>16.27</v>
      </c>
      <c r="C7" s="81">
        <v>16.29</v>
      </c>
      <c r="D7" s="81">
        <v>17.29</v>
      </c>
      <c r="E7" s="81">
        <v>19.39</v>
      </c>
      <c r="F7" s="81">
        <v>20.47</v>
      </c>
    </row>
    <row r="8" spans="1:6" ht="13.5">
      <c r="A8" s="167" t="s">
        <v>2</v>
      </c>
      <c r="B8" s="165">
        <v>20.87</v>
      </c>
      <c r="C8" s="81">
        <v>20.86</v>
      </c>
      <c r="D8" s="81">
        <v>21.99</v>
      </c>
      <c r="E8" s="81">
        <v>24.58</v>
      </c>
      <c r="F8" s="81">
        <v>26.14</v>
      </c>
    </row>
    <row r="9" spans="1:6" ht="13.5">
      <c r="A9" s="167" t="s">
        <v>4</v>
      </c>
      <c r="B9" s="165">
        <v>13.19</v>
      </c>
      <c r="C9" s="81">
        <v>13.17</v>
      </c>
      <c r="D9" s="81">
        <v>19.96</v>
      </c>
      <c r="E9" s="81">
        <v>15.68</v>
      </c>
      <c r="F9" s="81">
        <v>16.5</v>
      </c>
    </row>
    <row r="10" spans="1:6" ht="13.5">
      <c r="A10" s="167" t="s">
        <v>5</v>
      </c>
      <c r="B10" s="165">
        <v>16.82</v>
      </c>
      <c r="C10" s="81">
        <v>16.77</v>
      </c>
      <c r="D10" s="81">
        <v>17.83</v>
      </c>
      <c r="E10" s="81">
        <v>20.33</v>
      </c>
      <c r="F10" s="81">
        <v>21.83</v>
      </c>
    </row>
    <row r="12" spans="1:27" ht="13.5">
      <c r="A12" s="3" t="s">
        <v>246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16.5">
      <c r="A13" s="244"/>
      <c r="B13" s="245" t="s">
        <v>167</v>
      </c>
      <c r="C13" s="245" t="s">
        <v>168</v>
      </c>
      <c r="D13" s="245" t="s">
        <v>169</v>
      </c>
      <c r="E13" s="245" t="s">
        <v>170</v>
      </c>
      <c r="F13" s="245" t="s">
        <v>171</v>
      </c>
      <c r="G13" s="245" t="s">
        <v>172</v>
      </c>
      <c r="H13" s="245" t="s">
        <v>173</v>
      </c>
      <c r="I13" s="245" t="s">
        <v>174</v>
      </c>
      <c r="J13" s="245" t="s">
        <v>175</v>
      </c>
      <c r="K13" s="245" t="s">
        <v>176</v>
      </c>
      <c r="L13" s="245" t="s">
        <v>177</v>
      </c>
      <c r="M13" s="245" t="s">
        <v>178</v>
      </c>
      <c r="N13" s="245" t="s">
        <v>179</v>
      </c>
      <c r="O13" s="245" t="s">
        <v>180</v>
      </c>
      <c r="P13" s="245" t="s">
        <v>181</v>
      </c>
      <c r="Q13" s="245" t="s">
        <v>182</v>
      </c>
      <c r="R13" s="245" t="s">
        <v>183</v>
      </c>
      <c r="S13" s="245" t="s">
        <v>184</v>
      </c>
      <c r="T13" s="245" t="s">
        <v>185</v>
      </c>
      <c r="U13" s="245" t="s">
        <v>186</v>
      </c>
      <c r="V13" s="245" t="s">
        <v>187</v>
      </c>
      <c r="W13" s="245" t="s">
        <v>188</v>
      </c>
      <c r="X13" s="245" t="s">
        <v>189</v>
      </c>
      <c r="Y13" s="245" t="s">
        <v>190</v>
      </c>
      <c r="Z13" s="245" t="s">
        <v>191</v>
      </c>
      <c r="AA13" s="151">
        <v>2003</v>
      </c>
    </row>
    <row r="14" spans="1:27" ht="13.5">
      <c r="A14" s="4" t="s">
        <v>0</v>
      </c>
      <c r="B14" s="80">
        <v>66.67</v>
      </c>
      <c r="C14" s="80">
        <v>66.69</v>
      </c>
      <c r="D14" s="80">
        <v>66.79</v>
      </c>
      <c r="E14" s="80">
        <v>66.8</v>
      </c>
      <c r="F14" s="80">
        <v>66.99</v>
      </c>
      <c r="G14" s="80">
        <v>66.66</v>
      </c>
      <c r="H14" s="80">
        <v>66.78</v>
      </c>
      <c r="I14" s="80">
        <v>66.91</v>
      </c>
      <c r="J14" s="80">
        <v>67.07</v>
      </c>
      <c r="K14" s="80">
        <v>67.25</v>
      </c>
      <c r="L14" s="80">
        <v>67.13</v>
      </c>
      <c r="M14" s="80">
        <v>66.88</v>
      </c>
      <c r="N14" s="80">
        <v>66.65</v>
      </c>
      <c r="O14" s="80">
        <v>66.78</v>
      </c>
      <c r="P14" s="80">
        <v>67.57</v>
      </c>
      <c r="Q14" s="80">
        <v>68.36</v>
      </c>
      <c r="R14" s="80">
        <v>68.34</v>
      </c>
      <c r="S14" s="80">
        <v>68.39</v>
      </c>
      <c r="T14" s="80">
        <v>68.9</v>
      </c>
      <c r="U14" s="80">
        <v>68.91</v>
      </c>
      <c r="V14" s="80">
        <v>68.63</v>
      </c>
      <c r="W14" s="80">
        <v>68.95</v>
      </c>
      <c r="X14" s="80">
        <v>69.14</v>
      </c>
      <c r="Y14" s="80">
        <v>69.51</v>
      </c>
      <c r="Z14" s="81">
        <v>69.77</v>
      </c>
      <c r="AA14" s="81">
        <v>69.77</v>
      </c>
    </row>
    <row r="15" spans="1:27" ht="13.5">
      <c r="A15" s="4" t="s">
        <v>3</v>
      </c>
      <c r="B15" s="80">
        <v>72.16</v>
      </c>
      <c r="C15" s="80">
        <v>72.9</v>
      </c>
      <c r="D15" s="80">
        <v>74.24</v>
      </c>
      <c r="E15" s="80">
        <v>74.64</v>
      </c>
      <c r="F15" s="80">
        <v>74.72</v>
      </c>
      <c r="G15" s="80">
        <v>74.52</v>
      </c>
      <c r="H15" s="80">
        <v>74.9</v>
      </c>
      <c r="I15" s="80">
        <v>74.75</v>
      </c>
      <c r="J15" s="80">
        <v>74.97</v>
      </c>
      <c r="K15" s="80">
        <v>75.12</v>
      </c>
      <c r="L15" s="80">
        <v>75.49</v>
      </c>
      <c r="M15" s="80">
        <v>75.37</v>
      </c>
      <c r="N15" s="80">
        <v>75.42</v>
      </c>
      <c r="O15" s="80">
        <v>75.21</v>
      </c>
      <c r="P15" s="80">
        <v>76.28</v>
      </c>
      <c r="Q15" s="80">
        <v>76.67</v>
      </c>
      <c r="R15" s="80">
        <v>76.49</v>
      </c>
      <c r="S15" s="80">
        <v>76.35</v>
      </c>
      <c r="T15" s="80">
        <v>76.8</v>
      </c>
      <c r="U15" s="80">
        <v>76.79</v>
      </c>
      <c r="V15" s="80">
        <v>76.74</v>
      </c>
      <c r="W15" s="80">
        <v>77.03</v>
      </c>
      <c r="X15" s="80">
        <v>77.22</v>
      </c>
      <c r="Y15" s="80">
        <v>77.54</v>
      </c>
      <c r="Z15" s="81">
        <v>77.57</v>
      </c>
      <c r="AA15" s="81">
        <v>77.62</v>
      </c>
    </row>
    <row r="17" ht="14.25">
      <c r="A17" s="106" t="s">
        <v>229</v>
      </c>
    </row>
    <row r="18" ht="14.25">
      <c r="A18" s="106" t="s">
        <v>225</v>
      </c>
    </row>
    <row r="20" spans="6:14" ht="13.5">
      <c r="F20" s="3" t="s">
        <v>247</v>
      </c>
      <c r="N20" s="3" t="s">
        <v>248</v>
      </c>
    </row>
  </sheetData>
  <mergeCells count="1">
    <mergeCell ref="A2:F2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C1">
      <selection activeCell="A8" sqref="A8"/>
    </sheetView>
  </sheetViews>
  <sheetFormatPr defaultColWidth="9.00390625" defaultRowHeight="12.75"/>
  <cols>
    <col min="1" max="1" width="26.75390625" style="3" customWidth="1"/>
    <col min="2" max="16384" width="9.125" style="3" customWidth="1"/>
  </cols>
  <sheetData>
    <row r="1" ht="13.5">
      <c r="A1" s="3" t="s">
        <v>249</v>
      </c>
    </row>
    <row r="2" spans="1:16" ht="18.75">
      <c r="A2" s="246" t="s">
        <v>238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4" spans="2:16" ht="16.5">
      <c r="B4" s="242">
        <v>1985</v>
      </c>
      <c r="C4" s="242">
        <v>1990</v>
      </c>
      <c r="D4" s="242">
        <v>1995</v>
      </c>
      <c r="E4" s="242">
        <v>1996</v>
      </c>
      <c r="F4" s="242">
        <v>1997</v>
      </c>
      <c r="G4" s="242">
        <v>1998</v>
      </c>
      <c r="H4" s="242">
        <v>1999</v>
      </c>
      <c r="I4" s="242">
        <v>2000</v>
      </c>
      <c r="J4" s="242">
        <v>2001</v>
      </c>
      <c r="K4" s="242">
        <v>2002</v>
      </c>
      <c r="L4" s="242">
        <v>2010</v>
      </c>
      <c r="M4" s="242">
        <v>2020</v>
      </c>
      <c r="N4" s="242">
        <v>2030</v>
      </c>
      <c r="O4" s="242">
        <v>2040</v>
      </c>
      <c r="P4" s="242">
        <v>2050</v>
      </c>
    </row>
    <row r="5" spans="1:16" ht="15">
      <c r="A5" s="156" t="s">
        <v>195</v>
      </c>
      <c r="B5" s="172">
        <v>3319822</v>
      </c>
      <c r="C5" s="172">
        <v>3428807</v>
      </c>
      <c r="D5" s="172">
        <v>3585057</v>
      </c>
      <c r="E5" s="172">
        <v>3617349</v>
      </c>
      <c r="F5" s="172">
        <v>3648628</v>
      </c>
      <c r="G5" s="172">
        <v>3681211</v>
      </c>
      <c r="H5" s="172">
        <v>3714107</v>
      </c>
      <c r="I5" s="172">
        <v>3746551</v>
      </c>
      <c r="J5" s="172">
        <v>3759296</v>
      </c>
      <c r="K5" s="172">
        <v>3787028</v>
      </c>
      <c r="L5" s="172">
        <v>3910413</v>
      </c>
      <c r="M5" s="172">
        <v>3689177</v>
      </c>
      <c r="N5" s="172">
        <v>3472070</v>
      </c>
      <c r="O5" s="172">
        <v>3207632</v>
      </c>
      <c r="P5" s="6">
        <v>2771232</v>
      </c>
    </row>
    <row r="6" spans="1:16" ht="15">
      <c r="A6" s="156" t="s">
        <v>196</v>
      </c>
      <c r="B6" s="172">
        <v>490750</v>
      </c>
      <c r="C6" s="172">
        <v>551395</v>
      </c>
      <c r="D6" s="172">
        <v>587445</v>
      </c>
      <c r="E6" s="172">
        <v>596686</v>
      </c>
      <c r="F6" s="172">
        <v>605344</v>
      </c>
      <c r="G6" s="172">
        <v>610330</v>
      </c>
      <c r="H6" s="172">
        <v>615175</v>
      </c>
      <c r="I6" s="172">
        <v>619570</v>
      </c>
      <c r="J6" s="172">
        <v>612685</v>
      </c>
      <c r="K6" s="172">
        <v>623561</v>
      </c>
      <c r="L6" s="172">
        <v>690448</v>
      </c>
      <c r="M6" s="172">
        <v>935593</v>
      </c>
      <c r="N6" s="172">
        <v>1153779</v>
      </c>
      <c r="O6" s="172">
        <v>1285931</v>
      </c>
      <c r="P6" s="6">
        <v>1466923</v>
      </c>
    </row>
    <row r="8" ht="13.5">
      <c r="A8" s="3" t="s">
        <v>250</v>
      </c>
    </row>
    <row r="9" spans="2:16" ht="16.5">
      <c r="B9" s="243">
        <v>1985</v>
      </c>
      <c r="C9" s="243">
        <v>1990</v>
      </c>
      <c r="D9" s="243">
        <v>1995</v>
      </c>
      <c r="E9" s="243">
        <v>1996</v>
      </c>
      <c r="F9" s="243">
        <v>1997</v>
      </c>
      <c r="G9" s="243">
        <v>1998</v>
      </c>
      <c r="H9" s="243">
        <v>1999</v>
      </c>
      <c r="I9" s="243">
        <v>2000</v>
      </c>
      <c r="J9" s="243">
        <v>2001</v>
      </c>
      <c r="K9" s="243">
        <v>2002</v>
      </c>
      <c r="L9" s="243">
        <v>2010</v>
      </c>
      <c r="M9" s="243">
        <v>2020</v>
      </c>
      <c r="N9" s="243">
        <v>2030</v>
      </c>
      <c r="O9" s="243">
        <v>2040</v>
      </c>
      <c r="P9" s="243">
        <v>2050</v>
      </c>
    </row>
    <row r="10" spans="1:16" ht="15">
      <c r="A10" s="164" t="s">
        <v>17</v>
      </c>
      <c r="B10" s="173">
        <f>B6/B5</f>
        <v>0.14782419057407295</v>
      </c>
      <c r="C10" s="173">
        <f aca="true" t="shared" si="0" ref="C10:P10">C6/C5</f>
        <v>0.16081249250832724</v>
      </c>
      <c r="D10" s="173">
        <f t="shared" si="0"/>
        <v>0.16385931939157453</v>
      </c>
      <c r="E10" s="173">
        <f t="shared" si="0"/>
        <v>0.16495118386420551</v>
      </c>
      <c r="F10" s="173">
        <f t="shared" si="0"/>
        <v>0.16591003522419934</v>
      </c>
      <c r="G10" s="173">
        <f t="shared" si="0"/>
        <v>0.16579598398461812</v>
      </c>
      <c r="H10" s="173">
        <f t="shared" si="0"/>
        <v>0.16563200790930363</v>
      </c>
      <c r="I10" s="173">
        <f t="shared" si="0"/>
        <v>0.1653707636703731</v>
      </c>
      <c r="J10" s="173">
        <f t="shared" si="0"/>
        <v>0.16297865345000767</v>
      </c>
      <c r="K10" s="173">
        <f t="shared" si="0"/>
        <v>0.16465708729906406</v>
      </c>
      <c r="L10" s="173">
        <f t="shared" si="0"/>
        <v>0.17656651611990856</v>
      </c>
      <c r="M10" s="173">
        <f t="shared" si="0"/>
        <v>0.25360480128765844</v>
      </c>
      <c r="N10" s="173">
        <f t="shared" si="0"/>
        <v>0.33230292016001983</v>
      </c>
      <c r="O10" s="173">
        <f t="shared" si="0"/>
        <v>0.40089729744559227</v>
      </c>
      <c r="P10" s="173">
        <f t="shared" si="0"/>
        <v>0.5293396583180333</v>
      </c>
    </row>
    <row r="12" spans="7:16" ht="13.5">
      <c r="G12" s="3" t="s">
        <v>251</v>
      </c>
      <c r="P12" s="3" t="s">
        <v>252</v>
      </c>
    </row>
    <row r="35" spans="1:3" ht="14.25">
      <c r="A35" s="106" t="s">
        <v>229</v>
      </c>
      <c r="B35" s="77"/>
      <c r="C35" s="77"/>
    </row>
    <row r="36" spans="1:3" ht="14.25">
      <c r="A36" s="106" t="s">
        <v>225</v>
      </c>
      <c r="B36" s="77"/>
      <c r="C36" s="77"/>
    </row>
  </sheetData>
  <mergeCells count="1">
    <mergeCell ref="A2:P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00390625" defaultRowHeight="12.75"/>
  <cols>
    <col min="1" max="1" width="29.375" style="3" customWidth="1"/>
    <col min="2" max="3" width="9.875" style="3" bestFit="1" customWidth="1"/>
    <col min="4" max="13" width="11.375" style="3" bestFit="1" customWidth="1"/>
    <col min="14" max="16384" width="9.125" style="3" customWidth="1"/>
  </cols>
  <sheetData>
    <row r="1" spans="1:14" ht="13.5">
      <c r="A1" s="3" t="s">
        <v>253</v>
      </c>
      <c r="I1"/>
      <c r="J1"/>
      <c r="K1"/>
      <c r="L1"/>
      <c r="M1"/>
      <c r="N1"/>
    </row>
    <row r="2" spans="1:13" ht="18.75">
      <c r="A2" s="180" t="s">
        <v>91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21.7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7.25" thickBot="1">
      <c r="A4" s="158"/>
      <c r="B4" s="114">
        <v>1993</v>
      </c>
      <c r="C4" s="114">
        <v>1994</v>
      </c>
      <c r="D4" s="114">
        <v>1995</v>
      </c>
      <c r="E4" s="114">
        <v>1996</v>
      </c>
      <c r="F4" s="114">
        <v>1997</v>
      </c>
      <c r="G4" s="114">
        <v>1998</v>
      </c>
      <c r="H4" s="114">
        <v>1999</v>
      </c>
      <c r="I4" s="114">
        <v>2000</v>
      </c>
      <c r="J4" s="114">
        <v>2001</v>
      </c>
      <c r="K4" s="114">
        <v>2002</v>
      </c>
      <c r="L4" s="114">
        <v>2003</v>
      </c>
      <c r="M4" s="115">
        <v>2004</v>
      </c>
    </row>
    <row r="5" spans="1:13" ht="13.5">
      <c r="A5" s="191" t="s">
        <v>92</v>
      </c>
      <c r="B5" s="190">
        <v>77086.0055973488</v>
      </c>
      <c r="C5" s="190">
        <v>92537.31231821324</v>
      </c>
      <c r="D5" s="190">
        <v>107400.25224533747</v>
      </c>
      <c r="E5" s="190">
        <v>118694.38022269105</v>
      </c>
      <c r="F5" s="190">
        <v>132280.12213117038</v>
      </c>
      <c r="G5" s="190">
        <v>144888.12400085884</v>
      </c>
      <c r="H5" s="190">
        <v>156355.18240925475</v>
      </c>
      <c r="I5" s="190">
        <v>172896.04329217313</v>
      </c>
      <c r="J5" s="190">
        <v>187739.02197658987</v>
      </c>
      <c r="K5" s="190">
        <v>204243.37550038006</v>
      </c>
      <c r="L5" s="190">
        <v>223249.2355228501</v>
      </c>
      <c r="M5" s="190">
        <v>246250.7678227543</v>
      </c>
    </row>
    <row r="6" spans="1:13" ht="13.5">
      <c r="A6" s="19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ht="21" customHeight="1">
      <c r="A7" s="19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spans="1:13" ht="13.5">
      <c r="A8" s="184" t="s">
        <v>93</v>
      </c>
      <c r="B8" s="181">
        <v>7200</v>
      </c>
      <c r="C8" s="181">
        <v>7700</v>
      </c>
      <c r="D8" s="181" t="s">
        <v>94</v>
      </c>
      <c r="E8" s="181" t="s">
        <v>95</v>
      </c>
      <c r="F8" s="181" t="s">
        <v>96</v>
      </c>
      <c r="G8" s="181" t="s">
        <v>97</v>
      </c>
      <c r="H8" s="181">
        <v>8700</v>
      </c>
      <c r="I8" s="181">
        <v>9400</v>
      </c>
      <c r="J8" s="181">
        <v>10000</v>
      </c>
      <c r="K8" s="181">
        <v>10800</v>
      </c>
      <c r="L8" s="181">
        <v>11100</v>
      </c>
      <c r="M8" s="181">
        <v>11600</v>
      </c>
    </row>
    <row r="9" spans="1:13" ht="13.5">
      <c r="A9" s="185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1:13" ht="13.5">
      <c r="A10" s="186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</row>
    <row r="11" spans="1:13" ht="13.5">
      <c r="A11" s="184" t="s">
        <v>98</v>
      </c>
      <c r="B11" s="187"/>
      <c r="C11" s="181">
        <f aca="true" t="shared" si="0" ref="C11:M11">C5-B5</f>
        <v>15451.306720864435</v>
      </c>
      <c r="D11" s="181">
        <f t="shared" si="0"/>
        <v>14862.93992712423</v>
      </c>
      <c r="E11" s="181">
        <f t="shared" si="0"/>
        <v>11294.127977353579</v>
      </c>
      <c r="F11" s="181">
        <f t="shared" si="0"/>
        <v>13585.741908479336</v>
      </c>
      <c r="G11" s="181">
        <f t="shared" si="0"/>
        <v>12608.00186968845</v>
      </c>
      <c r="H11" s="181">
        <f t="shared" si="0"/>
        <v>11467.058408395911</v>
      </c>
      <c r="I11" s="181">
        <f t="shared" si="0"/>
        <v>16540.86088291838</v>
      </c>
      <c r="J11" s="181">
        <f t="shared" si="0"/>
        <v>14842.97868441674</v>
      </c>
      <c r="K11" s="181">
        <f t="shared" si="0"/>
        <v>16504.353523790196</v>
      </c>
      <c r="L11" s="181">
        <f t="shared" si="0"/>
        <v>19005.860022470035</v>
      </c>
      <c r="M11" s="181">
        <f t="shared" si="0"/>
        <v>23001.53229990421</v>
      </c>
    </row>
    <row r="12" spans="1:13" ht="15" customHeight="1">
      <c r="A12" s="185"/>
      <c r="B12" s="188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3" ht="13.5">
      <c r="A13" s="186"/>
      <c r="B13" s="189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</row>
    <row r="16" spans="1:14" ht="14.25">
      <c r="A16" s="106" t="s">
        <v>223</v>
      </c>
      <c r="B16" s="106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1:14" ht="14.25">
      <c r="A17" s="106" t="s">
        <v>224</v>
      </c>
      <c r="B17" s="106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3.5">
      <c r="A18" s="107" t="s">
        <v>162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3.5">
      <c r="A19" s="107" t="s">
        <v>99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3.5">
      <c r="A20" s="107" t="s">
        <v>100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3.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ht="13.5">
      <c r="A22" s="3" t="s">
        <v>254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1:6" ht="18.75">
      <c r="A23" s="180" t="s">
        <v>18</v>
      </c>
      <c r="B23" s="180"/>
      <c r="C23" s="180"/>
      <c r="D23" s="180"/>
      <c r="E23" s="180"/>
      <c r="F23" s="180"/>
    </row>
    <row r="24" spans="1:6" ht="16.5" thickBot="1">
      <c r="A24" s="2"/>
      <c r="B24" s="2"/>
      <c r="C24" s="2"/>
      <c r="D24" s="2"/>
      <c r="E24" s="2"/>
      <c r="F24" s="107" t="s">
        <v>24</v>
      </c>
    </row>
    <row r="25" spans="1:6" ht="16.5" thickBot="1">
      <c r="A25" s="2"/>
      <c r="B25" s="159">
        <v>2002</v>
      </c>
      <c r="C25" s="160">
        <v>2003</v>
      </c>
      <c r="D25" s="160">
        <v>2004</v>
      </c>
      <c r="E25" s="160">
        <v>2005</v>
      </c>
      <c r="F25" s="161">
        <v>2006</v>
      </c>
    </row>
    <row r="26" spans="1:6" ht="15">
      <c r="A26" s="156" t="s">
        <v>19</v>
      </c>
      <c r="B26" s="162">
        <v>0.513</v>
      </c>
      <c r="C26" s="162">
        <v>0.521</v>
      </c>
      <c r="D26" s="162">
        <v>0.528</v>
      </c>
      <c r="E26" s="162">
        <v>0.537</v>
      </c>
      <c r="F26" s="162">
        <v>0.548</v>
      </c>
    </row>
  </sheetData>
  <mergeCells count="41">
    <mergeCell ref="I5:I7"/>
    <mergeCell ref="M5:M7"/>
    <mergeCell ref="A2:M2"/>
    <mergeCell ref="A5:A7"/>
    <mergeCell ref="B5:B7"/>
    <mergeCell ref="C5:C7"/>
    <mergeCell ref="D5:D7"/>
    <mergeCell ref="E5:E7"/>
    <mergeCell ref="F5:F7"/>
    <mergeCell ref="G5:G7"/>
    <mergeCell ref="H5:H7"/>
    <mergeCell ref="C11:C13"/>
    <mergeCell ref="D11:D13"/>
    <mergeCell ref="A8:A10"/>
    <mergeCell ref="A11:A13"/>
    <mergeCell ref="B8:B10"/>
    <mergeCell ref="B11:B13"/>
    <mergeCell ref="G11:G13"/>
    <mergeCell ref="H8:H10"/>
    <mergeCell ref="H11:H13"/>
    <mergeCell ref="E8:E10"/>
    <mergeCell ref="E11:E13"/>
    <mergeCell ref="F8:F10"/>
    <mergeCell ref="F11:F13"/>
    <mergeCell ref="K11:K13"/>
    <mergeCell ref="L11:L13"/>
    <mergeCell ref="M11:M13"/>
    <mergeCell ref="I8:I10"/>
    <mergeCell ref="I11:I13"/>
    <mergeCell ref="J8:J10"/>
    <mergeCell ref="J11:J13"/>
    <mergeCell ref="A23:F23"/>
    <mergeCell ref="K8:K10"/>
    <mergeCell ref="L8:L10"/>
    <mergeCell ref="M8:M10"/>
    <mergeCell ref="G8:G10"/>
    <mergeCell ref="C8:C10"/>
    <mergeCell ref="D8:D10"/>
    <mergeCell ref="J5:J7"/>
    <mergeCell ref="K5:K7"/>
    <mergeCell ref="L5:L7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2.75"/>
  <cols>
    <col min="1" max="1" width="21.375" style="3" customWidth="1"/>
    <col min="2" max="9" width="7.875" style="3" customWidth="1"/>
    <col min="10" max="16384" width="9.125" style="3" customWidth="1"/>
  </cols>
  <sheetData>
    <row r="1" ht="13.5">
      <c r="A1" s="3" t="s">
        <v>255</v>
      </c>
    </row>
    <row r="2" spans="1:9" ht="18.75">
      <c r="A2" s="180" t="s">
        <v>20</v>
      </c>
      <c r="B2" s="180"/>
      <c r="C2" s="180"/>
      <c r="D2" s="180"/>
      <c r="E2" s="180"/>
      <c r="F2" s="180"/>
      <c r="G2" s="180"/>
      <c r="H2" s="180"/>
      <c r="I2" s="180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8.75">
      <c r="A4" s="100"/>
      <c r="B4" s="151">
        <v>1997</v>
      </c>
      <c r="C4" s="151">
        <v>1998</v>
      </c>
      <c r="D4" s="151">
        <v>1999</v>
      </c>
      <c r="E4" s="151">
        <v>2000</v>
      </c>
      <c r="F4" s="151">
        <v>2001</v>
      </c>
      <c r="G4" s="151">
        <v>2002</v>
      </c>
      <c r="H4" s="151">
        <v>2003</v>
      </c>
      <c r="I4" s="151">
        <v>2004</v>
      </c>
    </row>
    <row r="5" spans="1:9" ht="15">
      <c r="A5" s="156" t="s">
        <v>21</v>
      </c>
      <c r="B5" s="146">
        <v>0.608</v>
      </c>
      <c r="C5" s="146">
        <v>0.601</v>
      </c>
      <c r="D5" s="146">
        <v>0.578</v>
      </c>
      <c r="E5" s="146">
        <v>0.565</v>
      </c>
      <c r="F5" s="146">
        <v>0.565</v>
      </c>
      <c r="G5" s="146">
        <v>0.567</v>
      </c>
      <c r="H5" s="146">
        <v>0.576</v>
      </c>
      <c r="I5" s="157">
        <v>0.569</v>
      </c>
    </row>
    <row r="6" spans="1:9" ht="15">
      <c r="A6" s="156" t="s">
        <v>22</v>
      </c>
      <c r="B6" s="146">
        <v>0.118</v>
      </c>
      <c r="C6" s="146">
        <v>0.125</v>
      </c>
      <c r="D6" s="146">
        <v>0.162</v>
      </c>
      <c r="E6" s="146">
        <v>0.186</v>
      </c>
      <c r="F6" s="146">
        <v>0.192</v>
      </c>
      <c r="G6" s="146">
        <v>0.185</v>
      </c>
      <c r="H6" s="146">
        <v>0.174</v>
      </c>
      <c r="I6" s="146">
        <v>0.181</v>
      </c>
    </row>
    <row r="8" ht="14.25">
      <c r="A8" s="106" t="s">
        <v>214</v>
      </c>
    </row>
    <row r="9" ht="14.25">
      <c r="A9" s="106" t="s">
        <v>222</v>
      </c>
    </row>
  </sheetData>
  <mergeCells count="1">
    <mergeCell ref="A2:I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F20" sqref="F20"/>
    </sheetView>
  </sheetViews>
  <sheetFormatPr defaultColWidth="9.00390625" defaultRowHeight="12.75"/>
  <cols>
    <col min="1" max="1" width="10.75390625" style="3" customWidth="1"/>
    <col min="2" max="2" width="22.625" style="3" bestFit="1" customWidth="1"/>
    <col min="3" max="3" width="25.125" style="3" bestFit="1" customWidth="1"/>
    <col min="4" max="4" width="18.125" style="3" bestFit="1" customWidth="1"/>
    <col min="5" max="12" width="13.875" style="3" customWidth="1"/>
    <col min="13" max="22" width="13.875" style="0" customWidth="1"/>
    <col min="44" max="16384" width="9.125" style="3" customWidth="1"/>
  </cols>
  <sheetData>
    <row r="1" spans="1:11" ht="13.5">
      <c r="A1" s="3" t="s">
        <v>256</v>
      </c>
      <c r="J1" s="76"/>
      <c r="K1" s="76"/>
    </row>
    <row r="2" spans="1:4" ht="18.75">
      <c r="A2" s="180" t="s">
        <v>90</v>
      </c>
      <c r="B2" s="180"/>
      <c r="C2" s="180"/>
      <c r="D2" s="180"/>
    </row>
    <row r="4" spans="1:12" ht="16.5">
      <c r="A4" s="150" t="s">
        <v>44</v>
      </c>
      <c r="B4" s="151" t="s">
        <v>226</v>
      </c>
      <c r="C4" s="151" t="s">
        <v>227</v>
      </c>
      <c r="D4" s="151" t="s">
        <v>198</v>
      </c>
      <c r="L4" s="76"/>
    </row>
    <row r="5" spans="1:4" ht="15">
      <c r="A5" s="152">
        <v>1993</v>
      </c>
      <c r="B5" s="148">
        <v>31.9</v>
      </c>
      <c r="C5" s="153">
        <v>411.366</v>
      </c>
      <c r="D5" s="154">
        <f aca="true" t="shared" si="0" ref="D5:D16">(B5/C5)*100</f>
        <v>7.75465157548266</v>
      </c>
    </row>
    <row r="6" spans="1:4" ht="15">
      <c r="A6" s="152">
        <v>1994</v>
      </c>
      <c r="B6" s="148">
        <v>36.3</v>
      </c>
      <c r="C6" s="153">
        <v>495.649</v>
      </c>
      <c r="D6" s="154">
        <f t="shared" si="0"/>
        <v>7.3237311081027086</v>
      </c>
    </row>
    <row r="7" spans="1:4" ht="15">
      <c r="A7" s="152">
        <v>1995</v>
      </c>
      <c r="B7" s="148">
        <v>41.93</v>
      </c>
      <c r="C7" s="153">
        <v>576.502</v>
      </c>
      <c r="D7" s="154">
        <f t="shared" si="0"/>
        <v>7.273175114743748</v>
      </c>
    </row>
    <row r="8" spans="1:4" ht="15">
      <c r="A8" s="152">
        <v>1996</v>
      </c>
      <c r="B8" s="148">
        <v>46.34</v>
      </c>
      <c r="C8" s="153">
        <v>638.449</v>
      </c>
      <c r="D8" s="154">
        <f t="shared" si="0"/>
        <v>7.258214830002084</v>
      </c>
    </row>
    <row r="9" spans="1:4" ht="15">
      <c r="A9" s="152">
        <v>1997</v>
      </c>
      <c r="B9" s="148">
        <v>51.46</v>
      </c>
      <c r="C9" s="153">
        <v>712.679</v>
      </c>
      <c r="D9" s="154">
        <f t="shared" si="0"/>
        <v>7.22064211236756</v>
      </c>
    </row>
    <row r="10" spans="1:4" ht="15">
      <c r="A10" s="152">
        <v>1998</v>
      </c>
      <c r="B10" s="148">
        <v>57.42</v>
      </c>
      <c r="C10" s="153">
        <v>781.437</v>
      </c>
      <c r="D10" s="154">
        <f t="shared" si="0"/>
        <v>7.348001182436972</v>
      </c>
    </row>
    <row r="11" spans="1:4" ht="15">
      <c r="A11" s="152">
        <v>1999</v>
      </c>
      <c r="B11" s="148">
        <v>62.48</v>
      </c>
      <c r="C11" s="153">
        <v>844.108</v>
      </c>
      <c r="D11" s="154">
        <f t="shared" si="0"/>
        <v>7.401896439792065</v>
      </c>
    </row>
    <row r="12" spans="1:4" ht="15">
      <c r="A12" s="152">
        <v>2000</v>
      </c>
      <c r="B12" s="148">
        <v>68.31</v>
      </c>
      <c r="C12" s="153">
        <v>934.079</v>
      </c>
      <c r="D12" s="154">
        <f t="shared" si="0"/>
        <v>7.31308593812729</v>
      </c>
    </row>
    <row r="13" spans="1:4" ht="15">
      <c r="A13" s="152">
        <v>2001</v>
      </c>
      <c r="B13" s="148">
        <v>73.38</v>
      </c>
      <c r="C13" s="153">
        <v>1009.839</v>
      </c>
      <c r="D13" s="154">
        <f t="shared" si="0"/>
        <v>7.266504858695296</v>
      </c>
    </row>
    <row r="14" spans="1:4" ht="15">
      <c r="A14" s="152">
        <v>2002</v>
      </c>
      <c r="B14" s="148">
        <v>79.63</v>
      </c>
      <c r="C14" s="153">
        <v>1098.658</v>
      </c>
      <c r="D14" s="154">
        <f t="shared" si="0"/>
        <v>7.247933387824054</v>
      </c>
    </row>
    <row r="15" spans="1:4" ht="15">
      <c r="A15" s="152">
        <v>2003</v>
      </c>
      <c r="B15" s="148">
        <v>85.57</v>
      </c>
      <c r="C15" s="153">
        <v>1201.196</v>
      </c>
      <c r="D15" s="154">
        <f t="shared" si="0"/>
        <v>7.1237333457653875</v>
      </c>
    </row>
    <row r="16" spans="1:4" ht="15">
      <c r="A16" s="152">
        <v>2004</v>
      </c>
      <c r="B16" s="148">
        <v>95.23</v>
      </c>
      <c r="C16" s="155">
        <v>1325.4859999999999</v>
      </c>
      <c r="D16" s="154">
        <f t="shared" si="0"/>
        <v>7.184534578260353</v>
      </c>
    </row>
    <row r="17" spans="1:4" ht="13.5">
      <c r="A17"/>
      <c r="B17"/>
      <c r="C17"/>
      <c r="D17"/>
    </row>
    <row r="18" spans="1:4" ht="14.25">
      <c r="A18" s="106" t="s">
        <v>221</v>
      </c>
      <c r="B18"/>
      <c r="C18"/>
      <c r="D18"/>
    </row>
    <row r="19" spans="1:4" ht="14.25">
      <c r="A19" s="106"/>
      <c r="B19"/>
      <c r="C19"/>
      <c r="D19" s="3" t="s">
        <v>257</v>
      </c>
    </row>
    <row r="20" spans="1:4" ht="13.5">
      <c r="A20"/>
      <c r="B20"/>
      <c r="C20"/>
      <c r="D20"/>
    </row>
    <row r="21" spans="1:4" ht="13.5">
      <c r="A21"/>
      <c r="B21"/>
      <c r="C21"/>
      <c r="D21"/>
    </row>
    <row r="22" spans="1:4" ht="13.5">
      <c r="A22"/>
      <c r="B22"/>
      <c r="C22"/>
      <c r="D22"/>
    </row>
    <row r="23" spans="1:4" ht="13.5">
      <c r="A23"/>
      <c r="B23"/>
      <c r="C23"/>
      <c r="D23"/>
    </row>
    <row r="24" spans="1:4" ht="13.5">
      <c r="A24"/>
      <c r="B24"/>
      <c r="C24"/>
      <c r="D24"/>
    </row>
    <row r="25" spans="1:4" ht="13.5">
      <c r="A25"/>
      <c r="B25"/>
      <c r="C25"/>
      <c r="D25"/>
    </row>
    <row r="26" spans="1:4" ht="13.5">
      <c r="A26"/>
      <c r="B26"/>
      <c r="C26"/>
      <c r="D26"/>
    </row>
    <row r="27" spans="1:4" ht="13.5">
      <c r="A27"/>
      <c r="B27"/>
      <c r="C27"/>
      <c r="D27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22" sqref="G22"/>
    </sheetView>
  </sheetViews>
  <sheetFormatPr defaultColWidth="9.00390625" defaultRowHeight="12.75"/>
  <cols>
    <col min="1" max="1" width="6.00390625" style="3" customWidth="1"/>
    <col min="2" max="2" width="9.75390625" style="3" customWidth="1"/>
    <col min="3" max="3" width="10.125" style="3" customWidth="1"/>
    <col min="4" max="6" width="21.375" style="3" customWidth="1"/>
    <col min="7" max="13" width="5.25390625" style="3" bestFit="1" customWidth="1"/>
    <col min="14" max="14" width="6.375" style="3" bestFit="1" customWidth="1"/>
    <col min="15" max="16384" width="9.125" style="3" customWidth="1"/>
  </cols>
  <sheetData>
    <row r="1" ht="13.5">
      <c r="A1" s="3" t="s">
        <v>258</v>
      </c>
    </row>
    <row r="2" spans="1:6" ht="18.75">
      <c r="A2" s="180" t="s">
        <v>203</v>
      </c>
      <c r="B2" s="180"/>
      <c r="C2" s="180"/>
      <c r="D2" s="180"/>
      <c r="E2" s="180"/>
      <c r="F2" s="180"/>
    </row>
    <row r="4" spans="1:6" ht="15.75" customHeight="1">
      <c r="A4" s="194"/>
      <c r="B4" s="195" t="s">
        <v>228</v>
      </c>
      <c r="C4" s="195" t="s">
        <v>226</v>
      </c>
      <c r="D4" s="195" t="s">
        <v>166</v>
      </c>
      <c r="E4" s="195" t="s">
        <v>199</v>
      </c>
      <c r="F4" s="195" t="s">
        <v>200</v>
      </c>
    </row>
    <row r="5" spans="1:6" ht="15.75" customHeight="1">
      <c r="A5" s="194"/>
      <c r="B5" s="195"/>
      <c r="C5" s="195"/>
      <c r="D5" s="195"/>
      <c r="E5" s="195"/>
      <c r="F5" s="195"/>
    </row>
    <row r="6" spans="1:6" ht="15.75" customHeight="1">
      <c r="A6" s="194"/>
      <c r="B6" s="195"/>
      <c r="C6" s="195"/>
      <c r="D6" s="195"/>
      <c r="E6" s="195"/>
      <c r="F6" s="195"/>
    </row>
    <row r="7" spans="1:6" ht="15">
      <c r="A7" s="147">
        <v>1995</v>
      </c>
      <c r="B7" s="148">
        <v>44.7</v>
      </c>
      <c r="C7" s="148">
        <v>41.93</v>
      </c>
      <c r="D7" s="148">
        <f aca="true" t="shared" si="0" ref="D7:D16">B7-C7</f>
        <v>2.770000000000003</v>
      </c>
      <c r="E7" s="148">
        <v>7.273175114743748</v>
      </c>
      <c r="F7" s="149">
        <v>0.48048402260529893</v>
      </c>
    </row>
    <row r="8" spans="1:6" ht="15">
      <c r="A8" s="147">
        <v>1996</v>
      </c>
      <c r="B8" s="148">
        <v>50.9</v>
      </c>
      <c r="C8" s="148">
        <v>46.34</v>
      </c>
      <c r="D8" s="148">
        <f t="shared" si="0"/>
        <v>4.559999999999995</v>
      </c>
      <c r="E8" s="148">
        <v>7.258214830002084</v>
      </c>
      <c r="F8" s="149">
        <v>0.7142308939320133</v>
      </c>
    </row>
    <row r="9" spans="1:6" ht="15">
      <c r="A9" s="147">
        <v>1997</v>
      </c>
      <c r="B9" s="148">
        <v>51.5</v>
      </c>
      <c r="C9" s="148">
        <v>51.46</v>
      </c>
      <c r="D9" s="148">
        <f t="shared" si="0"/>
        <v>0.03999999999999915</v>
      </c>
      <c r="E9" s="148">
        <v>7.22064211236756</v>
      </c>
      <c r="F9" s="149">
        <v>0.005612625038762072</v>
      </c>
    </row>
    <row r="10" spans="1:6" ht="15">
      <c r="A10" s="147">
        <v>1998</v>
      </c>
      <c r="B10" s="148">
        <v>56.3</v>
      </c>
      <c r="C10" s="148">
        <v>57.42</v>
      </c>
      <c r="D10" s="148">
        <f t="shared" si="0"/>
        <v>-1.1200000000000045</v>
      </c>
      <c r="E10" s="148">
        <v>7.348001182436972</v>
      </c>
      <c r="F10" s="149">
        <v>-0.14332569356198901</v>
      </c>
    </row>
    <row r="11" spans="1:6" ht="15">
      <c r="A11" s="147">
        <v>1999</v>
      </c>
      <c r="B11" s="148">
        <v>56.5</v>
      </c>
      <c r="C11" s="148">
        <v>62.48</v>
      </c>
      <c r="D11" s="148">
        <f t="shared" si="0"/>
        <v>-5.979999999999997</v>
      </c>
      <c r="E11" s="148">
        <v>7.401896439792065</v>
      </c>
      <c r="F11" s="149">
        <v>-0.7084401522080114</v>
      </c>
    </row>
    <row r="12" spans="1:6" ht="15">
      <c r="A12" s="147">
        <v>2000</v>
      </c>
      <c r="B12" s="148">
        <v>66.6</v>
      </c>
      <c r="C12" s="148">
        <v>68.31</v>
      </c>
      <c r="D12" s="148">
        <f t="shared" si="0"/>
        <v>-1.710000000000008</v>
      </c>
      <c r="E12" s="148">
        <v>7.31308593812729</v>
      </c>
      <c r="F12" s="149">
        <v>-0.18306802743665238</v>
      </c>
    </row>
    <row r="13" spans="1:6" ht="15">
      <c r="A13" s="147">
        <v>2001</v>
      </c>
      <c r="B13" s="148">
        <v>71.7</v>
      </c>
      <c r="C13" s="148">
        <v>73.38</v>
      </c>
      <c r="D13" s="148">
        <f t="shared" si="0"/>
        <v>-1.6799999999999926</v>
      </c>
      <c r="E13" s="148">
        <v>7.266504858695296</v>
      </c>
      <c r="F13" s="149">
        <v>-0.16636315293823992</v>
      </c>
    </row>
    <row r="14" spans="1:6" ht="15">
      <c r="A14" s="147">
        <v>2002</v>
      </c>
      <c r="B14" s="148">
        <v>77.5</v>
      </c>
      <c r="C14" s="148">
        <v>79.63</v>
      </c>
      <c r="D14" s="148">
        <f t="shared" si="0"/>
        <v>-2.1299999999999955</v>
      </c>
      <c r="E14" s="148">
        <v>7.247933387824054</v>
      </c>
      <c r="F14" s="149">
        <v>-0.19387288856040735</v>
      </c>
    </row>
    <row r="15" spans="1:6" ht="15">
      <c r="A15" s="147">
        <v>2003</v>
      </c>
      <c r="B15" s="148">
        <v>83.4</v>
      </c>
      <c r="C15" s="148">
        <v>85.57</v>
      </c>
      <c r="D15" s="148">
        <f t="shared" si="0"/>
        <v>-2.1699999999999875</v>
      </c>
      <c r="E15" s="148">
        <v>7.1237333457653875</v>
      </c>
      <c r="F15" s="149">
        <v>-0.18065328222871102</v>
      </c>
    </row>
    <row r="16" spans="1:6" ht="15">
      <c r="A16" s="147">
        <v>2004</v>
      </c>
      <c r="B16" s="148">
        <v>87.9</v>
      </c>
      <c r="C16" s="148">
        <v>95.2</v>
      </c>
      <c r="D16" s="148">
        <f t="shared" si="0"/>
        <v>-7.299999999999997</v>
      </c>
      <c r="E16" s="148">
        <v>7.2</v>
      </c>
      <c r="F16" s="149">
        <v>-0.5507413884416735</v>
      </c>
    </row>
    <row r="18" ht="14.25">
      <c r="A18" s="106" t="s">
        <v>221</v>
      </c>
    </row>
    <row r="19" spans="1:6" ht="14.25">
      <c r="A19" s="106"/>
      <c r="F19" s="3" t="s">
        <v>259</v>
      </c>
    </row>
  </sheetData>
  <mergeCells count="7">
    <mergeCell ref="A2:F2"/>
    <mergeCell ref="A4:A6"/>
    <mergeCell ref="D4:D6"/>
    <mergeCell ref="E4:E6"/>
    <mergeCell ref="F4:F6"/>
    <mergeCell ref="B4:B6"/>
    <mergeCell ref="C4:C6"/>
  </mergeCells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18" sqref="B18"/>
    </sheetView>
  </sheetViews>
  <sheetFormatPr defaultColWidth="9.00390625" defaultRowHeight="12.75"/>
  <cols>
    <col min="1" max="1" width="23.625" style="2" customWidth="1"/>
    <col min="2" max="2" width="7.125" style="2" bestFit="1" customWidth="1"/>
    <col min="3" max="8" width="7.00390625" style="2" bestFit="1" customWidth="1"/>
    <col min="9" max="9" width="7.125" style="2" bestFit="1" customWidth="1"/>
    <col min="10" max="13" width="7.00390625" style="2" bestFit="1" customWidth="1"/>
    <col min="14" max="16384" width="9.125" style="2" customWidth="1"/>
  </cols>
  <sheetData>
    <row r="1" ht="15.75">
      <c r="A1" s="3" t="s">
        <v>260</v>
      </c>
    </row>
    <row r="2" spans="1:13" ht="18.75">
      <c r="A2" s="180" t="s">
        <v>101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9.5" thickBo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12" t="s">
        <v>209</v>
      </c>
    </row>
    <row r="4" spans="1:13" ht="17.25" thickBot="1">
      <c r="A4" s="141"/>
      <c r="B4" s="142">
        <v>1993</v>
      </c>
      <c r="C4" s="142">
        <v>1994</v>
      </c>
      <c r="D4" s="142">
        <v>1995</v>
      </c>
      <c r="E4" s="142">
        <v>1996</v>
      </c>
      <c r="F4" s="142">
        <v>1997</v>
      </c>
      <c r="G4" s="142">
        <v>1998</v>
      </c>
      <c r="H4" s="142">
        <v>1999</v>
      </c>
      <c r="I4" s="142">
        <v>2000</v>
      </c>
      <c r="J4" s="142">
        <v>2001</v>
      </c>
      <c r="K4" s="143">
        <v>2002</v>
      </c>
      <c r="L4" s="143">
        <v>2003</v>
      </c>
      <c r="M4" s="144">
        <v>2004</v>
      </c>
    </row>
    <row r="5" spans="1:13" ht="15.75">
      <c r="A5" s="200" t="s">
        <v>102</v>
      </c>
      <c r="B5" s="238">
        <v>-31.233257002280205</v>
      </c>
      <c r="C5" s="238">
        <v>-6.12933749488046</v>
      </c>
      <c r="D5" s="238">
        <v>-0.8589736028669321</v>
      </c>
      <c r="E5" s="238">
        <v>-7.396675380492418</v>
      </c>
      <c r="F5" s="238">
        <v>-6.176553539531817</v>
      </c>
      <c r="G5" s="238">
        <v>-3.7676741695107765</v>
      </c>
      <c r="H5" s="238">
        <v>-7.142569434243015</v>
      </c>
      <c r="I5" s="238">
        <v>-12.307524310042297</v>
      </c>
      <c r="J5" s="238">
        <v>-5.998877048717674</v>
      </c>
      <c r="K5" s="238">
        <v>-5.704595970720639</v>
      </c>
      <c r="L5" s="238">
        <v>-3.7247876283304393</v>
      </c>
      <c r="M5" s="238">
        <v>-3.3095785244053815</v>
      </c>
    </row>
    <row r="6" spans="1:13" ht="15.75">
      <c r="A6" s="201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ht="16.5" customHeight="1">
      <c r="A7" s="202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</row>
    <row r="8" spans="1:13" ht="15.75">
      <c r="A8" s="184" t="s">
        <v>103</v>
      </c>
      <c r="B8" s="241">
        <v>26.64099609593403</v>
      </c>
      <c r="C8" s="241">
        <v>23.47447488040932</v>
      </c>
      <c r="D8" s="241">
        <v>21.134705517066724</v>
      </c>
      <c r="E8" s="241">
        <v>30.5711184448562</v>
      </c>
      <c r="F8" s="241">
        <v>33.12388887563686</v>
      </c>
      <c r="G8" s="241">
        <v>33.972924240853715</v>
      </c>
      <c r="H8" s="241">
        <v>47.19502717661721</v>
      </c>
      <c r="I8" s="241">
        <v>49.87865052099447</v>
      </c>
      <c r="J8" s="241">
        <v>48.73900871932358</v>
      </c>
      <c r="K8" s="241">
        <v>43.3</v>
      </c>
      <c r="L8" s="241">
        <v>42.6</v>
      </c>
      <c r="M8" s="241">
        <v>43.6</v>
      </c>
    </row>
    <row r="9" spans="1:13" ht="15.75">
      <c r="A9" s="201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</row>
    <row r="10" spans="1:13" ht="15.75">
      <c r="A10" s="202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</row>
    <row r="13" spans="1:4" ht="16.5">
      <c r="A13" s="106" t="s">
        <v>219</v>
      </c>
      <c r="B13" s="106"/>
      <c r="C13" s="106"/>
      <c r="D13" s="1"/>
    </row>
    <row r="14" spans="1:4" ht="16.5">
      <c r="A14" s="106" t="s">
        <v>218</v>
      </c>
      <c r="B14" s="106"/>
      <c r="C14" s="106"/>
      <c r="D14" s="1"/>
    </row>
  </sheetData>
  <mergeCells count="27">
    <mergeCell ref="K8:K10"/>
    <mergeCell ref="L8:L10"/>
    <mergeCell ref="M8:M10"/>
    <mergeCell ref="M5:M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I5:I7"/>
    <mergeCell ref="J5:J7"/>
    <mergeCell ref="K5:K7"/>
    <mergeCell ref="L5:L7"/>
    <mergeCell ref="A5:A7"/>
    <mergeCell ref="A8:A10"/>
    <mergeCell ref="A2:M2"/>
    <mergeCell ref="B5:B7"/>
    <mergeCell ref="C5:C7"/>
    <mergeCell ref="D5:D7"/>
    <mergeCell ref="E5:E7"/>
    <mergeCell ref="F5:F7"/>
    <mergeCell ref="G5:G7"/>
    <mergeCell ref="H5:H7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Šimko</dc:creator>
  <cp:keywords/>
  <dc:description/>
  <cp:lastModifiedBy>Ing. Martin Šimko</cp:lastModifiedBy>
  <cp:lastPrinted>2005-07-03T16:09:22Z</cp:lastPrinted>
  <dcterms:created xsi:type="dcterms:W3CDTF">2005-06-13T08:51:08Z</dcterms:created>
  <dcterms:modified xsi:type="dcterms:W3CDTF">2005-07-03T17:57:26Z</dcterms:modified>
  <cp:category/>
  <cp:version/>
  <cp:contentType/>
  <cp:contentStatus/>
</cp:coreProperties>
</file>