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7050" activeTab="0"/>
  </bookViews>
  <sheets>
    <sheet name="B" sheetId="1" r:id="rId1"/>
  </sheets>
  <definedNames>
    <definedName name="_xlnm.Print_Area" localSheetId="0">'B'!$A$2:$I$86</definedName>
    <definedName name="TA2">'B'!$A$3:$D$3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<sst xmlns="http://schemas.openxmlformats.org/spreadsheetml/2006/main" count="87" uniqueCount="46">
  <si>
    <t xml:space="preserve"> Inkasá / Kredit /  (+)</t>
  </si>
  <si>
    <t xml:space="preserve"> Platby / Debet / ( - )</t>
  </si>
  <si>
    <t>mil. Sk</t>
  </si>
  <si>
    <t>mil. USD</t>
  </si>
  <si>
    <t>Poznámka : údaje sú predbežné</t>
  </si>
  <si>
    <t>Kurz USD=</t>
  </si>
  <si>
    <t>SKK</t>
  </si>
  <si>
    <t xml:space="preserve">                       Platobná bilancia  SR  za  január  až december  2002</t>
  </si>
  <si>
    <t xml:space="preserve">Finančný účet platobnej bilancie  </t>
  </si>
  <si>
    <t xml:space="preserve">            Saldo</t>
  </si>
  <si>
    <t xml:space="preserve">  PRIAME INVESTÍCIE</t>
  </si>
  <si>
    <t xml:space="preserve">      V ZAHRANIČÍ    (priamy investor = rezident)</t>
  </si>
  <si>
    <t xml:space="preserve">            Majetková účasť</t>
  </si>
  <si>
    <t xml:space="preserve">                 Pohľadávky voči podniku priamej investície</t>
  </si>
  <si>
    <t xml:space="preserve">                 Záväzky voči podniku priamej investície</t>
  </si>
  <si>
    <t xml:space="preserve">            Reinvestovaný zisk</t>
  </si>
  <si>
    <t xml:space="preserve">            Ostatný kapitál</t>
  </si>
  <si>
    <t xml:space="preserve">      V SR    (podnik priamej investície = rezident)</t>
  </si>
  <si>
    <t xml:space="preserve">                 Pohľadávky voči priamym investorom</t>
  </si>
  <si>
    <t xml:space="preserve">                 Záväzky voči priamym investorom</t>
  </si>
  <si>
    <t xml:space="preserve">  PORTFÓLIOVÉ INVESTÍCIE</t>
  </si>
  <si>
    <t xml:space="preserve">      AKTÍVA</t>
  </si>
  <si>
    <t xml:space="preserve">            Majetkové cenné papiere</t>
  </si>
  <si>
    <t xml:space="preserve">            Dlžobné cenné papiere</t>
  </si>
  <si>
    <t xml:space="preserve">                 Obligácie a zmenky</t>
  </si>
  <si>
    <t xml:space="preserve">                   Vláda + NBS</t>
  </si>
  <si>
    <t xml:space="preserve">                   Banky</t>
  </si>
  <si>
    <t xml:space="preserve">                   Ostatné sektory</t>
  </si>
  <si>
    <t xml:space="preserve">                   Nástroje peňažného trhu</t>
  </si>
  <si>
    <t xml:space="preserve">                   Finančné deriváty</t>
  </si>
  <si>
    <t xml:space="preserve">      PASÍVA</t>
  </si>
  <si>
    <t xml:space="preserve">  OSTATNÉ INVESTÍCIE</t>
  </si>
  <si>
    <t xml:space="preserve">            Obchodné úvery</t>
  </si>
  <si>
    <t xml:space="preserve">                 dlhodobé</t>
  </si>
  <si>
    <t xml:space="preserve">                 krátkodobé</t>
  </si>
  <si>
    <t xml:space="preserve">            Pôžičky - finančné úvery</t>
  </si>
  <si>
    <t xml:space="preserve">                 Vláda + NBS</t>
  </si>
  <si>
    <t xml:space="preserve">                      dlhodobé</t>
  </si>
  <si>
    <t xml:space="preserve">                      krátkodobé</t>
  </si>
  <si>
    <t xml:space="preserve">                 Banky</t>
  </si>
  <si>
    <t xml:space="preserve">                 Ostatné sektory</t>
  </si>
  <si>
    <t xml:space="preserve">            Hotovosť a vklady</t>
  </si>
  <si>
    <t xml:space="preserve">            Ostatné aktíva</t>
  </si>
  <si>
    <t xml:space="preserve">            Ostatné pasíva</t>
  </si>
  <si>
    <t xml:space="preserve"> FINANČNÝ ÚČET</t>
  </si>
  <si>
    <t xml:space="preserve">              Príloha č.2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</si>
</sst>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\-mmm\-yy_)"/>
    <numFmt numFmtId="165" formatCode="hh:mm:ss\ AM/PM_)"/>
    <numFmt numFmtId="166" formatCode="#,##0.0&quot;Sk&quot;_);\(#,##0.0&quot;Sk&quot;\)"/>
    <numFmt numFmtId="167" formatCode="#,##0&quot;Sk&quot;_);\(#,##0&quot;Sk&quot;\)"/>
    <numFmt numFmtId="168" formatCode="#,##0.000&quot;Sk&quot;_);\(#,##0.000&quot;Sk&quot;\)"/>
    <numFmt numFmtId="169" formatCode="#,##0.0_);\(#,##0.0\)"/>
    <numFmt numFmtId="170" formatCode="#,##0.0"/>
    <numFmt numFmtId="171" formatCode="#,##0.000"/>
  </numFmts>
  <fonts count="11">
    <font>
      <sz val="12"/>
      <name val="Arial MT"/>
      <family val="0"/>
    </font>
    <font>
      <sz val="11"/>
      <name val="Times New Roman"/>
      <family val="0"/>
    </font>
    <font>
      <b/>
      <sz val="18"/>
      <name val="Times New Roman"/>
      <family val="0"/>
    </font>
    <font>
      <b/>
      <i/>
      <sz val="18"/>
      <name val="Times New Roman"/>
      <family val="0"/>
    </font>
    <font>
      <b/>
      <sz val="12"/>
      <name val="Arial MT"/>
      <family val="0"/>
    </font>
    <font>
      <sz val="12"/>
      <name val="TimesNewRomanPS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Arial MT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6" fillId="0" borderId="1" xfId="0" applyNumberFormat="1" applyFont="1" applyBorder="1" applyAlignment="1">
      <alignment/>
    </xf>
    <xf numFmtId="170" fontId="6" fillId="0" borderId="2" xfId="0" applyNumberFormat="1" applyFont="1" applyBorder="1" applyAlignment="1">
      <alignment/>
    </xf>
    <xf numFmtId="170" fontId="7" fillId="0" borderId="3" xfId="0" applyNumberFormat="1" applyFont="1" applyBorder="1" applyAlignment="1">
      <alignment/>
    </xf>
    <xf numFmtId="170" fontId="6" fillId="0" borderId="4" xfId="0" applyNumberFormat="1" applyFont="1" applyBorder="1" applyAlignment="1" applyProtection="1">
      <alignment/>
      <protection/>
    </xf>
    <xf numFmtId="170" fontId="6" fillId="0" borderId="5" xfId="0" applyNumberFormat="1" applyFont="1" applyBorder="1" applyAlignment="1" applyProtection="1">
      <alignment/>
      <protection/>
    </xf>
    <xf numFmtId="170" fontId="8" fillId="0" borderId="3" xfId="0" applyNumberFormat="1" applyFont="1" applyBorder="1" applyAlignment="1">
      <alignment/>
    </xf>
    <xf numFmtId="170" fontId="6" fillId="0" borderId="6" xfId="0" applyNumberFormat="1" applyFont="1" applyBorder="1" applyAlignment="1" applyProtection="1">
      <alignment/>
      <protection/>
    </xf>
    <xf numFmtId="170" fontId="6" fillId="0" borderId="7" xfId="0" applyNumberFormat="1" applyFont="1" applyBorder="1" applyAlignment="1" applyProtection="1">
      <alignment/>
      <protection/>
    </xf>
    <xf numFmtId="170" fontId="6" fillId="0" borderId="3" xfId="0" applyNumberFormat="1" applyFont="1" applyBorder="1" applyAlignment="1">
      <alignment/>
    </xf>
    <xf numFmtId="170" fontId="6" fillId="0" borderId="0" xfId="0" applyNumberFormat="1" applyFont="1" applyAlignment="1" applyProtection="1">
      <alignment/>
      <protection/>
    </xf>
    <xf numFmtId="170" fontId="8" fillId="0" borderId="0" xfId="0" applyNumberFormat="1" applyFont="1" applyAlignment="1">
      <alignment horizontal="right"/>
    </xf>
    <xf numFmtId="170" fontId="6" fillId="0" borderId="0" xfId="0" applyNumberFormat="1" applyFont="1" applyAlignment="1">
      <alignment horizontal="right"/>
    </xf>
    <xf numFmtId="171" fontId="6" fillId="0" borderId="0" xfId="0" applyNumberFormat="1" applyFont="1" applyAlignment="1" applyProtection="1">
      <alignment/>
      <protection/>
    </xf>
    <xf numFmtId="170" fontId="7" fillId="0" borderId="8" xfId="0" applyNumberFormat="1" applyFont="1" applyBorder="1" applyAlignment="1">
      <alignment/>
    </xf>
    <xf numFmtId="170" fontId="7" fillId="0" borderId="9" xfId="0" applyNumberFormat="1" applyFont="1" applyBorder="1" applyAlignment="1">
      <alignment/>
    </xf>
    <xf numFmtId="170" fontId="7" fillId="0" borderId="10" xfId="0" applyNumberFormat="1" applyFont="1" applyBorder="1" applyAlignment="1">
      <alignment horizontal="center"/>
    </xf>
    <xf numFmtId="170" fontId="7" fillId="0" borderId="11" xfId="0" applyNumberFormat="1" applyFont="1" applyBorder="1" applyAlignment="1">
      <alignment horizontal="center"/>
    </xf>
    <xf numFmtId="170" fontId="6" fillId="0" borderId="12" xfId="0" applyNumberFormat="1" applyFont="1" applyBorder="1" applyAlignment="1">
      <alignment/>
    </xf>
    <xf numFmtId="170" fontId="9" fillId="0" borderId="3" xfId="0" applyNumberFormat="1" applyFont="1" applyBorder="1" applyAlignment="1">
      <alignment/>
    </xf>
    <xf numFmtId="170" fontId="7" fillId="0" borderId="13" xfId="0" applyNumberFormat="1" applyFont="1" applyBorder="1" applyAlignment="1">
      <alignment/>
    </xf>
    <xf numFmtId="170" fontId="6" fillId="0" borderId="10" xfId="0" applyNumberFormat="1" applyFont="1" applyBorder="1" applyAlignment="1" applyProtection="1">
      <alignment/>
      <protection/>
    </xf>
    <xf numFmtId="170" fontId="6" fillId="0" borderId="11" xfId="0" applyNumberFormat="1" applyFont="1" applyBorder="1" applyAlignment="1" applyProtection="1">
      <alignment/>
      <protection/>
    </xf>
    <xf numFmtId="170" fontId="8" fillId="0" borderId="0" xfId="0" applyNumberFormat="1" applyFont="1" applyAlignment="1">
      <alignment/>
    </xf>
    <xf numFmtId="170" fontId="7" fillId="0" borderId="8" xfId="0" applyNumberFormat="1" applyFont="1" applyBorder="1" applyAlignment="1">
      <alignment horizontal="left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M116"/>
  <sheetViews>
    <sheetView tabSelected="1" workbookViewId="0" topLeftCell="C69">
      <selection activeCell="H80" sqref="H80"/>
    </sheetView>
  </sheetViews>
  <sheetFormatPr defaultColWidth="9.77734375" defaultRowHeight="15"/>
  <cols>
    <col min="1" max="1" width="1.77734375" style="0" customWidth="1"/>
    <col min="2" max="2" width="37.77734375" style="0" customWidth="1"/>
    <col min="5" max="5" width="12.77734375" style="0" customWidth="1"/>
  </cols>
  <sheetData>
    <row r="2" ht="18">
      <c r="G2" s="30" t="s">
        <v>45</v>
      </c>
    </row>
    <row r="3" spans="2:3" ht="22.5">
      <c r="B3" s="4" t="s">
        <v>7</v>
      </c>
      <c r="C3" s="4"/>
    </row>
    <row r="4" ht="15" customHeight="1">
      <c r="B4" s="5"/>
    </row>
    <row r="5" ht="23.25">
      <c r="B5" s="5" t="s">
        <v>8</v>
      </c>
    </row>
    <row r="6" ht="15.75" thickBot="1"/>
    <row r="7" spans="2:8" ht="17.25" thickBot="1" thickTop="1">
      <c r="B7" s="6"/>
      <c r="C7" s="19" t="s">
        <v>0</v>
      </c>
      <c r="D7" s="20"/>
      <c r="E7" s="29" t="s">
        <v>1</v>
      </c>
      <c r="F7" s="20"/>
      <c r="G7" s="19" t="s">
        <v>9</v>
      </c>
      <c r="H7" s="20"/>
    </row>
    <row r="8" spans="2:8" ht="17.25" thickBot="1" thickTop="1">
      <c r="B8" s="7"/>
      <c r="C8" s="21" t="s">
        <v>2</v>
      </c>
      <c r="D8" s="22" t="s">
        <v>3</v>
      </c>
      <c r="E8" s="21" t="s">
        <v>2</v>
      </c>
      <c r="F8" s="22" t="s">
        <v>3</v>
      </c>
      <c r="G8" s="21" t="s">
        <v>2</v>
      </c>
      <c r="H8" s="22" t="s">
        <v>3</v>
      </c>
    </row>
    <row r="9" spans="2:12" ht="16.5" thickTop="1">
      <c r="B9" s="14"/>
      <c r="C9" s="9"/>
      <c r="D9" s="10"/>
      <c r="E9" s="9"/>
      <c r="F9" s="10"/>
      <c r="G9" s="9"/>
      <c r="H9" s="10"/>
      <c r="L9" s="1"/>
    </row>
    <row r="10" spans="2:13" ht="15.75">
      <c r="B10" s="8" t="s">
        <v>10</v>
      </c>
      <c r="C10" s="9">
        <f>C11+C19</f>
        <v>483794.6</v>
      </c>
      <c r="D10" s="10">
        <f>D11+D19</f>
        <v>10671.547369582</v>
      </c>
      <c r="E10" s="9">
        <f>E11+E19</f>
        <v>-302127.9</v>
      </c>
      <c r="F10" s="10">
        <f>F11+F19</f>
        <v>-6664.3410168743785</v>
      </c>
      <c r="G10" s="9">
        <f>C10+E10</f>
        <v>181666.69999999995</v>
      </c>
      <c r="H10" s="10">
        <f>D10+F10</f>
        <v>4007.2063527076216</v>
      </c>
      <c r="I10" s="2"/>
      <c r="J10" s="3"/>
      <c r="L10" s="1"/>
      <c r="M10" s="3"/>
    </row>
    <row r="11" spans="2:12" ht="15.75">
      <c r="B11" s="11" t="s">
        <v>11</v>
      </c>
      <c r="C11" s="9">
        <f>C12+C15+C16</f>
        <v>17385</v>
      </c>
      <c r="D11" s="10">
        <f>D12+D15+D16</f>
        <v>383.4785485827727</v>
      </c>
      <c r="E11" s="9">
        <f>E12+E15+E16</f>
        <v>-17608</v>
      </c>
      <c r="F11" s="10">
        <f>F12+F15+F16</f>
        <v>-388.39748538656664</v>
      </c>
      <c r="G11" s="9">
        <f>C11+E11</f>
        <v>-223</v>
      </c>
      <c r="H11" s="10">
        <f>D11+F11</f>
        <v>-4.91893680379394</v>
      </c>
      <c r="I11" s="2"/>
      <c r="J11" s="1"/>
      <c r="K11" s="1"/>
      <c r="L11" s="1"/>
    </row>
    <row r="12" spans="2:8" ht="15.75">
      <c r="B12" s="14" t="s">
        <v>12</v>
      </c>
      <c r="C12" s="9">
        <f aca="true" t="shared" si="0" ref="C12:H12">C13+C14</f>
        <v>2686</v>
      </c>
      <c r="D12" s="10">
        <f t="shared" si="0"/>
        <v>59.24782177125841</v>
      </c>
      <c r="E12" s="9">
        <f t="shared" si="0"/>
        <v>-2773</v>
      </c>
      <c r="F12" s="10">
        <f t="shared" si="0"/>
        <v>-61.166868865115255</v>
      </c>
      <c r="G12" s="9">
        <f t="shared" si="0"/>
        <v>-87</v>
      </c>
      <c r="H12" s="10">
        <f t="shared" si="0"/>
        <v>-1.9190470938568467</v>
      </c>
    </row>
    <row r="13" spans="2:8" ht="15.75">
      <c r="B13" s="14" t="s">
        <v>13</v>
      </c>
      <c r="C13" s="9">
        <v>2686</v>
      </c>
      <c r="D13" s="10">
        <f>C13/$C$86</f>
        <v>59.24782177125841</v>
      </c>
      <c r="E13" s="9">
        <v>-2773</v>
      </c>
      <c r="F13" s="10">
        <f>E13/$C$86</f>
        <v>-61.166868865115255</v>
      </c>
      <c r="G13" s="9">
        <f aca="true" t="shared" si="1" ref="G13:H15">C13+E13</f>
        <v>-87</v>
      </c>
      <c r="H13" s="10">
        <f t="shared" si="1"/>
        <v>-1.9190470938568467</v>
      </c>
    </row>
    <row r="14" spans="2:8" ht="15.75">
      <c r="B14" s="14" t="s">
        <v>14</v>
      </c>
      <c r="C14" s="9">
        <v>0</v>
      </c>
      <c r="D14" s="10">
        <f>C14/$C$86</f>
        <v>0</v>
      </c>
      <c r="E14" s="9">
        <v>0</v>
      </c>
      <c r="F14" s="10">
        <f>E14/$C$86</f>
        <v>0</v>
      </c>
      <c r="G14" s="9">
        <f t="shared" si="1"/>
        <v>0</v>
      </c>
      <c r="H14" s="10">
        <f t="shared" si="1"/>
        <v>0</v>
      </c>
    </row>
    <row r="15" spans="2:8" ht="15.75">
      <c r="B15" s="14" t="s">
        <v>15</v>
      </c>
      <c r="C15" s="9">
        <v>0</v>
      </c>
      <c r="D15" s="10">
        <f>C15/$C$86</f>
        <v>0</v>
      </c>
      <c r="E15" s="9">
        <v>0</v>
      </c>
      <c r="F15" s="10">
        <f>E15/$C$86</f>
        <v>0</v>
      </c>
      <c r="G15" s="9">
        <f t="shared" si="1"/>
        <v>0</v>
      </c>
      <c r="H15" s="10">
        <f t="shared" si="1"/>
        <v>0</v>
      </c>
    </row>
    <row r="16" spans="2:8" ht="15.75">
      <c r="B16" s="14" t="s">
        <v>16</v>
      </c>
      <c r="C16" s="9">
        <f aca="true" t="shared" si="2" ref="C16:H16">C17+C18</f>
        <v>14699</v>
      </c>
      <c r="D16" s="10">
        <f t="shared" si="2"/>
        <v>324.2307268115143</v>
      </c>
      <c r="E16" s="9">
        <f t="shared" si="2"/>
        <v>-14835</v>
      </c>
      <c r="F16" s="10">
        <f t="shared" si="2"/>
        <v>-327.2306165214514</v>
      </c>
      <c r="G16" s="9">
        <f t="shared" si="2"/>
        <v>-136</v>
      </c>
      <c r="H16" s="10">
        <f t="shared" si="2"/>
        <v>-2.999889709937131</v>
      </c>
    </row>
    <row r="17" spans="2:8" ht="15.75">
      <c r="B17" s="14" t="s">
        <v>13</v>
      </c>
      <c r="C17" s="9">
        <f>13+44+14571</f>
        <v>14628</v>
      </c>
      <c r="D17" s="10">
        <f>C17/$C$86</f>
        <v>322.6646079188265</v>
      </c>
      <c r="E17" s="9">
        <f>-73-15-14723</f>
        <v>-14811</v>
      </c>
      <c r="F17" s="10">
        <f>E17/$C$86</f>
        <v>-326.7012242196978</v>
      </c>
      <c r="G17" s="9">
        <f>C17+E17</f>
        <v>-183</v>
      </c>
      <c r="H17" s="10">
        <f>D17+F17</f>
        <v>-4.036616300871287</v>
      </c>
    </row>
    <row r="18" spans="2:8" ht="15.75">
      <c r="B18" s="14" t="s">
        <v>14</v>
      </c>
      <c r="C18" s="9">
        <f>47+24</f>
        <v>71</v>
      </c>
      <c r="D18" s="10">
        <f>C18/$C$86</f>
        <v>1.5661188926877687</v>
      </c>
      <c r="E18" s="9">
        <f>-8-16</f>
        <v>-24</v>
      </c>
      <c r="F18" s="10">
        <f>E18/$C$86</f>
        <v>-0.529392301753612</v>
      </c>
      <c r="G18" s="9">
        <f>C18+E18</f>
        <v>47</v>
      </c>
      <c r="H18" s="10">
        <f>D18+F18</f>
        <v>1.0367265909341568</v>
      </c>
    </row>
    <row r="19" spans="2:8" ht="15.75">
      <c r="B19" s="11" t="s">
        <v>17</v>
      </c>
      <c r="C19" s="9">
        <f aca="true" t="shared" si="3" ref="C19:H19">C20+C23+C24</f>
        <v>466409.6</v>
      </c>
      <c r="D19" s="10">
        <f t="shared" si="3"/>
        <v>10288.068820999228</v>
      </c>
      <c r="E19" s="9">
        <f t="shared" si="3"/>
        <v>-284519.9</v>
      </c>
      <c r="F19" s="10">
        <f t="shared" si="3"/>
        <v>-6275.943531487812</v>
      </c>
      <c r="G19" s="9">
        <f t="shared" si="3"/>
        <v>181889.7</v>
      </c>
      <c r="H19" s="10">
        <f t="shared" si="3"/>
        <v>4012.1252895114158</v>
      </c>
    </row>
    <row r="20" spans="2:8" ht="15.75">
      <c r="B20" s="14" t="s">
        <v>12</v>
      </c>
      <c r="C20" s="9">
        <f>C21+C22</f>
        <v>190898.6</v>
      </c>
      <c r="D20" s="10">
        <f>D21+D22</f>
        <v>4210.84371898092</v>
      </c>
      <c r="E20" s="9">
        <f>E21+E22</f>
        <v>-11693.9</v>
      </c>
      <c r="F20" s="10">
        <f>F21+F22</f>
        <v>-257.9441932281901</v>
      </c>
      <c r="G20" s="9">
        <f aca="true" t="shared" si="4" ref="G20:H26">C20+E20</f>
        <v>179204.7</v>
      </c>
      <c r="H20" s="10">
        <f t="shared" si="4"/>
        <v>3952.89952575273</v>
      </c>
    </row>
    <row r="21" spans="2:8" ht="15.75">
      <c r="B21" s="14" t="s">
        <v>18</v>
      </c>
      <c r="C21" s="9">
        <v>0</v>
      </c>
      <c r="D21" s="10">
        <f>C21/$C$86</f>
        <v>0</v>
      </c>
      <c r="E21" s="9">
        <v>0</v>
      </c>
      <c r="F21" s="10">
        <f>E21/$C$86</f>
        <v>0</v>
      </c>
      <c r="G21" s="9">
        <f t="shared" si="4"/>
        <v>0</v>
      </c>
      <c r="H21" s="10">
        <f t="shared" si="4"/>
        <v>0</v>
      </c>
    </row>
    <row r="22" spans="2:8" ht="15.75">
      <c r="B22" s="14" t="s">
        <v>19</v>
      </c>
      <c r="C22" s="9">
        <f>12658.6+178240</f>
        <v>190898.6</v>
      </c>
      <c r="D22" s="10">
        <f>C22/$C$86</f>
        <v>4210.84371898092</v>
      </c>
      <c r="E22" s="9">
        <f>-10449-1244.9</f>
        <v>-11693.9</v>
      </c>
      <c r="F22" s="10">
        <f>E22/$C$86</f>
        <v>-257.9441932281901</v>
      </c>
      <c r="G22" s="9">
        <f t="shared" si="4"/>
        <v>179204.7</v>
      </c>
      <c r="H22" s="10">
        <f t="shared" si="4"/>
        <v>3952.89952575273</v>
      </c>
    </row>
    <row r="23" spans="2:8" ht="15.75">
      <c r="B23" s="14" t="s">
        <v>15</v>
      </c>
      <c r="C23" s="9">
        <v>542</v>
      </c>
      <c r="D23" s="10">
        <f>C23/$C$86</f>
        <v>11.955442814602405</v>
      </c>
      <c r="E23" s="9">
        <v>0</v>
      </c>
      <c r="F23" s="10">
        <f>E23/$C$86</f>
        <v>0</v>
      </c>
      <c r="G23" s="9">
        <f t="shared" si="4"/>
        <v>542</v>
      </c>
      <c r="H23" s="10">
        <f t="shared" si="4"/>
        <v>11.955442814602405</v>
      </c>
    </row>
    <row r="24" spans="2:8" ht="15.75">
      <c r="B24" s="14" t="s">
        <v>16</v>
      </c>
      <c r="C24" s="9">
        <f>C25+C26</f>
        <v>274969</v>
      </c>
      <c r="D24" s="10">
        <f>D25+D26</f>
        <v>6065.2696592037055</v>
      </c>
      <c r="E24" s="9">
        <f>E25+E26</f>
        <v>-272826</v>
      </c>
      <c r="F24" s="10">
        <f>F25+F26</f>
        <v>-6017.999338259622</v>
      </c>
      <c r="G24" s="9">
        <f t="shared" si="4"/>
        <v>2143</v>
      </c>
      <c r="H24" s="10">
        <f t="shared" si="4"/>
        <v>47.27032094408332</v>
      </c>
    </row>
    <row r="25" spans="2:8" ht="15.75">
      <c r="B25" s="14" t="s">
        <v>18</v>
      </c>
      <c r="C25" s="9">
        <f>3320+1738+126830+5</f>
        <v>131893</v>
      </c>
      <c r="D25" s="10">
        <f>C25/$C$86</f>
        <v>2909.297452299548</v>
      </c>
      <c r="E25" s="9">
        <f>-5106-591-138487+6000-1711+3000</f>
        <v>-136895</v>
      </c>
      <c r="F25" s="10">
        <f>E25/$C$86</f>
        <v>-3019.6316311900296</v>
      </c>
      <c r="G25" s="9">
        <f t="shared" si="4"/>
        <v>-5002</v>
      </c>
      <c r="H25" s="10">
        <f t="shared" si="4"/>
        <v>-110.33417889048178</v>
      </c>
    </row>
    <row r="26" spans="2:8" ht="15.75">
      <c r="B26" s="23" t="s">
        <v>19</v>
      </c>
      <c r="C26" s="12">
        <f>15376+16438+107465+486+3311</f>
        <v>143076</v>
      </c>
      <c r="D26" s="13">
        <f>C26/$C$86</f>
        <v>3155.9722069041577</v>
      </c>
      <c r="E26" s="12">
        <f>-18760-13302-103256-613</f>
        <v>-135931</v>
      </c>
      <c r="F26" s="13">
        <f>E26/$C$86</f>
        <v>-2998.367707069593</v>
      </c>
      <c r="G26" s="12">
        <f t="shared" si="4"/>
        <v>7145</v>
      </c>
      <c r="H26" s="13">
        <f t="shared" si="4"/>
        <v>157.60449983456465</v>
      </c>
    </row>
    <row r="27" spans="2:8" ht="15.75">
      <c r="B27" s="14"/>
      <c r="C27" s="9"/>
      <c r="D27" s="10"/>
      <c r="E27" s="9"/>
      <c r="F27" s="10"/>
      <c r="G27" s="9"/>
      <c r="H27" s="10"/>
    </row>
    <row r="28" spans="2:8" ht="15.75">
      <c r="B28" s="8" t="s">
        <v>20</v>
      </c>
      <c r="C28" s="9">
        <f>C29+C38</f>
        <v>341962</v>
      </c>
      <c r="D28" s="10">
        <f>D29+D38</f>
        <v>7543.002095511194</v>
      </c>
      <c r="E28" s="9">
        <f>E29+E38</f>
        <v>-316836</v>
      </c>
      <c r="F28" s="10">
        <f>F29+F38</f>
        <v>-6988.772471600309</v>
      </c>
      <c r="G28" s="9">
        <f aca="true" t="shared" si="5" ref="G28:G46">C28+E28</f>
        <v>25126</v>
      </c>
      <c r="H28" s="10">
        <f aca="true" t="shared" si="6" ref="H28:H46">D28+F28</f>
        <v>554.2296239108855</v>
      </c>
    </row>
    <row r="29" spans="2:8" ht="15.75">
      <c r="B29" s="11" t="s">
        <v>21</v>
      </c>
      <c r="C29" s="9">
        <f>C30+C31</f>
        <v>176247.5</v>
      </c>
      <c r="D29" s="10">
        <f>D30+D31</f>
        <v>3887.669570971655</v>
      </c>
      <c r="E29" s="9">
        <f>E30+E31</f>
        <v>-163884.6</v>
      </c>
      <c r="F29" s="10">
        <f>F30+F31</f>
        <v>-3614.968567332083</v>
      </c>
      <c r="G29" s="9">
        <f t="shared" si="5"/>
        <v>12362.899999999994</v>
      </c>
      <c r="H29" s="10">
        <f t="shared" si="6"/>
        <v>272.70100363957226</v>
      </c>
    </row>
    <row r="30" spans="2:8" ht="15.75">
      <c r="B30" s="14" t="s">
        <v>22</v>
      </c>
      <c r="C30" s="9">
        <f>1023+104.5</f>
        <v>1127.5</v>
      </c>
      <c r="D30" s="10">
        <f>C30/$C$86</f>
        <v>24.87040917613323</v>
      </c>
      <c r="E30" s="9">
        <f>-1003-72.2</f>
        <v>-1075.2</v>
      </c>
      <c r="F30" s="10">
        <f>E30/$C$86</f>
        <v>-23.716775118561817</v>
      </c>
      <c r="G30" s="9">
        <f t="shared" si="5"/>
        <v>52.299999999999955</v>
      </c>
      <c r="H30" s="10">
        <f t="shared" si="6"/>
        <v>1.1536340575714128</v>
      </c>
    </row>
    <row r="31" spans="2:8" ht="15.75">
      <c r="B31" s="14" t="s">
        <v>23</v>
      </c>
      <c r="C31" s="9">
        <f>C32+C36+C37</f>
        <v>175120</v>
      </c>
      <c r="D31" s="10">
        <f>D32+D36+D37</f>
        <v>3862.7991617955217</v>
      </c>
      <c r="E31" s="9">
        <f>E32+E36+E37</f>
        <v>-162809.4</v>
      </c>
      <c r="F31" s="10">
        <f>F32+F36+F37</f>
        <v>-3591.251792213521</v>
      </c>
      <c r="G31" s="9">
        <f t="shared" si="5"/>
        <v>12310.600000000006</v>
      </c>
      <c r="H31" s="10">
        <f t="shared" si="6"/>
        <v>271.54736958200056</v>
      </c>
    </row>
    <row r="32" spans="2:8" ht="15.75">
      <c r="B32" s="14" t="s">
        <v>24</v>
      </c>
      <c r="C32" s="9">
        <f>C33+C34+C35</f>
        <v>169670</v>
      </c>
      <c r="D32" s="10">
        <f>D33+D34+D35</f>
        <v>3742.582993272306</v>
      </c>
      <c r="E32" s="9">
        <f>E33+E34+E35</f>
        <v>-157365.8</v>
      </c>
      <c r="F32" s="10">
        <f>F33+F34+F35</f>
        <v>-3471.176794970773</v>
      </c>
      <c r="G32" s="9">
        <f t="shared" si="5"/>
        <v>12304.200000000012</v>
      </c>
      <c r="H32" s="10">
        <f t="shared" si="6"/>
        <v>271.4061983015331</v>
      </c>
    </row>
    <row r="33" spans="2:9" ht="15.75">
      <c r="B33" s="14" t="s">
        <v>25</v>
      </c>
      <c r="C33" s="9">
        <v>0</v>
      </c>
      <c r="D33" s="10">
        <f>C33/$C$86</f>
        <v>0</v>
      </c>
      <c r="E33" s="9">
        <v>0</v>
      </c>
      <c r="F33" s="10">
        <v>0</v>
      </c>
      <c r="G33" s="9">
        <f t="shared" si="5"/>
        <v>0</v>
      </c>
      <c r="H33" s="10">
        <f t="shared" si="6"/>
        <v>0</v>
      </c>
      <c r="I33" s="1"/>
    </row>
    <row r="34" spans="2:9" ht="15.75">
      <c r="B34" s="14" t="s">
        <v>26</v>
      </c>
      <c r="C34" s="9">
        <v>168446</v>
      </c>
      <c r="D34" s="10">
        <f>C34/$C$86</f>
        <v>3715.5839858828717</v>
      </c>
      <c r="E34" s="9">
        <v>-152681.8</v>
      </c>
      <c r="F34" s="10">
        <f>E34/$C$86</f>
        <v>-3367.857064078526</v>
      </c>
      <c r="G34" s="9">
        <f t="shared" si="5"/>
        <v>15764.200000000012</v>
      </c>
      <c r="H34" s="10">
        <f t="shared" si="6"/>
        <v>347.7269218043457</v>
      </c>
      <c r="I34" s="1"/>
    </row>
    <row r="35" spans="2:9" ht="15.75">
      <c r="B35" s="14" t="s">
        <v>27</v>
      </c>
      <c r="C35" s="9">
        <v>1224</v>
      </c>
      <c r="D35" s="10">
        <f>C35/$C$86</f>
        <v>26.99900738943421</v>
      </c>
      <c r="E35" s="9">
        <v>-4684</v>
      </c>
      <c r="F35" s="10">
        <f>E35/$C$86</f>
        <v>-103.31973089224661</v>
      </c>
      <c r="G35" s="9">
        <f t="shared" si="5"/>
        <v>-3460</v>
      </c>
      <c r="H35" s="10">
        <f t="shared" si="6"/>
        <v>-76.3207235028124</v>
      </c>
      <c r="I35" s="1"/>
    </row>
    <row r="36" spans="2:9" ht="15.75">
      <c r="B36" s="14" t="s">
        <v>28</v>
      </c>
      <c r="C36" s="9">
        <f>4725+725</f>
        <v>5450</v>
      </c>
      <c r="D36" s="10">
        <f>C36/$C$86</f>
        <v>120.21616852321606</v>
      </c>
      <c r="E36" s="9">
        <f>-4582-858.6</f>
        <v>-5440.6</v>
      </c>
      <c r="F36" s="10">
        <f>E36/$C$86</f>
        <v>-120.00882320502923</v>
      </c>
      <c r="G36" s="9">
        <f t="shared" si="5"/>
        <v>9.399999999999636</v>
      </c>
      <c r="H36" s="10">
        <f t="shared" si="6"/>
        <v>0.20734531818682456</v>
      </c>
      <c r="I36" s="1"/>
    </row>
    <row r="37" spans="2:8" ht="15.75">
      <c r="B37" s="14" t="s">
        <v>29</v>
      </c>
      <c r="C37" s="9">
        <v>0</v>
      </c>
      <c r="D37" s="10">
        <f>C37/$C$86</f>
        <v>0</v>
      </c>
      <c r="E37" s="9">
        <v>-3</v>
      </c>
      <c r="F37" s="10">
        <f>E37/$C$86</f>
        <v>-0.0661740377192015</v>
      </c>
      <c r="G37" s="9">
        <f t="shared" si="5"/>
        <v>-3</v>
      </c>
      <c r="H37" s="10">
        <f t="shared" si="6"/>
        <v>-0.0661740377192015</v>
      </c>
    </row>
    <row r="38" spans="2:8" ht="15.75">
      <c r="B38" s="11" t="s">
        <v>30</v>
      </c>
      <c r="C38" s="9">
        <f>C39+C40</f>
        <v>165714.5</v>
      </c>
      <c r="D38" s="10">
        <f>D39+D40</f>
        <v>3655.3325245395386</v>
      </c>
      <c r="E38" s="9">
        <f>E39+E40</f>
        <v>-152951.40000000002</v>
      </c>
      <c r="F38" s="10">
        <f>F39+F40</f>
        <v>-3373.8039042682253</v>
      </c>
      <c r="G38" s="9">
        <f t="shared" si="5"/>
        <v>12763.099999999977</v>
      </c>
      <c r="H38" s="10">
        <f t="shared" si="6"/>
        <v>281.52862027131323</v>
      </c>
    </row>
    <row r="39" spans="2:8" ht="15.75">
      <c r="B39" s="14" t="s">
        <v>22</v>
      </c>
      <c r="C39" s="9">
        <f>2507.7+3510</f>
        <v>6017.7</v>
      </c>
      <c r="D39" s="10">
        <f>C39/$C$86</f>
        <v>132.7385022609463</v>
      </c>
      <c r="E39" s="9">
        <f>-2925.2-2598</f>
        <v>-5523.2</v>
      </c>
      <c r="F39" s="10">
        <f>E39/$C$86</f>
        <v>-121.83081504356457</v>
      </c>
      <c r="G39" s="9">
        <f t="shared" si="5"/>
        <v>494.5</v>
      </c>
      <c r="H39" s="10">
        <f t="shared" si="6"/>
        <v>10.90768721738172</v>
      </c>
    </row>
    <row r="40" spans="2:8" ht="15.75">
      <c r="B40" s="14" t="s">
        <v>23</v>
      </c>
      <c r="C40" s="9">
        <f>C41+C45+C46</f>
        <v>159696.8</v>
      </c>
      <c r="D40" s="10">
        <f>D41+D45+D46</f>
        <v>3522.594022278592</v>
      </c>
      <c r="E40" s="9">
        <f>E41+E45+E46</f>
        <v>-147428.2</v>
      </c>
      <c r="F40" s="10">
        <f>F41+F45+F46</f>
        <v>-3251.9730892246607</v>
      </c>
      <c r="G40" s="9">
        <f t="shared" si="5"/>
        <v>12268.599999999977</v>
      </c>
      <c r="H40" s="10">
        <f t="shared" si="6"/>
        <v>270.62093305393137</v>
      </c>
    </row>
    <row r="41" spans="2:8" ht="15.75">
      <c r="B41" s="14" t="s">
        <v>24</v>
      </c>
      <c r="C41" s="9">
        <f>C42+C43+C44</f>
        <v>158570.5</v>
      </c>
      <c r="D41" s="10">
        <f>D42+D43+D44</f>
        <v>3497.750082717547</v>
      </c>
      <c r="E41" s="9">
        <f>E42+E43+E44</f>
        <v>-146106</v>
      </c>
      <c r="F41" s="10">
        <f>F42+F43+F44</f>
        <v>-3222.8079850005515</v>
      </c>
      <c r="G41" s="9">
        <f t="shared" si="5"/>
        <v>12464.5</v>
      </c>
      <c r="H41" s="10">
        <f t="shared" si="6"/>
        <v>274.94209771699525</v>
      </c>
    </row>
    <row r="42" spans="2:8" ht="15.75">
      <c r="B42" s="14" t="s">
        <v>25</v>
      </c>
      <c r="C42" s="9">
        <f>126446.2+19573.2+2500</f>
        <v>148519.4</v>
      </c>
      <c r="D42" s="10">
        <f>C42/$C$86</f>
        <v>3276.0427925443914</v>
      </c>
      <c r="E42" s="9">
        <f>-120724.9-22343.6</f>
        <v>-143068.5</v>
      </c>
      <c r="F42" s="10">
        <f>E42/$C$86</f>
        <v>-3155.80677180986</v>
      </c>
      <c r="G42" s="9">
        <f t="shared" si="5"/>
        <v>5450.899999999994</v>
      </c>
      <c r="H42" s="10">
        <f t="shared" si="6"/>
        <v>120.2360207345314</v>
      </c>
    </row>
    <row r="43" spans="2:8" ht="15.75">
      <c r="B43" s="14" t="s">
        <v>26</v>
      </c>
      <c r="C43" s="9">
        <f>120.9+1884.5</f>
        <v>2005.4</v>
      </c>
      <c r="D43" s="10">
        <f>C43/$C$86</f>
        <v>44.235138414028896</v>
      </c>
      <c r="E43" s="9">
        <f>-1927.7-91.3</f>
        <v>-2019</v>
      </c>
      <c r="F43" s="10">
        <f>E43/$C$86</f>
        <v>-44.53512738502261</v>
      </c>
      <c r="G43" s="9">
        <f t="shared" si="5"/>
        <v>-13.599999999999909</v>
      </c>
      <c r="H43" s="10">
        <f t="shared" si="6"/>
        <v>-0.29998897099371646</v>
      </c>
    </row>
    <row r="44" spans="2:8" ht="15.75">
      <c r="B44" s="14" t="s">
        <v>27</v>
      </c>
      <c r="C44" s="9">
        <f>1020.7+7025</f>
        <v>8045.7</v>
      </c>
      <c r="D44" s="10">
        <f>C44/$C$86</f>
        <v>177.4721517591265</v>
      </c>
      <c r="E44" s="9">
        <f>-354-664.5</f>
        <v>-1018.5</v>
      </c>
      <c r="F44" s="10">
        <f>E44/$C$86</f>
        <v>-22.466085805668907</v>
      </c>
      <c r="G44" s="9">
        <f t="shared" si="5"/>
        <v>7027.2</v>
      </c>
      <c r="H44" s="10">
        <f t="shared" si="6"/>
        <v>155.00606595345758</v>
      </c>
    </row>
    <row r="45" spans="2:8" ht="15.75">
      <c r="B45" s="14" t="s">
        <v>28</v>
      </c>
      <c r="C45" s="9">
        <f>37.3+458</f>
        <v>495.3</v>
      </c>
      <c r="D45" s="10">
        <f>C45/$C$86</f>
        <v>10.925333627440168</v>
      </c>
      <c r="E45" s="9">
        <f>-55.2-747</f>
        <v>-802.2</v>
      </c>
      <c r="F45" s="10">
        <f>E45/$C$86</f>
        <v>-17.694937686114482</v>
      </c>
      <c r="G45" s="9">
        <f t="shared" si="5"/>
        <v>-306.90000000000003</v>
      </c>
      <c r="H45" s="10">
        <f t="shared" si="6"/>
        <v>-6.7696040586743145</v>
      </c>
    </row>
    <row r="46" spans="2:8" ht="15.75">
      <c r="B46" s="23" t="s">
        <v>29</v>
      </c>
      <c r="C46" s="12">
        <v>631</v>
      </c>
      <c r="D46" s="13">
        <f>C46/$C$86</f>
        <v>13.918605933605383</v>
      </c>
      <c r="E46" s="12">
        <v>-520</v>
      </c>
      <c r="F46" s="13">
        <f>E46/$C$86</f>
        <v>-11.470166537994926</v>
      </c>
      <c r="G46" s="12">
        <f t="shared" si="5"/>
        <v>111</v>
      </c>
      <c r="H46" s="13">
        <f t="shared" si="6"/>
        <v>2.448439395610457</v>
      </c>
    </row>
    <row r="47" spans="2:8" ht="15.75">
      <c r="B47" s="14"/>
      <c r="C47" s="9"/>
      <c r="D47" s="10"/>
      <c r="E47" s="9"/>
      <c r="F47" s="10"/>
      <c r="G47" s="9"/>
      <c r="H47" s="10"/>
    </row>
    <row r="48" spans="2:8" ht="15.75">
      <c r="B48" s="8" t="s">
        <v>31</v>
      </c>
      <c r="C48" s="9">
        <f aca="true" t="shared" si="7" ref="C48:H48">C49+C65</f>
        <v>1742721.2999999998</v>
      </c>
      <c r="D48" s="10">
        <f t="shared" si="7"/>
        <v>38422.27443476343</v>
      </c>
      <c r="E48" s="9">
        <f t="shared" si="7"/>
        <v>-1720070</v>
      </c>
      <c r="F48" s="10">
        <f t="shared" si="7"/>
        <v>-37915.74457924341</v>
      </c>
      <c r="G48" s="9">
        <f t="shared" si="7"/>
        <v>22651.29999999993</v>
      </c>
      <c r="H48" s="10">
        <f t="shared" si="7"/>
        <v>506.5298555200152</v>
      </c>
    </row>
    <row r="49" spans="2:8" ht="15.75">
      <c r="B49" s="24" t="s">
        <v>21</v>
      </c>
      <c r="C49" s="9">
        <f>C50+C53+C63+C64</f>
        <v>1138383.5</v>
      </c>
      <c r="D49" s="10">
        <f>D50+D53+D63+D64</f>
        <v>25120.54560494099</v>
      </c>
      <c r="E49" s="9">
        <f>E50+E53+E63+E64</f>
        <v>-1106075.8</v>
      </c>
      <c r="F49" s="10">
        <f>F50+F53+F63+F64</f>
        <v>-24397.833903165323</v>
      </c>
      <c r="G49" s="9">
        <f aca="true" t="shared" si="8" ref="G49:G65">C49+E49</f>
        <v>32307.699999999953</v>
      </c>
      <c r="H49" s="10">
        <f aca="true" t="shared" si="9" ref="H49:H65">D49+F49</f>
        <v>722.7117017756682</v>
      </c>
    </row>
    <row r="50" spans="2:8" ht="15.75">
      <c r="B50" s="14" t="s">
        <v>32</v>
      </c>
      <c r="C50" s="9">
        <f>C51+C52</f>
        <v>400190</v>
      </c>
      <c r="D50" s="10">
        <f>D51+D52</f>
        <v>8827.39605161575</v>
      </c>
      <c r="E50" s="9">
        <f>E51+E52</f>
        <v>-405438</v>
      </c>
      <c r="F50" s="10">
        <f>F51+F52</f>
        <v>-8943.156501599206</v>
      </c>
      <c r="G50" s="9">
        <f t="shared" si="8"/>
        <v>-5248</v>
      </c>
      <c r="H50" s="10">
        <f t="shared" si="9"/>
        <v>-115.76044998345606</v>
      </c>
    </row>
    <row r="51" spans="2:8" ht="15.75">
      <c r="B51" s="14" t="s">
        <v>33</v>
      </c>
      <c r="C51" s="9">
        <v>250</v>
      </c>
      <c r="D51" s="10">
        <f>C51/$C$86</f>
        <v>5.514503143266792</v>
      </c>
      <c r="E51" s="9">
        <v>-202</v>
      </c>
      <c r="F51" s="10">
        <f>E51/$C$86</f>
        <v>-4.455718539759568</v>
      </c>
      <c r="G51" s="9">
        <f t="shared" si="8"/>
        <v>48</v>
      </c>
      <c r="H51" s="10">
        <f t="shared" si="9"/>
        <v>1.058784603507224</v>
      </c>
    </row>
    <row r="52" spans="2:8" ht="15.75">
      <c r="B52" s="14" t="s">
        <v>34</v>
      </c>
      <c r="C52" s="9">
        <v>399940</v>
      </c>
      <c r="D52" s="10">
        <f>C52/$C$86</f>
        <v>8821.881548472482</v>
      </c>
      <c r="E52" s="9">
        <v>-405236</v>
      </c>
      <c r="F52" s="10">
        <f>E52/$C$86</f>
        <v>-8938.700783059447</v>
      </c>
      <c r="G52" s="9">
        <f t="shared" si="8"/>
        <v>-5296</v>
      </c>
      <c r="H52" s="10">
        <f t="shared" si="9"/>
        <v>-116.81923458696474</v>
      </c>
    </row>
    <row r="53" spans="2:8" ht="15.75">
      <c r="B53" s="14" t="s">
        <v>35</v>
      </c>
      <c r="C53" s="9">
        <f>C54+C57+C60</f>
        <v>20162.8</v>
      </c>
      <c r="D53" s="10">
        <f>D54+D57+D60</f>
        <v>454.81934487702654</v>
      </c>
      <c r="E53" s="9">
        <f>E54+E57+E60</f>
        <v>-8759.2</v>
      </c>
      <c r="F53" s="10">
        <f>F54+F57+F60</f>
        <v>-193.21054373000993</v>
      </c>
      <c r="G53" s="9">
        <f t="shared" si="8"/>
        <v>11403.599999999999</v>
      </c>
      <c r="H53" s="10">
        <f t="shared" si="9"/>
        <v>261.6088011470166</v>
      </c>
    </row>
    <row r="54" spans="2:13" ht="15.75">
      <c r="B54" s="14" t="s">
        <v>36</v>
      </c>
      <c r="C54" s="9">
        <f>C55+C56</f>
        <v>13189.4</v>
      </c>
      <c r="D54" s="10">
        <f>D55+D56</f>
        <v>301</v>
      </c>
      <c r="E54" s="9">
        <f>E55+E56</f>
        <v>-138.6</v>
      </c>
      <c r="F54" s="10">
        <f>E54/$C$86</f>
        <v>-3.057240542627109</v>
      </c>
      <c r="G54" s="9">
        <f t="shared" si="8"/>
        <v>13050.8</v>
      </c>
      <c r="H54" s="10">
        <f t="shared" si="9"/>
        <v>297.9427594573729</v>
      </c>
      <c r="I54" s="1"/>
      <c r="J54" s="1"/>
      <c r="M54" s="1"/>
    </row>
    <row r="55" spans="2:13" ht="15.75">
      <c r="B55" s="14" t="s">
        <v>37</v>
      </c>
      <c r="C55" s="9">
        <f>11598.4+1591</f>
        <v>13189.4</v>
      </c>
      <c r="D55" s="10">
        <f>266.2+34.8</f>
        <v>301</v>
      </c>
      <c r="E55" s="9">
        <v>-138.6</v>
      </c>
      <c r="F55" s="10">
        <f>E55/$C$86</f>
        <v>-3.057240542627109</v>
      </c>
      <c r="G55" s="9">
        <f t="shared" si="8"/>
        <v>13050.8</v>
      </c>
      <c r="H55" s="10">
        <f t="shared" si="9"/>
        <v>297.9427594573729</v>
      </c>
      <c r="I55" s="1"/>
      <c r="J55" s="1"/>
      <c r="M55" s="1"/>
    </row>
    <row r="56" spans="2:13" ht="15.75">
      <c r="B56" s="14" t="s">
        <v>38</v>
      </c>
      <c r="C56" s="9">
        <v>0</v>
      </c>
      <c r="D56" s="10">
        <f>C56/$C$86</f>
        <v>0</v>
      </c>
      <c r="E56" s="9">
        <v>0</v>
      </c>
      <c r="F56" s="10">
        <f>E56/$C$86</f>
        <v>0</v>
      </c>
      <c r="G56" s="9">
        <f t="shared" si="8"/>
        <v>0</v>
      </c>
      <c r="H56" s="10">
        <f t="shared" si="9"/>
        <v>0</v>
      </c>
      <c r="I56" s="1"/>
      <c r="J56" s="1"/>
      <c r="M56" s="1"/>
    </row>
    <row r="57" spans="2:13" ht="15.75">
      <c r="B57" s="14" t="s">
        <v>39</v>
      </c>
      <c r="C57" s="9">
        <f>C58+C59</f>
        <v>4425.4</v>
      </c>
      <c r="D57" s="10">
        <f>D58+D59</f>
        <v>97.61552884085143</v>
      </c>
      <c r="E57" s="9">
        <f>E58+E59</f>
        <v>-5188.6</v>
      </c>
      <c r="F57" s="10">
        <f>F58+F59</f>
        <v>-114.4502040366163</v>
      </c>
      <c r="G57" s="9">
        <f t="shared" si="8"/>
        <v>-763.2000000000007</v>
      </c>
      <c r="H57" s="10">
        <f t="shared" si="9"/>
        <v>-16.834675195764873</v>
      </c>
      <c r="I57" s="1"/>
      <c r="J57" s="1"/>
      <c r="M57" s="1"/>
    </row>
    <row r="58" spans="2:8" ht="15.75">
      <c r="B58" s="14" t="s">
        <v>37</v>
      </c>
      <c r="C58" s="9">
        <v>4425.4</v>
      </c>
      <c r="D58" s="10">
        <f>C58/$C$86</f>
        <v>97.61552884085143</v>
      </c>
      <c r="E58" s="9">
        <v>-4235.5</v>
      </c>
      <c r="F58" s="10">
        <f>E58/$C$86</f>
        <v>-93.42671225322599</v>
      </c>
      <c r="G58" s="9">
        <f t="shared" si="8"/>
        <v>189.89999999999964</v>
      </c>
      <c r="H58" s="10">
        <f t="shared" si="9"/>
        <v>4.188816587625439</v>
      </c>
    </row>
    <row r="59" spans="2:8" ht="15.75">
      <c r="B59" s="14" t="s">
        <v>38</v>
      </c>
      <c r="C59" s="9">
        <v>0</v>
      </c>
      <c r="D59" s="10">
        <f>C59/$C$86</f>
        <v>0</v>
      </c>
      <c r="E59" s="9">
        <v>-953.1</v>
      </c>
      <c r="F59" s="10">
        <f>E59/$C$86</f>
        <v>-21.023491783390316</v>
      </c>
      <c r="G59" s="9">
        <f t="shared" si="8"/>
        <v>-953.1</v>
      </c>
      <c r="H59" s="10">
        <f t="shared" si="9"/>
        <v>-21.023491783390316</v>
      </c>
    </row>
    <row r="60" spans="2:8" ht="15.75">
      <c r="B60" s="14" t="s">
        <v>40</v>
      </c>
      <c r="C60" s="9">
        <f>C61+C62</f>
        <v>2548</v>
      </c>
      <c r="D60" s="10">
        <f>D61+D62</f>
        <v>56.203816036175134</v>
      </c>
      <c r="E60" s="9">
        <f>E61+E62</f>
        <v>-3432</v>
      </c>
      <c r="F60" s="10">
        <f>F61+F62</f>
        <v>-75.70309915076652</v>
      </c>
      <c r="G60" s="9">
        <f t="shared" si="8"/>
        <v>-884</v>
      </c>
      <c r="H60" s="10">
        <f t="shared" si="9"/>
        <v>-19.499283114591385</v>
      </c>
    </row>
    <row r="61" spans="2:8" ht="15.75">
      <c r="B61" s="14" t="s">
        <v>37</v>
      </c>
      <c r="C61" s="9">
        <v>77</v>
      </c>
      <c r="D61" s="10">
        <f>C61/$C$86</f>
        <v>1.6984669681261717</v>
      </c>
      <c r="E61" s="9">
        <v>-329</v>
      </c>
      <c r="F61" s="10">
        <f>E61/$C$86</f>
        <v>-7.2570861365390975</v>
      </c>
      <c r="G61" s="9">
        <f t="shared" si="8"/>
        <v>-252</v>
      </c>
      <c r="H61" s="10">
        <f t="shared" si="9"/>
        <v>-5.558619168412926</v>
      </c>
    </row>
    <row r="62" spans="2:8" ht="15.75">
      <c r="B62" s="14" t="s">
        <v>38</v>
      </c>
      <c r="C62" s="9">
        <v>2471</v>
      </c>
      <c r="D62" s="10">
        <f>C62/$C$86</f>
        <v>54.505349068048965</v>
      </c>
      <c r="E62" s="9">
        <v>-3103</v>
      </c>
      <c r="F62" s="10">
        <f>E62/$C$86</f>
        <v>-68.44601301422742</v>
      </c>
      <c r="G62" s="9">
        <f t="shared" si="8"/>
        <v>-632</v>
      </c>
      <c r="H62" s="10">
        <f t="shared" si="9"/>
        <v>-13.940663946178454</v>
      </c>
    </row>
    <row r="63" spans="2:8" ht="15.75">
      <c r="B63" s="14" t="s">
        <v>41</v>
      </c>
      <c r="C63" s="9">
        <f>16779.5+3113</f>
        <v>19892.5</v>
      </c>
      <c r="D63" s="10">
        <f>C63/$C$86</f>
        <v>438.7890151097386</v>
      </c>
      <c r="E63" s="9">
        <f>-2273-3046</f>
        <v>-5319</v>
      </c>
      <c r="F63" s="10">
        <f>E63/$C$86</f>
        <v>-117.32656887614425</v>
      </c>
      <c r="G63" s="9">
        <f t="shared" si="8"/>
        <v>14573.5</v>
      </c>
      <c r="H63" s="10">
        <f t="shared" si="9"/>
        <v>321.4624462335944</v>
      </c>
    </row>
    <row r="64" spans="2:8" ht="15.75">
      <c r="B64" s="14" t="s">
        <v>42</v>
      </c>
      <c r="C64" s="9">
        <f>693578+4560.2</f>
        <v>698138.2</v>
      </c>
      <c r="D64" s="10">
        <f>C64/$C$86</f>
        <v>15399.541193338478</v>
      </c>
      <c r="E64" s="9">
        <f>-683709.5-2850.1</f>
        <v>-686559.6</v>
      </c>
      <c r="F64" s="10">
        <f>E64/$C$86</f>
        <v>-15144.140288959963</v>
      </c>
      <c r="G64" s="9">
        <f t="shared" si="8"/>
        <v>11578.599999999977</v>
      </c>
      <c r="H64" s="10">
        <f t="shared" si="9"/>
        <v>255.4009043785154</v>
      </c>
    </row>
    <row r="65" spans="2:8" ht="15.75">
      <c r="B65" s="24" t="s">
        <v>30</v>
      </c>
      <c r="C65" s="9">
        <f>C66+C69+C79+C80</f>
        <v>604337.7999999999</v>
      </c>
      <c r="D65" s="10">
        <f>D66+D69+D79+D80</f>
        <v>13301.728829822434</v>
      </c>
      <c r="E65" s="9">
        <f>E66+E69+E79+E80</f>
        <v>-613994.2</v>
      </c>
      <c r="F65" s="10">
        <f>F66+F69+F79+F80</f>
        <v>-13517.910676078087</v>
      </c>
      <c r="G65" s="9">
        <f t="shared" si="8"/>
        <v>-9656.400000000023</v>
      </c>
      <c r="H65" s="10">
        <f t="shared" si="9"/>
        <v>-216.181846255653</v>
      </c>
    </row>
    <row r="66" spans="2:8" ht="15.75">
      <c r="B66" s="14" t="s">
        <v>32</v>
      </c>
      <c r="C66" s="9">
        <f aca="true" t="shared" si="10" ref="C66:H66">C67+C68</f>
        <v>464432</v>
      </c>
      <c r="D66" s="10">
        <f t="shared" si="10"/>
        <v>10244.446895334731</v>
      </c>
      <c r="E66" s="9">
        <f t="shared" si="10"/>
        <v>-456607</v>
      </c>
      <c r="F66" s="10">
        <f t="shared" si="10"/>
        <v>-10071.84294695048</v>
      </c>
      <c r="G66" s="9">
        <f t="shared" si="10"/>
        <v>7825</v>
      </c>
      <c r="H66" s="10">
        <f t="shared" si="10"/>
        <v>172.60394838425046</v>
      </c>
    </row>
    <row r="67" spans="2:8" ht="15.75">
      <c r="B67" s="14" t="s">
        <v>33</v>
      </c>
      <c r="C67" s="9">
        <v>1816</v>
      </c>
      <c r="D67" s="10">
        <f>C67/$C$86</f>
        <v>40.05735083268998</v>
      </c>
      <c r="E67" s="9">
        <v>-1611</v>
      </c>
      <c r="F67" s="10">
        <f>E67/$C$86</f>
        <v>-35.5354582552112</v>
      </c>
      <c r="G67" s="9">
        <f aca="true" t="shared" si="11" ref="G67:G82">C67+E67</f>
        <v>205</v>
      </c>
      <c r="H67" s="10">
        <f aca="true" t="shared" si="12" ref="H67:H82">D67+F67</f>
        <v>4.5218925774787735</v>
      </c>
    </row>
    <row r="68" spans="2:8" ht="15.75">
      <c r="B68" s="14" t="s">
        <v>34</v>
      </c>
      <c r="C68" s="9">
        <v>462616</v>
      </c>
      <c r="D68" s="10">
        <f>C68/$C$86</f>
        <v>10204.38954450204</v>
      </c>
      <c r="E68" s="9">
        <v>-454996</v>
      </c>
      <c r="F68" s="10">
        <f>E68/$C$86</f>
        <v>-10036.307488695269</v>
      </c>
      <c r="G68" s="9">
        <f t="shared" si="11"/>
        <v>7620</v>
      </c>
      <c r="H68" s="10">
        <f t="shared" si="12"/>
        <v>168.08205580677168</v>
      </c>
    </row>
    <row r="69" spans="2:8" ht="15.75">
      <c r="B69" s="14" t="s">
        <v>35</v>
      </c>
      <c r="C69" s="9">
        <f>C70+C73+C76</f>
        <v>119784.7</v>
      </c>
      <c r="D69" s="10">
        <f>D70+D73+D76</f>
        <v>2613.4504577037605</v>
      </c>
      <c r="E69" s="9">
        <f>E70+E73+E76</f>
        <v>-151965.09999999998</v>
      </c>
      <c r="F69" s="10">
        <f>F70+F73+F76</f>
        <v>-3326.466979155178</v>
      </c>
      <c r="G69" s="9">
        <f t="shared" si="11"/>
        <v>-32180.39999999998</v>
      </c>
      <c r="H69" s="10">
        <f t="shared" si="12"/>
        <v>-713.0165214514172</v>
      </c>
    </row>
    <row r="70" spans="2:8" ht="15.75">
      <c r="B70" s="14" t="s">
        <v>36</v>
      </c>
      <c r="C70" s="9">
        <f>C71+C72</f>
        <v>51439.9</v>
      </c>
      <c r="D70" s="10">
        <f>D71+D72</f>
        <v>1105.8999999999999</v>
      </c>
      <c r="E70" s="9">
        <f>E71+E72</f>
        <v>-74978.7</v>
      </c>
      <c r="F70" s="10">
        <f>F71+F72</f>
        <v>-1628.3</v>
      </c>
      <c r="G70" s="9">
        <f t="shared" si="11"/>
        <v>-23538.799999999996</v>
      </c>
      <c r="H70" s="10">
        <f t="shared" si="12"/>
        <v>-522.4000000000001</v>
      </c>
    </row>
    <row r="71" spans="2:8" ht="15.75">
      <c r="B71" s="14" t="s">
        <v>37</v>
      </c>
      <c r="C71" s="9">
        <v>1218.6</v>
      </c>
      <c r="D71" s="10">
        <v>26.1</v>
      </c>
      <c r="E71" s="9">
        <f>-1338.2-144.7-910.3-315.7-157.6-2881.5-4545.1-73-6564</f>
        <v>-16930.1</v>
      </c>
      <c r="F71" s="10">
        <f>-29-3.2-19.6-6.9-3.4-62.9-105.6-1.5-143.7</f>
        <v>-375.79999999999995</v>
      </c>
      <c r="G71" s="9">
        <f t="shared" si="11"/>
        <v>-15711.499999999998</v>
      </c>
      <c r="H71" s="10">
        <f t="shared" si="12"/>
        <v>-349.69999999999993</v>
      </c>
    </row>
    <row r="72" spans="2:8" ht="15.75">
      <c r="B72" s="14" t="s">
        <v>38</v>
      </c>
      <c r="C72" s="9">
        <v>50221.3</v>
      </c>
      <c r="D72" s="10">
        <v>1079.8</v>
      </c>
      <c r="E72" s="9">
        <v>-58048.6</v>
      </c>
      <c r="F72" s="10">
        <v>-1252.5</v>
      </c>
      <c r="G72" s="9">
        <f t="shared" si="11"/>
        <v>-7827.299999999996</v>
      </c>
      <c r="H72" s="10">
        <f t="shared" si="12"/>
        <v>-172.70000000000005</v>
      </c>
    </row>
    <row r="73" spans="2:8" ht="15.75">
      <c r="B73" s="14" t="s">
        <v>39</v>
      </c>
      <c r="C73" s="9">
        <f>C74+C75</f>
        <v>8134.299999999999</v>
      </c>
      <c r="D73" s="10">
        <f>D74+D75</f>
        <v>179.42649167310026</v>
      </c>
      <c r="E73" s="9">
        <f>E74+E75</f>
        <v>-7721.4</v>
      </c>
      <c r="F73" s="10">
        <f>F74+F75</f>
        <v>-170.31873828168082</v>
      </c>
      <c r="G73" s="9">
        <f t="shared" si="11"/>
        <v>412.89999999999964</v>
      </c>
      <c r="H73" s="10">
        <f t="shared" si="12"/>
        <v>9.107753391419436</v>
      </c>
    </row>
    <row r="74" spans="2:8" ht="15.75">
      <c r="B74" s="14" t="s">
        <v>37</v>
      </c>
      <c r="C74" s="9">
        <v>2133.5</v>
      </c>
      <c r="D74" s="10">
        <f>C74/$C$86</f>
        <v>47.0607698246388</v>
      </c>
      <c r="E74" s="9">
        <v>-1241.4</v>
      </c>
      <c r="F74" s="10">
        <f>E74/$C$86</f>
        <v>-27.382816808205583</v>
      </c>
      <c r="G74" s="9">
        <f t="shared" si="11"/>
        <v>892.0999999999999</v>
      </c>
      <c r="H74" s="10">
        <f t="shared" si="12"/>
        <v>19.677953016433214</v>
      </c>
    </row>
    <row r="75" spans="2:8" ht="15.75">
      <c r="B75" s="14" t="s">
        <v>38</v>
      </c>
      <c r="C75" s="9">
        <f>4149.2+1851.6</f>
        <v>6000.799999999999</v>
      </c>
      <c r="D75" s="10">
        <f>C75/$C$86</f>
        <v>132.36572184846145</v>
      </c>
      <c r="E75" s="9">
        <v>-6480</v>
      </c>
      <c r="F75" s="10">
        <f>E75/$C$86</f>
        <v>-142.93592147347525</v>
      </c>
      <c r="G75" s="9">
        <f t="shared" si="11"/>
        <v>-479.2000000000007</v>
      </c>
      <c r="H75" s="10">
        <f t="shared" si="12"/>
        <v>-10.5701996250138</v>
      </c>
    </row>
    <row r="76" spans="2:8" ht="15.75">
      <c r="B76" s="14" t="s">
        <v>40</v>
      </c>
      <c r="C76" s="9">
        <f>C77+C78</f>
        <v>60210.5</v>
      </c>
      <c r="D76" s="10">
        <f>D77+D78</f>
        <v>1328.1239660306605</v>
      </c>
      <c r="E76" s="9">
        <f>E77+E78</f>
        <v>-69265</v>
      </c>
      <c r="F76" s="10">
        <f>F77+F78</f>
        <v>-1527.8482408734972</v>
      </c>
      <c r="G76" s="9">
        <f t="shared" si="11"/>
        <v>-9054.5</v>
      </c>
      <c r="H76" s="10">
        <f t="shared" si="12"/>
        <v>-199.72427484283662</v>
      </c>
    </row>
    <row r="77" spans="2:8" ht="15.75">
      <c r="B77" s="14" t="s">
        <v>37</v>
      </c>
      <c r="C77" s="9">
        <f>17219+2320.5</f>
        <v>19539.5</v>
      </c>
      <c r="D77" s="10">
        <f>C77/$C$86</f>
        <v>431.0025366714459</v>
      </c>
      <c r="E77" s="9">
        <f>-40471+4194+6464</f>
        <v>-29813</v>
      </c>
      <c r="F77" s="10">
        <f>E77/$C$86</f>
        <v>-657.6155288408514</v>
      </c>
      <c r="G77" s="9">
        <f t="shared" si="11"/>
        <v>-10273.5</v>
      </c>
      <c r="H77" s="10">
        <f t="shared" si="12"/>
        <v>-226.61299216940552</v>
      </c>
    </row>
    <row r="78" spans="2:8" ht="15.75">
      <c r="B78" s="14" t="s">
        <v>38</v>
      </c>
      <c r="C78" s="9">
        <v>40671</v>
      </c>
      <c r="D78" s="10">
        <f>C78/$C$86</f>
        <v>897.1214293592147</v>
      </c>
      <c r="E78" s="9">
        <v>-39452</v>
      </c>
      <c r="F78" s="10">
        <f>E78/$C$86</f>
        <v>-870.2327120326458</v>
      </c>
      <c r="G78" s="9">
        <f t="shared" si="11"/>
        <v>1219</v>
      </c>
      <c r="H78" s="10">
        <f t="shared" si="12"/>
        <v>26.888717326568894</v>
      </c>
    </row>
    <row r="79" spans="2:8" ht="15.75">
      <c r="B79" s="14" t="s">
        <v>41</v>
      </c>
      <c r="C79" s="9">
        <v>7461.9</v>
      </c>
      <c r="D79" s="10">
        <f>C79/$C$86</f>
        <v>164.59468401896987</v>
      </c>
      <c r="E79" s="9">
        <v>-5422.1</v>
      </c>
      <c r="F79" s="10">
        <f>E79/$C$86</f>
        <v>-119.6007499724275</v>
      </c>
      <c r="G79" s="9">
        <f t="shared" si="11"/>
        <v>2039.7999999999993</v>
      </c>
      <c r="H79" s="10">
        <f t="shared" si="12"/>
        <v>44.99393404654238</v>
      </c>
    </row>
    <row r="80" spans="2:8" ht="15.75">
      <c r="B80" s="14" t="s">
        <v>43</v>
      </c>
      <c r="C80" s="9">
        <f>C81+C82</f>
        <v>12659.2</v>
      </c>
      <c r="D80" s="10">
        <f>D81+D82</f>
        <v>279.2367927649719</v>
      </c>
      <c r="E80" s="9">
        <f>E81+E82</f>
        <v>0</v>
      </c>
      <c r="F80" s="10">
        <f>F81+F82</f>
        <v>0</v>
      </c>
      <c r="G80" s="9">
        <f t="shared" si="11"/>
        <v>12659.2</v>
      </c>
      <c r="H80" s="10">
        <f t="shared" si="12"/>
        <v>279.2367927649719</v>
      </c>
    </row>
    <row r="81" spans="2:8" ht="15.75">
      <c r="B81" s="14" t="s">
        <v>37</v>
      </c>
      <c r="C81" s="9">
        <v>0</v>
      </c>
      <c r="D81" s="10">
        <f>C81/$C$86</f>
        <v>0</v>
      </c>
      <c r="E81" s="9">
        <v>0</v>
      </c>
      <c r="F81" s="10">
        <f>E81/$C$86</f>
        <v>0</v>
      </c>
      <c r="G81" s="9">
        <f t="shared" si="11"/>
        <v>0</v>
      </c>
      <c r="H81" s="10">
        <f t="shared" si="12"/>
        <v>0</v>
      </c>
    </row>
    <row r="82" spans="2:8" ht="16.5" thickBot="1">
      <c r="B82" s="14" t="s">
        <v>38</v>
      </c>
      <c r="C82" s="9">
        <v>12659.2</v>
      </c>
      <c r="D82" s="10">
        <f>C82/$C$86</f>
        <v>279.2367927649719</v>
      </c>
      <c r="E82" s="9">
        <v>0</v>
      </c>
      <c r="F82" s="10">
        <f>E82/$C$86</f>
        <v>0</v>
      </c>
      <c r="G82" s="9">
        <f t="shared" si="11"/>
        <v>12659.2</v>
      </c>
      <c r="H82" s="10">
        <f t="shared" si="12"/>
        <v>279.2367927649719</v>
      </c>
    </row>
    <row r="83" spans="2:8" ht="21.75" customHeight="1" thickBot="1" thickTop="1">
      <c r="B83" s="25" t="s">
        <v>44</v>
      </c>
      <c r="C83" s="26">
        <f aca="true" t="shared" si="13" ref="C83:H83">C10+C28+C48</f>
        <v>2568477.9</v>
      </c>
      <c r="D83" s="27">
        <f t="shared" si="13"/>
        <v>56636.82389985662</v>
      </c>
      <c r="E83" s="26">
        <f t="shared" si="13"/>
        <v>-2339033.9</v>
      </c>
      <c r="F83" s="27">
        <f t="shared" si="13"/>
        <v>-51568.858067718094</v>
      </c>
      <c r="G83" s="26">
        <f t="shared" si="13"/>
        <v>229443.99999999988</v>
      </c>
      <c r="H83" s="27">
        <f t="shared" si="13"/>
        <v>5067.965832138522</v>
      </c>
    </row>
    <row r="84" spans="2:8" ht="16.5" thickTop="1">
      <c r="B84" s="28"/>
      <c r="C84" s="15"/>
      <c r="D84" s="15"/>
      <c r="E84" s="15"/>
      <c r="F84" s="15"/>
      <c r="G84" s="15"/>
      <c r="H84" s="15"/>
    </row>
    <row r="85" spans="2:8" ht="15.75">
      <c r="B85" s="16" t="s">
        <v>4</v>
      </c>
      <c r="C85" s="15"/>
      <c r="D85" s="15"/>
      <c r="E85" s="15"/>
      <c r="F85" s="15"/>
      <c r="G85" s="15"/>
      <c r="H85" s="15"/>
    </row>
    <row r="86" spans="2:8" ht="15.75">
      <c r="B86" s="17" t="s">
        <v>5</v>
      </c>
      <c r="C86" s="18">
        <v>45.335</v>
      </c>
      <c r="D86" s="15" t="s">
        <v>6</v>
      </c>
      <c r="E86" s="15"/>
      <c r="F86" s="15"/>
      <c r="G86" s="15"/>
      <c r="H86" s="15"/>
    </row>
    <row r="87" spans="3:8" ht="15">
      <c r="C87" s="1"/>
      <c r="D87" s="1"/>
      <c r="E87" s="1"/>
      <c r="F87" s="1"/>
      <c r="G87" s="1"/>
      <c r="H87" s="1"/>
    </row>
    <row r="88" spans="3:8" ht="15">
      <c r="C88" s="1"/>
      <c r="D88" s="1"/>
      <c r="E88" s="1"/>
      <c r="F88" s="1"/>
      <c r="G88" s="1"/>
      <c r="H88" s="1"/>
    </row>
    <row r="89" spans="3:8" ht="15">
      <c r="C89" s="1"/>
      <c r="D89" s="1"/>
      <c r="E89" s="1"/>
      <c r="F89" s="1"/>
      <c r="G89" s="1"/>
      <c r="H89" s="1"/>
    </row>
    <row r="90" spans="3:12" ht="15">
      <c r="C90" s="1"/>
      <c r="D90" s="1"/>
      <c r="E90" s="1"/>
      <c r="F90" s="1"/>
      <c r="G90" s="1"/>
      <c r="H90" s="1"/>
      <c r="I90" s="1"/>
      <c r="J90" s="1"/>
      <c r="L90" s="1"/>
    </row>
    <row r="91" spans="3:12" ht="15">
      <c r="C91" s="1"/>
      <c r="D91" s="1"/>
      <c r="E91" s="1"/>
      <c r="F91" s="1"/>
      <c r="G91" s="1"/>
      <c r="H91" s="1"/>
      <c r="L91" s="1"/>
    </row>
    <row r="92" spans="3:12" ht="15">
      <c r="C92" s="1"/>
      <c r="D92" s="1"/>
      <c r="E92" s="1"/>
      <c r="F92" s="1"/>
      <c r="G92" s="1"/>
      <c r="H92" s="1"/>
      <c r="L92" s="1"/>
    </row>
    <row r="93" spans="3:12" ht="15">
      <c r="C93" s="1"/>
      <c r="D93" s="1"/>
      <c r="E93" s="1"/>
      <c r="F93" s="1"/>
      <c r="G93" s="1"/>
      <c r="H93" s="1"/>
      <c r="L93" s="1"/>
    </row>
    <row r="94" spans="3:12" ht="15">
      <c r="C94" s="1"/>
      <c r="D94" s="1"/>
      <c r="E94" s="1"/>
      <c r="F94" s="1"/>
      <c r="G94" s="1"/>
      <c r="H94" s="1"/>
      <c r="L94" s="1"/>
    </row>
    <row r="95" spans="3:12" ht="15">
      <c r="C95" s="1"/>
      <c r="D95" s="1"/>
      <c r="E95" s="1"/>
      <c r="F95" s="1"/>
      <c r="G95" s="1"/>
      <c r="H95" s="1"/>
      <c r="L95" s="1"/>
    </row>
    <row r="96" spans="3:12" ht="15">
      <c r="C96" s="1"/>
      <c r="D96" s="1"/>
      <c r="E96" s="1"/>
      <c r="F96" s="1"/>
      <c r="G96" s="1"/>
      <c r="H96" s="1"/>
      <c r="L96" s="1"/>
    </row>
    <row r="97" spans="3:12" ht="15">
      <c r="C97" s="1"/>
      <c r="D97" s="1"/>
      <c r="E97" s="1"/>
      <c r="F97" s="1"/>
      <c r="G97" s="1"/>
      <c r="H97" s="1"/>
      <c r="L97" s="1"/>
    </row>
    <row r="98" spans="3:12" ht="15">
      <c r="C98" s="1"/>
      <c r="D98" s="1"/>
      <c r="E98" s="1"/>
      <c r="F98" s="1"/>
      <c r="G98" s="1"/>
      <c r="H98" s="1"/>
      <c r="L98" s="1"/>
    </row>
    <row r="99" spans="3:12" ht="15">
      <c r="C99" s="1"/>
      <c r="D99" s="1"/>
      <c r="E99" s="1"/>
      <c r="F99" s="1"/>
      <c r="G99" s="1"/>
      <c r="H99" s="1"/>
      <c r="L99" s="1"/>
    </row>
    <row r="100" spans="3:12" ht="15">
      <c r="C100" s="1"/>
      <c r="D100" s="1"/>
      <c r="E100" s="1"/>
      <c r="F100" s="1"/>
      <c r="G100" s="1"/>
      <c r="H100" s="1"/>
      <c r="L100" s="1"/>
    </row>
    <row r="101" spans="3:12" ht="15">
      <c r="C101" s="1"/>
      <c r="D101" s="1"/>
      <c r="E101" s="1"/>
      <c r="F101" s="1"/>
      <c r="G101" s="1"/>
      <c r="H101" s="1"/>
      <c r="L101" s="1"/>
    </row>
    <row r="102" spans="3:12" ht="15">
      <c r="C102" s="1"/>
      <c r="D102" s="1"/>
      <c r="E102" s="1"/>
      <c r="F102" s="1"/>
      <c r="G102" s="1"/>
      <c r="H102" s="1"/>
      <c r="L102" s="1"/>
    </row>
    <row r="103" spans="3:12" ht="15">
      <c r="C103" s="1"/>
      <c r="D103" s="1"/>
      <c r="E103" s="1"/>
      <c r="F103" s="1"/>
      <c r="G103" s="1"/>
      <c r="H103" s="1"/>
      <c r="L103" s="1"/>
    </row>
    <row r="104" spans="3:12" ht="15">
      <c r="C104" s="1"/>
      <c r="D104" s="1"/>
      <c r="E104" s="1"/>
      <c r="F104" s="1"/>
      <c r="G104" s="1"/>
      <c r="H104" s="1"/>
      <c r="L104" s="1"/>
    </row>
    <row r="105" spans="3:12" ht="15">
      <c r="C105" s="1"/>
      <c r="D105" s="1"/>
      <c r="E105" s="1"/>
      <c r="F105" s="1"/>
      <c r="G105" s="1"/>
      <c r="H105" s="1"/>
      <c r="L105" s="1"/>
    </row>
    <row r="106" spans="3:12" ht="15">
      <c r="C106" s="1"/>
      <c r="D106" s="1"/>
      <c r="E106" s="1"/>
      <c r="F106" s="1"/>
      <c r="G106" s="1"/>
      <c r="H106" s="1"/>
      <c r="L106" s="1"/>
    </row>
    <row r="107" spans="3:12" ht="15">
      <c r="C107" s="1"/>
      <c r="D107" s="1"/>
      <c r="E107" s="1"/>
      <c r="F107" s="1"/>
      <c r="G107" s="1"/>
      <c r="H107" s="1"/>
      <c r="L107" s="1"/>
    </row>
    <row r="108" spans="3:12" ht="15">
      <c r="C108" s="1"/>
      <c r="D108" s="1"/>
      <c r="E108" s="1"/>
      <c r="F108" s="1"/>
      <c r="G108" s="1"/>
      <c r="H108" s="1"/>
      <c r="L108" s="1"/>
    </row>
    <row r="109" spans="3:12" ht="15">
      <c r="C109" s="1"/>
      <c r="D109" s="1"/>
      <c r="E109" s="1"/>
      <c r="F109" s="1"/>
      <c r="G109" s="1"/>
      <c r="H109" s="1"/>
      <c r="L109" s="1"/>
    </row>
    <row r="110" spans="3:12" ht="15">
      <c r="C110" s="1"/>
      <c r="D110" s="1"/>
      <c r="E110" s="1"/>
      <c r="F110" s="1"/>
      <c r="G110" s="1"/>
      <c r="H110" s="1"/>
      <c r="L110" s="1"/>
    </row>
    <row r="111" spans="3:12" ht="15">
      <c r="C111" s="1"/>
      <c r="D111" s="1"/>
      <c r="E111" s="1"/>
      <c r="F111" s="1"/>
      <c r="G111" s="1"/>
      <c r="H111" s="1"/>
      <c r="L111" s="1"/>
    </row>
    <row r="112" spans="3:12" ht="15">
      <c r="C112" s="1"/>
      <c r="D112" s="1"/>
      <c r="E112" s="1"/>
      <c r="F112" s="1"/>
      <c r="G112" s="1"/>
      <c r="H112" s="1"/>
      <c r="L112" s="1"/>
    </row>
    <row r="113" spans="3:12" ht="15">
      <c r="C113" s="1"/>
      <c r="D113" s="1"/>
      <c r="E113" s="1"/>
      <c r="F113" s="1"/>
      <c r="G113" s="1"/>
      <c r="H113" s="1"/>
      <c r="L113" s="1"/>
    </row>
    <row r="114" spans="3:12" ht="15">
      <c r="C114" s="1"/>
      <c r="D114" s="1"/>
      <c r="E114" s="1"/>
      <c r="F114" s="1"/>
      <c r="G114" s="1"/>
      <c r="H114" s="1"/>
      <c r="L114" s="1"/>
    </row>
    <row r="115" spans="3:12" ht="15">
      <c r="C115" s="1"/>
      <c r="D115" s="1"/>
      <c r="E115" s="1"/>
      <c r="F115" s="1"/>
      <c r="G115" s="1"/>
      <c r="H115" s="1"/>
      <c r="L115" s="1"/>
    </row>
    <row r="116" spans="3:12" ht="15">
      <c r="C116" s="1"/>
      <c r="D116" s="1"/>
      <c r="E116" s="1"/>
      <c r="F116" s="1"/>
      <c r="G116" s="1"/>
      <c r="H116" s="1"/>
      <c r="L116" s="1"/>
    </row>
  </sheetData>
  <printOptions/>
  <pageMargins left="0.551" right="0.551" top="0.984" bottom="0.551" header="0.5" footer="0.5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Skamlova</dc:creator>
  <cp:keywords/>
  <dc:description/>
  <cp:lastModifiedBy>Skamlova</cp:lastModifiedBy>
  <dcterms:created xsi:type="dcterms:W3CDTF">2003-03-11T14:23:29Z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