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2" activeTab="6"/>
  </bookViews>
  <sheets>
    <sheet name="40. týždeň 2008" sheetId="1" r:id="rId1"/>
    <sheet name="39. týždeň 2008" sheetId="2" r:id="rId2"/>
    <sheet name="38. týždeň" sheetId="3" r:id="rId3"/>
    <sheet name="37. týždeň 2008" sheetId="4" r:id="rId4"/>
    <sheet name="36. týždeň" sheetId="5" r:id="rId5"/>
    <sheet name="35. týždeň" sheetId="6" r:id="rId6"/>
    <sheet name="240808-300908sumár" sheetId="7" r:id="rId7"/>
  </sheets>
  <definedNames/>
  <calcPr fullCalcOnLoad="1"/>
</workbook>
</file>

<file path=xl/sharedStrings.xml><?xml version="1.0" encoding="utf-8"?>
<sst xmlns="http://schemas.openxmlformats.org/spreadsheetml/2006/main" count="420" uniqueCount="62">
  <si>
    <t>Inšpektorát SOI pre kraj</t>
  </si>
  <si>
    <t>Počet kontrolovaných prevádzok</t>
  </si>
  <si>
    <t>Počet prevádzok s nedostatkami</t>
  </si>
  <si>
    <t>S P O L U</t>
  </si>
  <si>
    <t>Chýbajúce DZ KS</t>
  </si>
  <si>
    <t>Doklad o kúpe</t>
  </si>
  <si>
    <t>Cenniky služieb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</si>
  <si>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</si>
  <si>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</si>
  <si>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</si>
  <si>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</si>
  <si>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</si>
  <si>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</si>
  <si>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</si>
  <si>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</si>
  <si>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</si>
  <si>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</si>
  <si>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</si>
  <si>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</si>
  <si>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</si>
  <si>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</si>
  <si>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</si>
  <si>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</si>
  <si>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</si>
  <si>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</si>
  <si>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</si>
  <si>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</si>
  <si>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</si>
  <si>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</si>
  <si>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Nezverejnený</t>
  </si>
  <si>
    <t>Zverejnený nevhodne</t>
  </si>
  <si>
    <t>Nevydaný  (vôbec)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</si>
  <si>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</si>
  <si>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</si>
  <si>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</si>
  <si>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</si>
  <si>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</si>
  <si>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</si>
  <si>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</si>
  <si>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</si>
  <si>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</si>
  <si>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</si>
  <si>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</si>
  <si>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</si>
  <si>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kontrolov. reklám</t>
  </si>
  <si>
    <t>Počet kontrolovaných produktov v reklame</t>
  </si>
  <si>
    <t>Nesprávny prepočet u PC</t>
  </si>
  <si>
    <t>Nesprávny prepočet u JC</t>
  </si>
  <si>
    <t>Počet reklám s chýbajúcim KK</t>
  </si>
  <si>
    <t>Počet výrobkov s nedostatkami v DZ</t>
  </si>
  <si>
    <t>Predaj výrobkov</t>
  </si>
  <si>
    <t>VÝSLEDKY KONTROL PRI PRECHODE NA EURO  - PODĽA KRAJOV</t>
  </si>
  <si>
    <t>Predaj cez katalóg</t>
  </si>
  <si>
    <t>Kontrola reklamných letákov</t>
  </si>
  <si>
    <t>Nedostatky odstránené počas kontroly</t>
  </si>
  <si>
    <t>obdobie od 24.08.2008 - 30. 09. 2008 - povinné duálne zobrazovanie cien</t>
  </si>
  <si>
    <t>obdobie od 24.08.2008 - 31. 08. 2008 - povinné duálne zobrazovanie cien</t>
  </si>
  <si>
    <t>obdobie od 01.09.2008 - 07. 09. 2008 - povinné duálne zobrazovanie cien</t>
  </si>
  <si>
    <t>obdobie od 15.09.2008 - 21. 09. 2008 - povinné duálne zobrazovanie cien</t>
  </si>
  <si>
    <t>obdobie od 22.09.2008 - 28. 09. 2008 - povinné duálne zobrazovanie cien</t>
  </si>
  <si>
    <t>obdobie od 29.09.2008 - 30. 09. 2008 - povinné duálne zobrazovanie cien</t>
  </si>
  <si>
    <t>obdobie od 08.09.2008 - 14. 09. 2008 - povinné duálne zobrazovanie cien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</si>
</sst>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2" borderId="36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" fillId="2" borderId="48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" fillId="2" borderId="54" xfId="0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2" borderId="37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3" xfId="0" applyFont="1" applyBorder="1" applyAlignment="1">
      <alignment/>
    </xf>
    <xf numFmtId="0" fontId="1" fillId="2" borderId="37" xfId="0" applyFont="1" applyFill="1" applyBorder="1" applyAlignment="1">
      <alignment horizontal="center" vertical="center" textRotation="90"/>
    </xf>
    <xf numFmtId="0" fontId="1" fillId="0" borderId="5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7" fillId="2" borderId="6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2" borderId="66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67" xfId="0" applyFont="1" applyFill="1" applyBorder="1" applyAlignment="1">
      <alignment horizontal="center" vertical="center" textRotation="90" wrapText="1"/>
    </xf>
    <xf numFmtId="0" fontId="1" fillId="2" borderId="68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69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70" xfId="0" applyFont="1" applyFill="1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textRotation="90" wrapText="1"/>
    </xf>
    <xf numFmtId="0" fontId="7" fillId="2" borderId="37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 textRotation="90" wrapText="1"/>
    </xf>
    <xf numFmtId="0" fontId="1" fillId="2" borderId="76" xfId="0" applyFont="1" applyFill="1" applyBorder="1" applyAlignment="1">
      <alignment horizontal="center" vertical="center" textRotation="90" wrapText="1"/>
    </xf>
    <xf numFmtId="0" fontId="7" fillId="2" borderId="69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2" borderId="66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37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23"/>
  <sheetViews>
    <sheetView zoomScale="75" zoomScaleNormal="75" workbookViewId="0" topLeftCell="A8">
      <selection activeCell="B9" sqref="B9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4" width="5.00390625" style="0" customWidth="1"/>
    <col min="5" max="5" width="5.375" style="0" customWidth="1"/>
    <col min="6" max="6" width="4.875" style="0" customWidth="1"/>
    <col min="7" max="7" width="7.75390625" style="0" customWidth="1"/>
    <col min="8" max="8" width="5.125" style="0" customWidth="1"/>
    <col min="9" max="9" width="5.75390625" style="0" customWidth="1"/>
    <col min="10" max="11" width="5.375" style="0" customWidth="1"/>
    <col min="12" max="12" width="8.00390625" style="0" customWidth="1"/>
    <col min="13" max="13" width="7.875" style="0" customWidth="1"/>
    <col min="14" max="14" width="7.75390625" style="0" customWidth="1"/>
    <col min="15" max="15" width="4.875" style="0" customWidth="1"/>
    <col min="16" max="16" width="6.375" style="0" customWidth="1"/>
    <col min="17" max="17" width="6.625" style="0" customWidth="1"/>
    <col min="18" max="18" width="5.875" style="0" customWidth="1"/>
    <col min="19" max="20" width="6.625" style="0" customWidth="1"/>
    <col min="21" max="21" width="6.00390625" style="0" customWidth="1"/>
    <col min="22" max="22" width="6.625" style="0" customWidth="1"/>
    <col min="23" max="25" width="5.75390625" style="0" customWidth="1"/>
    <col min="26" max="27" width="4.375" style="0" customWidth="1"/>
    <col min="28" max="28" width="5.625" style="0" customWidth="1"/>
    <col min="29" max="29" width="6.875" style="0" customWidth="1"/>
    <col min="30" max="30" width="5.625" style="0" customWidth="1"/>
    <col min="31" max="31" width="6.00390625" style="0" bestFit="1" customWidth="1"/>
    <col min="32" max="32" width="5.75390625" style="0" customWidth="1"/>
    <col min="33" max="33" width="5.00390625" style="0" customWidth="1"/>
    <col min="34" max="34" width="5.625" style="0" customWidth="1"/>
  </cols>
  <sheetData>
    <row r="3" spans="1:34" ht="20.25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8.75">
      <c r="A4" s="93" t="s">
        <v>60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7:25" ht="12.75">
      <c r="Q5" s="4"/>
      <c r="R5" s="4"/>
      <c r="S5" s="4"/>
      <c r="T5" s="4"/>
      <c r="U5" s="4"/>
      <c r="V5" s="4"/>
      <c r="W5" s="4"/>
      <c r="X5" s="4"/>
      <c r="Y5" s="4"/>
    </row>
    <row r="6" ht="13.5" thickBot="1"/>
    <row r="7" spans="1:34" ht="24" customHeight="1" thickBot="1" thickTop="1">
      <c r="A7" s="97" t="s">
        <v>0</v>
      </c>
      <c r="B7" s="99" t="s">
        <v>1</v>
      </c>
      <c r="C7" s="101" t="s">
        <v>2</v>
      </c>
      <c r="D7" s="103" t="s">
        <v>54</v>
      </c>
      <c r="E7" s="89" t="s">
        <v>20</v>
      </c>
      <c r="F7" s="90"/>
      <c r="G7" s="91"/>
      <c r="H7" s="95" t="s">
        <v>5</v>
      </c>
      <c r="I7" s="89"/>
      <c r="J7" s="89"/>
      <c r="K7" s="96"/>
      <c r="L7" s="109" t="s">
        <v>50</v>
      </c>
      <c r="M7" s="110"/>
      <c r="N7" s="110"/>
      <c r="O7" s="110"/>
      <c r="P7" s="110"/>
      <c r="Q7" s="110"/>
      <c r="R7" s="110"/>
      <c r="S7" s="111"/>
      <c r="T7" s="105" t="s">
        <v>6</v>
      </c>
      <c r="U7" s="106"/>
      <c r="V7" s="106"/>
      <c r="W7" s="108" t="s">
        <v>52</v>
      </c>
      <c r="X7" s="108"/>
      <c r="Y7" s="108"/>
      <c r="Z7" s="108"/>
      <c r="AA7" s="108"/>
      <c r="AB7" s="105" t="s">
        <v>53</v>
      </c>
      <c r="AC7" s="106"/>
      <c r="AD7" s="106"/>
      <c r="AE7" s="106"/>
      <c r="AF7" s="106"/>
      <c r="AG7" s="106"/>
      <c r="AH7" s="107"/>
    </row>
    <row r="8" spans="1:34" ht="129" customHeight="1" thickBot="1" thickTop="1">
      <c r="A8" s="98"/>
      <c r="B8" s="100"/>
      <c r="C8" s="102"/>
      <c r="D8" s="104"/>
      <c r="E8" s="45" t="s">
        <v>29</v>
      </c>
      <c r="F8" s="8" t="s">
        <v>30</v>
      </c>
      <c r="G8" s="8" t="s">
        <v>13</v>
      </c>
      <c r="H8" s="1" t="s">
        <v>31</v>
      </c>
      <c r="I8" s="1" t="s">
        <v>13</v>
      </c>
      <c r="J8" s="1" t="s">
        <v>4</v>
      </c>
      <c r="K8" s="8" t="s">
        <v>14</v>
      </c>
      <c r="L8" s="46" t="s">
        <v>32</v>
      </c>
      <c r="M8" s="1" t="s">
        <v>33</v>
      </c>
      <c r="N8" s="1" t="s">
        <v>49</v>
      </c>
      <c r="O8" s="1" t="s">
        <v>33</v>
      </c>
      <c r="P8" s="1" t="s">
        <v>34</v>
      </c>
      <c r="Q8" s="1" t="s">
        <v>15</v>
      </c>
      <c r="R8" s="1" t="s">
        <v>35</v>
      </c>
      <c r="S8" s="2" t="s">
        <v>16</v>
      </c>
      <c r="T8" s="3" t="s">
        <v>36</v>
      </c>
      <c r="U8" s="3" t="s">
        <v>37</v>
      </c>
      <c r="V8" s="3" t="s">
        <v>38</v>
      </c>
      <c r="W8" s="42" t="s">
        <v>39</v>
      </c>
      <c r="X8" s="3" t="s">
        <v>40</v>
      </c>
      <c r="Y8" s="3" t="s">
        <v>41</v>
      </c>
      <c r="Z8" s="3" t="s">
        <v>42</v>
      </c>
      <c r="AA8" s="47" t="s">
        <v>43</v>
      </c>
      <c r="AB8" s="5" t="s">
        <v>44</v>
      </c>
      <c r="AC8" s="3" t="s">
        <v>45</v>
      </c>
      <c r="AD8" s="3" t="s">
        <v>34</v>
      </c>
      <c r="AE8" s="3" t="s">
        <v>46</v>
      </c>
      <c r="AF8" s="3" t="s">
        <v>35</v>
      </c>
      <c r="AG8" s="3" t="s">
        <v>47</v>
      </c>
      <c r="AH8" s="3" t="s">
        <v>48</v>
      </c>
    </row>
    <row r="9" spans="1:34" s="35" customFormat="1" ht="49.5" customHeight="1" thickBot="1" thickTop="1">
      <c r="A9" s="43" t="s">
        <v>21</v>
      </c>
      <c r="B9" s="10">
        <v>55</v>
      </c>
      <c r="C9" s="11">
        <v>17</v>
      </c>
      <c r="D9" s="23">
        <v>0</v>
      </c>
      <c r="E9" s="23">
        <v>2</v>
      </c>
      <c r="F9" s="11">
        <v>0</v>
      </c>
      <c r="G9" s="28">
        <v>0</v>
      </c>
      <c r="H9" s="27">
        <v>0</v>
      </c>
      <c r="I9" s="11">
        <v>1</v>
      </c>
      <c r="J9" s="36">
        <v>2</v>
      </c>
      <c r="K9" s="37">
        <v>0</v>
      </c>
      <c r="L9" s="48">
        <v>2423</v>
      </c>
      <c r="M9" s="36">
        <v>520</v>
      </c>
      <c r="N9" s="36">
        <v>32</v>
      </c>
      <c r="O9" s="36">
        <v>111</v>
      </c>
      <c r="P9" s="36">
        <v>0</v>
      </c>
      <c r="Q9" s="36">
        <v>390</v>
      </c>
      <c r="R9" s="36">
        <v>73</v>
      </c>
      <c r="S9" s="40">
        <v>62</v>
      </c>
      <c r="T9" s="48">
        <v>67</v>
      </c>
      <c r="U9" s="36">
        <v>0</v>
      </c>
      <c r="V9" s="37">
        <v>107</v>
      </c>
      <c r="W9" s="48">
        <v>0</v>
      </c>
      <c r="X9" s="11">
        <v>0</v>
      </c>
      <c r="Y9" s="11">
        <v>0</v>
      </c>
      <c r="Z9" s="11">
        <v>0</v>
      </c>
      <c r="AA9" s="12">
        <v>0</v>
      </c>
      <c r="AB9" s="10">
        <v>4</v>
      </c>
      <c r="AC9" s="36">
        <v>134</v>
      </c>
      <c r="AD9" s="36">
        <v>0</v>
      </c>
      <c r="AE9" s="36">
        <v>1</v>
      </c>
      <c r="AF9" s="36">
        <v>34</v>
      </c>
      <c r="AG9" s="36">
        <v>6</v>
      </c>
      <c r="AH9" s="51">
        <v>0</v>
      </c>
    </row>
    <row r="10" spans="1:34" s="35" customFormat="1" ht="49.5" customHeight="1" thickBot="1" thickTop="1">
      <c r="A10" s="43" t="s">
        <v>28</v>
      </c>
      <c r="B10" s="13">
        <v>30</v>
      </c>
      <c r="C10" s="14">
        <v>12</v>
      </c>
      <c r="D10" s="24">
        <v>0</v>
      </c>
      <c r="E10" s="24">
        <v>0</v>
      </c>
      <c r="F10" s="14">
        <v>0</v>
      </c>
      <c r="G10" s="30">
        <v>0</v>
      </c>
      <c r="H10" s="29">
        <v>1</v>
      </c>
      <c r="I10" s="14">
        <v>1</v>
      </c>
      <c r="J10" s="14">
        <v>0</v>
      </c>
      <c r="K10" s="21">
        <v>0</v>
      </c>
      <c r="L10" s="13">
        <v>1365</v>
      </c>
      <c r="M10" s="14">
        <f>4+140</f>
        <v>144</v>
      </c>
      <c r="N10" s="14">
        <v>6</v>
      </c>
      <c r="O10" s="14">
        <v>0</v>
      </c>
      <c r="P10" s="14">
        <v>79</v>
      </c>
      <c r="Q10" s="14">
        <v>86</v>
      </c>
      <c r="R10" s="14">
        <v>92</v>
      </c>
      <c r="S10" s="14">
        <v>80</v>
      </c>
      <c r="T10" s="13">
        <v>18</v>
      </c>
      <c r="U10" s="14">
        <v>4</v>
      </c>
      <c r="V10" s="14">
        <v>24</v>
      </c>
      <c r="W10" s="13">
        <v>0</v>
      </c>
      <c r="X10" s="14">
        <v>0</v>
      </c>
      <c r="Y10" s="14">
        <v>0</v>
      </c>
      <c r="Z10" s="14">
        <v>0</v>
      </c>
      <c r="AA10" s="15">
        <v>0</v>
      </c>
      <c r="AB10" s="13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</row>
    <row r="11" spans="1:35" s="35" customFormat="1" ht="49.5" customHeight="1" thickBot="1" thickTop="1">
      <c r="A11" s="43" t="s">
        <v>22</v>
      </c>
      <c r="B11" s="13">
        <v>51</v>
      </c>
      <c r="C11" s="14">
        <v>36</v>
      </c>
      <c r="D11" s="24">
        <v>0</v>
      </c>
      <c r="E11" s="24">
        <v>0</v>
      </c>
      <c r="F11" s="14">
        <v>0</v>
      </c>
      <c r="G11" s="30">
        <v>0</v>
      </c>
      <c r="H11" s="29">
        <v>0</v>
      </c>
      <c r="I11" s="14">
        <v>0</v>
      </c>
      <c r="J11" s="14">
        <v>0</v>
      </c>
      <c r="K11" s="21">
        <v>0</v>
      </c>
      <c r="L11" s="13">
        <v>2380</v>
      </c>
      <c r="M11" s="14">
        <v>425</v>
      </c>
      <c r="N11" s="14">
        <v>327</v>
      </c>
      <c r="O11" s="14">
        <v>100</v>
      </c>
      <c r="P11" s="14">
        <v>20</v>
      </c>
      <c r="Q11" s="14">
        <v>58</v>
      </c>
      <c r="R11" s="14">
        <v>204</v>
      </c>
      <c r="S11" s="14">
        <v>294</v>
      </c>
      <c r="T11" s="13">
        <v>40</v>
      </c>
      <c r="U11" s="14">
        <v>0</v>
      </c>
      <c r="V11" s="14">
        <v>0</v>
      </c>
      <c r="W11" s="13">
        <v>0</v>
      </c>
      <c r="X11" s="14">
        <v>0</v>
      </c>
      <c r="Y11" s="14">
        <v>0</v>
      </c>
      <c r="Z11" s="14">
        <v>0</v>
      </c>
      <c r="AA11" s="15">
        <v>0</v>
      </c>
      <c r="AB11" s="13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34"/>
    </row>
    <row r="12" spans="1:34" s="35" customFormat="1" ht="49.5" customHeight="1" thickBot="1" thickTop="1">
      <c r="A12" s="43" t="s">
        <v>23</v>
      </c>
      <c r="B12" s="13">
        <v>72</v>
      </c>
      <c r="C12" s="14">
        <v>37</v>
      </c>
      <c r="D12" s="24">
        <v>0</v>
      </c>
      <c r="E12" s="24">
        <v>4</v>
      </c>
      <c r="F12" s="14">
        <v>0</v>
      </c>
      <c r="G12" s="30">
        <v>2</v>
      </c>
      <c r="H12" s="29">
        <v>0</v>
      </c>
      <c r="I12" s="14">
        <v>1</v>
      </c>
      <c r="J12" s="14">
        <v>0</v>
      </c>
      <c r="K12" s="21">
        <v>0</v>
      </c>
      <c r="L12" s="13">
        <v>2333</v>
      </c>
      <c r="M12" s="14">
        <f>123+64</f>
        <v>187</v>
      </c>
      <c r="N12" s="14">
        <v>130</v>
      </c>
      <c r="O12" s="14">
        <v>14</v>
      </c>
      <c r="P12" s="14">
        <v>20</v>
      </c>
      <c r="Q12" s="14">
        <v>121</v>
      </c>
      <c r="R12" s="14">
        <v>56</v>
      </c>
      <c r="S12" s="14">
        <v>54</v>
      </c>
      <c r="T12" s="13">
        <v>43</v>
      </c>
      <c r="U12" s="14">
        <v>0</v>
      </c>
      <c r="V12" s="14">
        <v>0</v>
      </c>
      <c r="W12" s="13">
        <v>0</v>
      </c>
      <c r="X12" s="14">
        <v>0</v>
      </c>
      <c r="Y12" s="14">
        <v>0</v>
      </c>
      <c r="Z12" s="14">
        <v>0</v>
      </c>
      <c r="AA12" s="15">
        <v>0</v>
      </c>
      <c r="AB12" s="13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</row>
    <row r="13" spans="1:34" s="35" customFormat="1" ht="49.5" customHeight="1" thickBot="1" thickTop="1">
      <c r="A13" s="43" t="s">
        <v>24</v>
      </c>
      <c r="B13" s="13">
        <v>32</v>
      </c>
      <c r="C13" s="14">
        <v>8</v>
      </c>
      <c r="D13" s="24">
        <v>0</v>
      </c>
      <c r="E13" s="24">
        <v>0</v>
      </c>
      <c r="F13" s="14">
        <v>0</v>
      </c>
      <c r="G13" s="30">
        <v>0</v>
      </c>
      <c r="H13" s="29">
        <v>0</v>
      </c>
      <c r="I13" s="14">
        <v>0</v>
      </c>
      <c r="J13" s="14">
        <v>0</v>
      </c>
      <c r="K13" s="21">
        <v>0</v>
      </c>
      <c r="L13" s="13">
        <v>1847</v>
      </c>
      <c r="M13" s="14">
        <f>131+5</f>
        <v>136</v>
      </c>
      <c r="N13" s="14">
        <f>19+30</f>
        <v>49</v>
      </c>
      <c r="O13" s="14">
        <v>0</v>
      </c>
      <c r="P13" s="14">
        <v>10</v>
      </c>
      <c r="Q13" s="14">
        <v>19</v>
      </c>
      <c r="R13" s="14">
        <v>17</v>
      </c>
      <c r="S13" s="14">
        <v>33</v>
      </c>
      <c r="T13" s="13">
        <v>181</v>
      </c>
      <c r="U13" s="14">
        <v>0</v>
      </c>
      <c r="V13" s="14">
        <v>6</v>
      </c>
      <c r="W13" s="13">
        <v>0</v>
      </c>
      <c r="X13" s="14">
        <v>0</v>
      </c>
      <c r="Y13" s="14">
        <v>0</v>
      </c>
      <c r="Z13" s="14">
        <v>0</v>
      </c>
      <c r="AA13" s="15">
        <v>0</v>
      </c>
      <c r="AB13" s="13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</row>
    <row r="14" spans="1:35" s="35" customFormat="1" ht="49.5" customHeight="1" thickBot="1" thickTop="1">
      <c r="A14" s="44" t="s">
        <v>25</v>
      </c>
      <c r="B14" s="13">
        <v>97</v>
      </c>
      <c r="C14" s="14">
        <v>60</v>
      </c>
      <c r="D14" s="24">
        <v>0</v>
      </c>
      <c r="E14" s="24">
        <v>6</v>
      </c>
      <c r="F14" s="14">
        <v>1</v>
      </c>
      <c r="G14" s="30">
        <v>2</v>
      </c>
      <c r="H14" s="29">
        <v>0</v>
      </c>
      <c r="I14" s="14">
        <v>0</v>
      </c>
      <c r="J14" s="14">
        <v>4</v>
      </c>
      <c r="K14" s="21">
        <v>1</v>
      </c>
      <c r="L14" s="13">
        <v>1383</v>
      </c>
      <c r="M14" s="14">
        <v>332</v>
      </c>
      <c r="N14" s="14">
        <v>110</v>
      </c>
      <c r="O14" s="14">
        <v>19</v>
      </c>
      <c r="P14" s="14">
        <v>40</v>
      </c>
      <c r="Q14" s="14">
        <v>227</v>
      </c>
      <c r="R14" s="14">
        <v>190</v>
      </c>
      <c r="S14" s="14">
        <v>59</v>
      </c>
      <c r="T14" s="13">
        <v>300</v>
      </c>
      <c r="U14" s="14">
        <v>12</v>
      </c>
      <c r="V14" s="14">
        <v>92</v>
      </c>
      <c r="W14" s="13">
        <v>0</v>
      </c>
      <c r="X14" s="14">
        <v>0</v>
      </c>
      <c r="Y14" s="14">
        <v>0</v>
      </c>
      <c r="Z14" s="14">
        <v>0</v>
      </c>
      <c r="AA14" s="15">
        <v>0</v>
      </c>
      <c r="AB14" s="13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34"/>
    </row>
    <row r="15" spans="1:34" s="35" customFormat="1" ht="49.5" customHeight="1" thickBot="1" thickTop="1">
      <c r="A15" s="43" t="s">
        <v>26</v>
      </c>
      <c r="B15" s="13">
        <v>20</v>
      </c>
      <c r="C15" s="14">
        <v>15</v>
      </c>
      <c r="D15" s="24">
        <v>0</v>
      </c>
      <c r="E15" s="24">
        <v>0</v>
      </c>
      <c r="F15" s="14">
        <v>0</v>
      </c>
      <c r="G15" s="30">
        <v>2</v>
      </c>
      <c r="H15" s="29">
        <v>0</v>
      </c>
      <c r="I15" s="14">
        <v>0</v>
      </c>
      <c r="J15" s="14">
        <v>0</v>
      </c>
      <c r="K15" s="21">
        <v>0</v>
      </c>
      <c r="L15" s="13">
        <v>996</v>
      </c>
      <c r="M15" s="14">
        <v>172</v>
      </c>
      <c r="N15" s="14">
        <f>72+18</f>
        <v>90</v>
      </c>
      <c r="O15" s="14">
        <v>20</v>
      </c>
      <c r="P15" s="14">
        <v>19</v>
      </c>
      <c r="Q15" s="14">
        <v>82</v>
      </c>
      <c r="R15" s="14">
        <v>16</v>
      </c>
      <c r="S15" s="14">
        <v>23</v>
      </c>
      <c r="T15" s="13">
        <v>21</v>
      </c>
      <c r="U15" s="14">
        <v>0</v>
      </c>
      <c r="V15" s="14">
        <v>0</v>
      </c>
      <c r="W15" s="13">
        <v>0</v>
      </c>
      <c r="X15" s="14">
        <v>0</v>
      </c>
      <c r="Y15" s="14">
        <v>0</v>
      </c>
      <c r="Z15" s="14">
        <v>0</v>
      </c>
      <c r="AA15" s="15">
        <v>0</v>
      </c>
      <c r="AB15" s="13">
        <v>2</v>
      </c>
      <c r="AC15" s="14">
        <v>131</v>
      </c>
      <c r="AD15" s="14">
        <v>0</v>
      </c>
      <c r="AE15" s="14">
        <v>8</v>
      </c>
      <c r="AF15" s="14">
        <v>0</v>
      </c>
      <c r="AG15" s="14">
        <v>0</v>
      </c>
      <c r="AH15" s="15">
        <v>0</v>
      </c>
    </row>
    <row r="16" spans="1:34" s="35" customFormat="1" ht="49.5" customHeight="1" thickBot="1" thickTop="1">
      <c r="A16" s="43" t="s">
        <v>27</v>
      </c>
      <c r="B16" s="16">
        <v>50</v>
      </c>
      <c r="C16" s="17">
        <v>21</v>
      </c>
      <c r="D16" s="25">
        <v>0</v>
      </c>
      <c r="E16" s="25">
        <v>2</v>
      </c>
      <c r="F16" s="17">
        <v>0</v>
      </c>
      <c r="G16" s="32">
        <v>2</v>
      </c>
      <c r="H16" s="31">
        <v>0</v>
      </c>
      <c r="I16" s="17">
        <v>0</v>
      </c>
      <c r="J16" s="38">
        <v>0</v>
      </c>
      <c r="K16" s="39">
        <v>0</v>
      </c>
      <c r="L16" s="49">
        <v>2539</v>
      </c>
      <c r="M16" s="38">
        <v>85</v>
      </c>
      <c r="N16" s="38">
        <v>280</v>
      </c>
      <c r="O16" s="38">
        <v>0</v>
      </c>
      <c r="P16" s="38">
        <f>2+17</f>
        <v>19</v>
      </c>
      <c r="Q16" s="38">
        <v>105</v>
      </c>
      <c r="R16" s="38">
        <v>112</v>
      </c>
      <c r="S16" s="41">
        <v>168</v>
      </c>
      <c r="T16" s="49">
        <v>260</v>
      </c>
      <c r="U16" s="38">
        <v>0</v>
      </c>
      <c r="V16" s="39">
        <v>20</v>
      </c>
      <c r="W16" s="49">
        <v>0</v>
      </c>
      <c r="X16" s="17">
        <v>0</v>
      </c>
      <c r="Y16" s="17">
        <v>0</v>
      </c>
      <c r="Z16" s="17">
        <v>0</v>
      </c>
      <c r="AA16" s="50">
        <v>0</v>
      </c>
      <c r="AB16" s="16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52">
        <v>0</v>
      </c>
    </row>
    <row r="17" spans="1:34" s="35" customFormat="1" ht="76.5" customHeight="1" thickBot="1" thickTop="1">
      <c r="A17" s="9" t="s">
        <v>3</v>
      </c>
      <c r="B17" s="18">
        <f aca="true" t="shared" si="0" ref="B17:I17">SUM(B9:B16)</f>
        <v>407</v>
      </c>
      <c r="C17" s="19">
        <f t="shared" si="0"/>
        <v>206</v>
      </c>
      <c r="D17" s="19">
        <f t="shared" si="0"/>
        <v>0</v>
      </c>
      <c r="E17" s="26">
        <f t="shared" si="0"/>
        <v>14</v>
      </c>
      <c r="F17" s="19">
        <f t="shared" si="0"/>
        <v>1</v>
      </c>
      <c r="G17" s="22">
        <f t="shared" si="0"/>
        <v>8</v>
      </c>
      <c r="H17" s="18">
        <f t="shared" si="0"/>
        <v>1</v>
      </c>
      <c r="I17" s="19">
        <f t="shared" si="0"/>
        <v>3</v>
      </c>
      <c r="J17" s="19">
        <f aca="true" t="shared" si="1" ref="J17:V17">SUM(J9:J16)</f>
        <v>6</v>
      </c>
      <c r="K17" s="20">
        <f t="shared" si="1"/>
        <v>1</v>
      </c>
      <c r="L17" s="26">
        <f t="shared" si="1"/>
        <v>15266</v>
      </c>
      <c r="M17" s="19">
        <f t="shared" si="1"/>
        <v>2001</v>
      </c>
      <c r="N17" s="19">
        <f t="shared" si="1"/>
        <v>1024</v>
      </c>
      <c r="O17" s="19">
        <f t="shared" si="1"/>
        <v>264</v>
      </c>
      <c r="P17" s="19">
        <f t="shared" si="1"/>
        <v>207</v>
      </c>
      <c r="Q17" s="19">
        <f t="shared" si="1"/>
        <v>1088</v>
      </c>
      <c r="R17" s="19">
        <f t="shared" si="1"/>
        <v>760</v>
      </c>
      <c r="S17" s="33">
        <f t="shared" si="1"/>
        <v>773</v>
      </c>
      <c r="T17" s="18">
        <f t="shared" si="1"/>
        <v>930</v>
      </c>
      <c r="U17" s="19">
        <f t="shared" si="1"/>
        <v>16</v>
      </c>
      <c r="V17" s="20">
        <f t="shared" si="1"/>
        <v>249</v>
      </c>
      <c r="W17" s="26">
        <f aca="true" t="shared" si="2" ref="W17:AB17">SUM(W9:W16)</f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22">
        <f t="shared" si="2"/>
        <v>0</v>
      </c>
      <c r="AB17" s="18">
        <f t="shared" si="2"/>
        <v>6</v>
      </c>
      <c r="AC17" s="19">
        <f aca="true" t="shared" si="3" ref="AC17:AH17">SUM(AC9:AC16)</f>
        <v>265</v>
      </c>
      <c r="AD17" s="19">
        <f t="shared" si="3"/>
        <v>0</v>
      </c>
      <c r="AE17" s="19">
        <f t="shared" si="3"/>
        <v>9</v>
      </c>
      <c r="AF17" s="19">
        <f t="shared" si="3"/>
        <v>34</v>
      </c>
      <c r="AG17" s="19">
        <f t="shared" si="3"/>
        <v>6</v>
      </c>
      <c r="AH17" s="20">
        <f t="shared" si="3"/>
        <v>0</v>
      </c>
    </row>
    <row r="18" ht="13.5" thickTop="1"/>
    <row r="19" ht="15">
      <c r="B19" s="7" t="s">
        <v>7</v>
      </c>
    </row>
    <row r="20" spans="2:35" ht="14.25">
      <c r="B20" s="6" t="s">
        <v>9</v>
      </c>
      <c r="C20" s="6"/>
      <c r="D20" s="6"/>
      <c r="E20" s="6"/>
      <c r="F20" s="6"/>
      <c r="G20" s="6"/>
      <c r="H20" s="6"/>
      <c r="I20" s="6"/>
      <c r="J20" s="6"/>
      <c r="K20" s="6" t="s">
        <v>12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>
      <c r="A21" s="6"/>
      <c r="B21" s="6" t="s">
        <v>8</v>
      </c>
      <c r="C21" s="6"/>
      <c r="D21" s="6"/>
      <c r="E21" s="6"/>
      <c r="F21" s="6"/>
      <c r="G21" s="6"/>
      <c r="H21" s="6"/>
      <c r="I21" s="6"/>
      <c r="J21" s="6"/>
      <c r="K21" s="6" t="s">
        <v>10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>
      <c r="A22" s="6"/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 t="s">
        <v>19</v>
      </c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4.25">
      <c r="A23" s="6"/>
      <c r="B23" s="6" t="s">
        <v>18</v>
      </c>
      <c r="C23" s="6"/>
      <c r="D23" s="6"/>
      <c r="E23" s="6"/>
      <c r="F23" s="6"/>
      <c r="G23" s="6"/>
      <c r="H23" s="6"/>
      <c r="I23" s="6"/>
      <c r="J23" s="6"/>
      <c r="K23" s="6" t="s">
        <v>17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</sheetData>
  <mergeCells count="12">
    <mergeCell ref="L7:S7"/>
    <mergeCell ref="T7:V7"/>
    <mergeCell ref="E7:G7"/>
    <mergeCell ref="A3:AH3"/>
    <mergeCell ref="A4:AH4"/>
    <mergeCell ref="H7:K7"/>
    <mergeCell ref="A7:A8"/>
    <mergeCell ref="B7:B8"/>
    <mergeCell ref="C7:C8"/>
    <mergeCell ref="D7:D8"/>
    <mergeCell ref="AB7:AH7"/>
    <mergeCell ref="W7:AA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9" r:id="rId1"/>
  <headerFooter alignWithMargins="0">
    <oddHeader>&amp;L&amp;"Arial CE,Tučná kurzíva"&amp;14Tabuľka 2.6.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I23"/>
  <sheetViews>
    <sheetView zoomScale="75" zoomScaleNormal="75" workbookViewId="0" topLeftCell="E6">
      <selection activeCell="D16" sqref="D16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4" width="5.00390625" style="0" customWidth="1"/>
    <col min="5" max="6" width="4.875" style="0" customWidth="1"/>
    <col min="7" max="7" width="7.00390625" style="0" customWidth="1"/>
    <col min="8" max="8" width="5.125" style="0" customWidth="1"/>
    <col min="9" max="9" width="5.75390625" style="0" customWidth="1"/>
    <col min="10" max="11" width="5.375" style="0" customWidth="1"/>
    <col min="12" max="12" width="8.625" style="0" customWidth="1"/>
    <col min="13" max="13" width="7.875" style="0" customWidth="1"/>
    <col min="14" max="14" width="7.75390625" style="0" customWidth="1"/>
    <col min="15" max="15" width="4.875" style="0" customWidth="1"/>
    <col min="16" max="16" width="6.375" style="0" customWidth="1"/>
    <col min="17" max="17" width="6.625" style="0" customWidth="1"/>
    <col min="18" max="18" width="6.375" style="0" customWidth="1"/>
    <col min="19" max="20" width="6.625" style="0" customWidth="1"/>
    <col min="21" max="21" width="6.00390625" style="0" customWidth="1"/>
    <col min="22" max="22" width="6.625" style="0" customWidth="1"/>
    <col min="23" max="25" width="5.75390625" style="0" customWidth="1"/>
    <col min="26" max="27" width="4.375" style="0" customWidth="1"/>
    <col min="28" max="28" width="5.625" style="0" customWidth="1"/>
    <col min="29" max="29" width="6.875" style="0" customWidth="1"/>
    <col min="30" max="30" width="5.625" style="0" customWidth="1"/>
    <col min="31" max="31" width="5.25390625" style="0" customWidth="1"/>
    <col min="32" max="32" width="5.75390625" style="0" customWidth="1"/>
    <col min="33" max="33" width="5.00390625" style="0" customWidth="1"/>
    <col min="34" max="34" width="5.625" style="0" customWidth="1"/>
  </cols>
  <sheetData>
    <row r="3" spans="1:34" ht="20.25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8.75">
      <c r="A4" s="93" t="s">
        <v>59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7:25" ht="12.75">
      <c r="Q5" s="4"/>
      <c r="R5" s="4"/>
      <c r="S5" s="4"/>
      <c r="T5" s="4"/>
      <c r="U5" s="4"/>
      <c r="V5" s="4"/>
      <c r="W5" s="4"/>
      <c r="X5" s="4"/>
      <c r="Y5" s="4"/>
    </row>
    <row r="6" ht="13.5" thickBot="1"/>
    <row r="7" spans="1:34" ht="24" customHeight="1" thickBot="1" thickTop="1">
      <c r="A7" s="97" t="s">
        <v>0</v>
      </c>
      <c r="B7" s="99" t="s">
        <v>1</v>
      </c>
      <c r="C7" s="101" t="s">
        <v>2</v>
      </c>
      <c r="D7" s="103" t="s">
        <v>54</v>
      </c>
      <c r="E7" s="89" t="s">
        <v>20</v>
      </c>
      <c r="F7" s="90"/>
      <c r="G7" s="91"/>
      <c r="H7" s="95" t="s">
        <v>5</v>
      </c>
      <c r="I7" s="89"/>
      <c r="J7" s="89"/>
      <c r="K7" s="96"/>
      <c r="L7" s="109" t="s">
        <v>50</v>
      </c>
      <c r="M7" s="110"/>
      <c r="N7" s="110"/>
      <c r="O7" s="110"/>
      <c r="P7" s="110"/>
      <c r="Q7" s="110"/>
      <c r="R7" s="110"/>
      <c r="S7" s="111"/>
      <c r="T7" s="105" t="s">
        <v>6</v>
      </c>
      <c r="U7" s="106"/>
      <c r="V7" s="106"/>
      <c r="W7" s="108" t="s">
        <v>52</v>
      </c>
      <c r="X7" s="108"/>
      <c r="Y7" s="108"/>
      <c r="Z7" s="108"/>
      <c r="AA7" s="108"/>
      <c r="AB7" s="105" t="s">
        <v>53</v>
      </c>
      <c r="AC7" s="106"/>
      <c r="AD7" s="106"/>
      <c r="AE7" s="106"/>
      <c r="AF7" s="106"/>
      <c r="AG7" s="106"/>
      <c r="AH7" s="107"/>
    </row>
    <row r="8" spans="1:34" ht="138.75" customHeight="1" thickBot="1" thickTop="1">
      <c r="A8" s="98"/>
      <c r="B8" s="100"/>
      <c r="C8" s="102"/>
      <c r="D8" s="104"/>
      <c r="E8" s="45" t="s">
        <v>29</v>
      </c>
      <c r="F8" s="8" t="s">
        <v>30</v>
      </c>
      <c r="G8" s="8" t="s">
        <v>13</v>
      </c>
      <c r="H8" s="1" t="s">
        <v>31</v>
      </c>
      <c r="I8" s="1" t="s">
        <v>13</v>
      </c>
      <c r="J8" s="1" t="s">
        <v>4</v>
      </c>
      <c r="K8" s="8" t="s">
        <v>14</v>
      </c>
      <c r="L8" s="46" t="s">
        <v>32</v>
      </c>
      <c r="M8" s="1" t="s">
        <v>33</v>
      </c>
      <c r="N8" s="1" t="s">
        <v>49</v>
      </c>
      <c r="O8" s="1" t="s">
        <v>33</v>
      </c>
      <c r="P8" s="1" t="s">
        <v>34</v>
      </c>
      <c r="Q8" s="1" t="s">
        <v>15</v>
      </c>
      <c r="R8" s="1" t="s">
        <v>35</v>
      </c>
      <c r="S8" s="2" t="s">
        <v>16</v>
      </c>
      <c r="T8" s="3" t="s">
        <v>36</v>
      </c>
      <c r="U8" s="3" t="s">
        <v>37</v>
      </c>
      <c r="V8" s="3" t="s">
        <v>38</v>
      </c>
      <c r="W8" s="42" t="s">
        <v>39</v>
      </c>
      <c r="X8" s="3" t="s">
        <v>40</v>
      </c>
      <c r="Y8" s="3" t="s">
        <v>41</v>
      </c>
      <c r="Z8" s="3" t="s">
        <v>42</v>
      </c>
      <c r="AA8" s="47" t="s">
        <v>43</v>
      </c>
      <c r="AB8" s="5" t="s">
        <v>44</v>
      </c>
      <c r="AC8" s="3" t="s">
        <v>45</v>
      </c>
      <c r="AD8" s="3" t="s">
        <v>34</v>
      </c>
      <c r="AE8" s="3" t="s">
        <v>46</v>
      </c>
      <c r="AF8" s="3" t="s">
        <v>35</v>
      </c>
      <c r="AG8" s="3" t="s">
        <v>47</v>
      </c>
      <c r="AH8" s="3" t="s">
        <v>48</v>
      </c>
    </row>
    <row r="9" spans="1:34" s="35" customFormat="1" ht="49.5" customHeight="1" thickBot="1" thickTop="1">
      <c r="A9" s="43" t="s">
        <v>21</v>
      </c>
      <c r="B9" s="10">
        <v>171</v>
      </c>
      <c r="C9" s="11">
        <v>67</v>
      </c>
      <c r="D9" s="23">
        <v>17</v>
      </c>
      <c r="E9" s="23">
        <v>6</v>
      </c>
      <c r="F9" s="11">
        <v>0</v>
      </c>
      <c r="G9" s="28">
        <v>3</v>
      </c>
      <c r="H9" s="27">
        <v>1</v>
      </c>
      <c r="I9" s="11">
        <v>0</v>
      </c>
      <c r="J9" s="36">
        <v>0</v>
      </c>
      <c r="K9" s="37">
        <v>1</v>
      </c>
      <c r="L9" s="48">
        <f>4577+4341</f>
        <v>8918</v>
      </c>
      <c r="M9" s="36">
        <f>370+2307</f>
        <v>2677</v>
      </c>
      <c r="N9" s="36">
        <f>104+22</f>
        <v>126</v>
      </c>
      <c r="O9" s="36">
        <v>15</v>
      </c>
      <c r="P9" s="36">
        <f>194+45</f>
        <v>239</v>
      </c>
      <c r="Q9" s="36">
        <f>544+354</f>
        <v>898</v>
      </c>
      <c r="R9" s="36">
        <f>235+421</f>
        <v>656</v>
      </c>
      <c r="S9" s="40">
        <f>46+765</f>
        <v>811</v>
      </c>
      <c r="T9" s="48">
        <v>99</v>
      </c>
      <c r="U9" s="36">
        <v>0</v>
      </c>
      <c r="V9" s="37">
        <v>16</v>
      </c>
      <c r="W9" s="48">
        <v>0</v>
      </c>
      <c r="X9" s="11">
        <v>0</v>
      </c>
      <c r="Y9" s="11">
        <v>0</v>
      </c>
      <c r="Z9" s="11">
        <v>0</v>
      </c>
      <c r="AA9" s="12">
        <v>0</v>
      </c>
      <c r="AB9" s="10">
        <v>3</v>
      </c>
      <c r="AC9" s="36">
        <v>58</v>
      </c>
      <c r="AD9" s="36">
        <v>0</v>
      </c>
      <c r="AE9" s="36">
        <v>0</v>
      </c>
      <c r="AF9" s="36">
        <v>0</v>
      </c>
      <c r="AG9" s="36">
        <v>17</v>
      </c>
      <c r="AH9" s="51">
        <v>0</v>
      </c>
    </row>
    <row r="10" spans="1:34" s="35" customFormat="1" ht="49.5" customHeight="1" thickBot="1" thickTop="1">
      <c r="A10" s="43" t="s">
        <v>28</v>
      </c>
      <c r="B10" s="13">
        <v>132</v>
      </c>
      <c r="C10" s="14">
        <v>62</v>
      </c>
      <c r="D10" s="24">
        <v>29</v>
      </c>
      <c r="E10" s="24">
        <v>3</v>
      </c>
      <c r="F10" s="14">
        <v>1</v>
      </c>
      <c r="G10" s="30">
        <v>0</v>
      </c>
      <c r="H10" s="29">
        <v>3</v>
      </c>
      <c r="I10" s="14">
        <v>1</v>
      </c>
      <c r="J10" s="14">
        <v>3</v>
      </c>
      <c r="K10" s="21">
        <v>1</v>
      </c>
      <c r="L10" s="13">
        <f>5315+2076</f>
        <v>7391</v>
      </c>
      <c r="M10" s="14">
        <f>195+667</f>
        <v>862</v>
      </c>
      <c r="N10" s="14">
        <f>70</f>
        <v>70</v>
      </c>
      <c r="O10" s="14">
        <v>0</v>
      </c>
      <c r="P10" s="14">
        <f>107+83</f>
        <v>190</v>
      </c>
      <c r="Q10" s="14">
        <f>418+256</f>
        <v>674</v>
      </c>
      <c r="R10" s="14">
        <f>231+164</f>
        <v>395</v>
      </c>
      <c r="S10" s="14">
        <f>101+141</f>
        <v>242</v>
      </c>
      <c r="T10" s="13">
        <v>97</v>
      </c>
      <c r="U10" s="14">
        <v>0</v>
      </c>
      <c r="V10" s="14">
        <v>45</v>
      </c>
      <c r="W10" s="13">
        <v>0</v>
      </c>
      <c r="X10" s="14">
        <v>0</v>
      </c>
      <c r="Y10" s="14">
        <v>0</v>
      </c>
      <c r="Z10" s="14">
        <v>0</v>
      </c>
      <c r="AA10" s="15">
        <v>0</v>
      </c>
      <c r="AB10" s="13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</row>
    <row r="11" spans="1:35" s="35" customFormat="1" ht="49.5" customHeight="1" thickBot="1" thickTop="1">
      <c r="A11" s="43" t="s">
        <v>22</v>
      </c>
      <c r="B11" s="13">
        <v>171</v>
      </c>
      <c r="C11" s="14">
        <v>95</v>
      </c>
      <c r="D11" s="24">
        <v>48</v>
      </c>
      <c r="E11" s="24">
        <v>3</v>
      </c>
      <c r="F11" s="14">
        <v>0</v>
      </c>
      <c r="G11" s="30">
        <v>9</v>
      </c>
      <c r="H11" s="29">
        <v>0</v>
      </c>
      <c r="I11" s="14">
        <v>2</v>
      </c>
      <c r="J11" s="14">
        <v>0</v>
      </c>
      <c r="K11" s="21">
        <v>0</v>
      </c>
      <c r="L11" s="13">
        <f>4916+3303</f>
        <v>8219</v>
      </c>
      <c r="M11" s="14">
        <f>150+770</f>
        <v>920</v>
      </c>
      <c r="N11" s="14">
        <f>894+832</f>
        <v>1726</v>
      </c>
      <c r="O11" s="14">
        <f>19+64</f>
        <v>83</v>
      </c>
      <c r="P11" s="14">
        <f>5+32</f>
        <v>37</v>
      </c>
      <c r="Q11" s="14">
        <f>271+151</f>
        <v>422</v>
      </c>
      <c r="R11" s="14">
        <f>327+302</f>
        <v>629</v>
      </c>
      <c r="S11" s="14">
        <f>291+347</f>
        <v>638</v>
      </c>
      <c r="T11" s="13">
        <v>105</v>
      </c>
      <c r="U11" s="14">
        <v>0</v>
      </c>
      <c r="V11" s="14">
        <v>0</v>
      </c>
      <c r="W11" s="13">
        <v>0</v>
      </c>
      <c r="X11" s="14">
        <v>0</v>
      </c>
      <c r="Y11" s="14">
        <v>0</v>
      </c>
      <c r="Z11" s="14">
        <v>0</v>
      </c>
      <c r="AA11" s="15">
        <v>0</v>
      </c>
      <c r="AB11" s="13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34"/>
    </row>
    <row r="12" spans="1:34" s="35" customFormat="1" ht="49.5" customHeight="1" thickBot="1" thickTop="1">
      <c r="A12" s="43" t="s">
        <v>23</v>
      </c>
      <c r="B12" s="13">
        <v>201</v>
      </c>
      <c r="C12" s="14">
        <v>85</v>
      </c>
      <c r="D12" s="24">
        <v>72</v>
      </c>
      <c r="E12" s="24">
        <v>8</v>
      </c>
      <c r="F12" s="14">
        <v>0</v>
      </c>
      <c r="G12" s="30">
        <v>0</v>
      </c>
      <c r="H12" s="29">
        <v>0</v>
      </c>
      <c r="I12" s="14">
        <v>0</v>
      </c>
      <c r="J12" s="14">
        <v>0</v>
      </c>
      <c r="K12" s="21">
        <v>0</v>
      </c>
      <c r="L12" s="13">
        <f>5876+1504</f>
        <v>7380</v>
      </c>
      <c r="M12" s="14">
        <f>325+635</f>
        <v>960</v>
      </c>
      <c r="N12" s="14">
        <f>1393+112</f>
        <v>1505</v>
      </c>
      <c r="O12" s="14">
        <f>12+7</f>
        <v>19</v>
      </c>
      <c r="P12" s="14">
        <f>95+20</f>
        <v>115</v>
      </c>
      <c r="Q12" s="14">
        <f>1220+87</f>
        <v>1307</v>
      </c>
      <c r="R12" s="14">
        <v>61</v>
      </c>
      <c r="S12" s="14">
        <f>36+5</f>
        <v>41</v>
      </c>
      <c r="T12" s="13">
        <v>332</v>
      </c>
      <c r="U12" s="14">
        <v>0</v>
      </c>
      <c r="V12" s="14">
        <v>15</v>
      </c>
      <c r="W12" s="13">
        <v>0</v>
      </c>
      <c r="X12" s="14">
        <v>0</v>
      </c>
      <c r="Y12" s="14">
        <v>0</v>
      </c>
      <c r="Z12" s="14">
        <v>0</v>
      </c>
      <c r="AA12" s="15">
        <v>0</v>
      </c>
      <c r="AB12" s="13">
        <v>2</v>
      </c>
      <c r="AC12" s="14">
        <v>25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</row>
    <row r="13" spans="1:34" s="35" customFormat="1" ht="49.5" customHeight="1" thickBot="1" thickTop="1">
      <c r="A13" s="43" t="s">
        <v>24</v>
      </c>
      <c r="B13" s="13">
        <v>174</v>
      </c>
      <c r="C13" s="14">
        <v>37</v>
      </c>
      <c r="D13" s="24">
        <v>6</v>
      </c>
      <c r="E13" s="24">
        <v>0</v>
      </c>
      <c r="F13" s="14">
        <v>0</v>
      </c>
      <c r="G13" s="30">
        <v>0</v>
      </c>
      <c r="H13" s="29">
        <v>0</v>
      </c>
      <c r="I13" s="14">
        <v>0</v>
      </c>
      <c r="J13" s="14">
        <v>1</v>
      </c>
      <c r="K13" s="21">
        <v>0</v>
      </c>
      <c r="L13" s="13">
        <f>9355+2318</f>
        <v>11673</v>
      </c>
      <c r="M13" s="14">
        <f>591+343</f>
        <v>934</v>
      </c>
      <c r="N13" s="14">
        <f>358+141</f>
        <v>499</v>
      </c>
      <c r="O13" s="14">
        <v>0</v>
      </c>
      <c r="P13" s="14">
        <f>6+4</f>
        <v>10</v>
      </c>
      <c r="Q13" s="14">
        <f>84+37</f>
        <v>121</v>
      </c>
      <c r="R13" s="14">
        <f>53+39</f>
        <v>92</v>
      </c>
      <c r="S13" s="14">
        <f>28+61</f>
        <v>89</v>
      </c>
      <c r="T13" s="13">
        <v>1241</v>
      </c>
      <c r="U13" s="14">
        <v>0</v>
      </c>
      <c r="V13" s="14">
        <v>46</v>
      </c>
      <c r="W13" s="13">
        <v>0</v>
      </c>
      <c r="X13" s="14">
        <v>0</v>
      </c>
      <c r="Y13" s="14">
        <v>0</v>
      </c>
      <c r="Z13" s="14">
        <v>0</v>
      </c>
      <c r="AA13" s="15">
        <v>0</v>
      </c>
      <c r="AB13" s="13">
        <v>2</v>
      </c>
      <c r="AC13" s="14">
        <v>40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</row>
    <row r="14" spans="1:35" s="35" customFormat="1" ht="49.5" customHeight="1" thickBot="1" thickTop="1">
      <c r="A14" s="44" t="s">
        <v>25</v>
      </c>
      <c r="B14" s="13">
        <v>176</v>
      </c>
      <c r="C14" s="14">
        <v>106</v>
      </c>
      <c r="D14" s="24">
        <v>46</v>
      </c>
      <c r="E14" s="24">
        <v>5</v>
      </c>
      <c r="F14" s="14">
        <v>0</v>
      </c>
      <c r="G14" s="30">
        <v>3</v>
      </c>
      <c r="H14" s="29">
        <v>0</v>
      </c>
      <c r="I14" s="14">
        <v>0</v>
      </c>
      <c r="J14" s="14">
        <v>3</v>
      </c>
      <c r="K14" s="21">
        <v>0</v>
      </c>
      <c r="L14" s="13">
        <f>2427+596</f>
        <v>3023</v>
      </c>
      <c r="M14" s="14">
        <f>256+12</f>
        <v>268</v>
      </c>
      <c r="N14" s="14">
        <f>433+46</f>
        <v>479</v>
      </c>
      <c r="O14" s="14">
        <f>40</f>
        <v>40</v>
      </c>
      <c r="P14" s="14">
        <f>110+9</f>
        <v>119</v>
      </c>
      <c r="Q14" s="14">
        <f>198+77</f>
        <v>275</v>
      </c>
      <c r="R14" s="14">
        <f>601+144</f>
        <v>745</v>
      </c>
      <c r="S14" s="14">
        <f>155+93</f>
        <v>248</v>
      </c>
      <c r="T14" s="13">
        <v>1003</v>
      </c>
      <c r="U14" s="14">
        <v>9</v>
      </c>
      <c r="V14" s="14">
        <v>159</v>
      </c>
      <c r="W14" s="13">
        <v>0</v>
      </c>
      <c r="X14" s="14">
        <v>10</v>
      </c>
      <c r="Y14" s="14">
        <v>0</v>
      </c>
      <c r="Z14" s="14">
        <v>0</v>
      </c>
      <c r="AA14" s="15">
        <v>0</v>
      </c>
      <c r="AB14" s="13">
        <v>1</v>
      </c>
      <c r="AC14" s="14">
        <v>13</v>
      </c>
      <c r="AD14" s="14">
        <v>0</v>
      </c>
      <c r="AE14" s="14">
        <v>0</v>
      </c>
      <c r="AF14" s="14">
        <v>13</v>
      </c>
      <c r="AG14" s="14">
        <v>0</v>
      </c>
      <c r="AH14" s="15">
        <v>0</v>
      </c>
      <c r="AI14" s="34"/>
    </row>
    <row r="15" spans="1:34" s="35" customFormat="1" ht="49.5" customHeight="1" thickBot="1" thickTop="1">
      <c r="A15" s="43" t="s">
        <v>26</v>
      </c>
      <c r="B15" s="13">
        <v>168</v>
      </c>
      <c r="C15" s="14">
        <v>107</v>
      </c>
      <c r="D15" s="24">
        <v>30</v>
      </c>
      <c r="E15" s="24">
        <v>7</v>
      </c>
      <c r="F15" s="14">
        <v>1</v>
      </c>
      <c r="G15" s="30">
        <v>7</v>
      </c>
      <c r="H15" s="29">
        <v>0</v>
      </c>
      <c r="I15" s="14">
        <v>2</v>
      </c>
      <c r="J15" s="14">
        <v>3</v>
      </c>
      <c r="K15" s="21">
        <v>0</v>
      </c>
      <c r="L15" s="13">
        <f>5138+3587</f>
        <v>8725</v>
      </c>
      <c r="M15" s="14">
        <f>715+1481</f>
        <v>2196</v>
      </c>
      <c r="N15" s="14">
        <f>519+461</f>
        <v>980</v>
      </c>
      <c r="O15" s="14">
        <f>11+120</f>
        <v>131</v>
      </c>
      <c r="P15" s="14">
        <f>112+138</f>
        <v>250</v>
      </c>
      <c r="Q15" s="14">
        <f>101+173</f>
        <v>274</v>
      </c>
      <c r="R15" s="14">
        <f>148+85</f>
        <v>233</v>
      </c>
      <c r="S15" s="14">
        <f>162+76</f>
        <v>238</v>
      </c>
      <c r="T15" s="13">
        <v>64</v>
      </c>
      <c r="U15" s="14">
        <v>10</v>
      </c>
      <c r="V15" s="14">
        <v>1</v>
      </c>
      <c r="W15" s="13">
        <v>0</v>
      </c>
      <c r="X15" s="14">
        <v>0</v>
      </c>
      <c r="Y15" s="14">
        <v>0</v>
      </c>
      <c r="Z15" s="14">
        <v>0</v>
      </c>
      <c r="AA15" s="15">
        <v>0</v>
      </c>
      <c r="AB15" s="13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</row>
    <row r="16" spans="1:34" s="35" customFormat="1" ht="49.5" customHeight="1" thickBot="1" thickTop="1">
      <c r="A16" s="43" t="s">
        <v>27</v>
      </c>
      <c r="B16" s="16">
        <v>193</v>
      </c>
      <c r="C16" s="17">
        <v>45</v>
      </c>
      <c r="D16" s="25">
        <v>33</v>
      </c>
      <c r="E16" s="25">
        <v>5</v>
      </c>
      <c r="F16" s="17">
        <v>0</v>
      </c>
      <c r="G16" s="32">
        <v>1</v>
      </c>
      <c r="H16" s="31">
        <v>0</v>
      </c>
      <c r="I16" s="17">
        <v>2</v>
      </c>
      <c r="J16" s="38">
        <v>1</v>
      </c>
      <c r="K16" s="39">
        <v>0</v>
      </c>
      <c r="L16" s="49">
        <f>7350+2449</f>
        <v>9799</v>
      </c>
      <c r="M16" s="38">
        <f>252+5</f>
        <v>257</v>
      </c>
      <c r="N16" s="38">
        <f>696+293</f>
        <v>989</v>
      </c>
      <c r="O16" s="38">
        <v>106</v>
      </c>
      <c r="P16" s="38">
        <f>99+24</f>
        <v>123</v>
      </c>
      <c r="Q16" s="38">
        <f>362+36</f>
        <v>398</v>
      </c>
      <c r="R16" s="38">
        <f>221+182</f>
        <v>403</v>
      </c>
      <c r="S16" s="41">
        <f>10+56</f>
        <v>66</v>
      </c>
      <c r="T16" s="49">
        <v>2732</v>
      </c>
      <c r="U16" s="38">
        <v>222</v>
      </c>
      <c r="V16" s="39">
        <v>388</v>
      </c>
      <c r="W16" s="49">
        <v>0</v>
      </c>
      <c r="X16" s="17">
        <v>0</v>
      </c>
      <c r="Y16" s="17">
        <v>0</v>
      </c>
      <c r="Z16" s="17">
        <v>0</v>
      </c>
      <c r="AA16" s="50">
        <v>0</v>
      </c>
      <c r="AB16" s="16">
        <v>8</v>
      </c>
      <c r="AC16" s="38">
        <v>275</v>
      </c>
      <c r="AD16" s="38">
        <v>0</v>
      </c>
      <c r="AE16" s="38">
        <v>0</v>
      </c>
      <c r="AF16" s="38">
        <v>0</v>
      </c>
      <c r="AG16" s="38">
        <v>0</v>
      </c>
      <c r="AH16" s="52">
        <v>0</v>
      </c>
    </row>
    <row r="17" spans="1:34" s="35" customFormat="1" ht="76.5" customHeight="1" thickBot="1" thickTop="1">
      <c r="A17" s="9" t="s">
        <v>3</v>
      </c>
      <c r="B17" s="18">
        <f aca="true" t="shared" si="0" ref="B17:I17">SUM(B9:B16)</f>
        <v>1386</v>
      </c>
      <c r="C17" s="19">
        <f t="shared" si="0"/>
        <v>604</v>
      </c>
      <c r="D17" s="19">
        <f t="shared" si="0"/>
        <v>281</v>
      </c>
      <c r="E17" s="26">
        <f t="shared" si="0"/>
        <v>37</v>
      </c>
      <c r="F17" s="19">
        <f t="shared" si="0"/>
        <v>2</v>
      </c>
      <c r="G17" s="22">
        <f t="shared" si="0"/>
        <v>23</v>
      </c>
      <c r="H17" s="18">
        <f t="shared" si="0"/>
        <v>4</v>
      </c>
      <c r="I17" s="19">
        <f t="shared" si="0"/>
        <v>7</v>
      </c>
      <c r="J17" s="19">
        <f aca="true" t="shared" si="1" ref="J17:V17">SUM(J9:J16)</f>
        <v>11</v>
      </c>
      <c r="K17" s="20">
        <f t="shared" si="1"/>
        <v>2</v>
      </c>
      <c r="L17" s="26">
        <f t="shared" si="1"/>
        <v>65128</v>
      </c>
      <c r="M17" s="19">
        <f t="shared" si="1"/>
        <v>9074</v>
      </c>
      <c r="N17" s="19">
        <f t="shared" si="1"/>
        <v>6374</v>
      </c>
      <c r="O17" s="19">
        <f t="shared" si="1"/>
        <v>394</v>
      </c>
      <c r="P17" s="19">
        <f t="shared" si="1"/>
        <v>1083</v>
      </c>
      <c r="Q17" s="19">
        <f t="shared" si="1"/>
        <v>4369</v>
      </c>
      <c r="R17" s="19">
        <f t="shared" si="1"/>
        <v>3214</v>
      </c>
      <c r="S17" s="33">
        <f t="shared" si="1"/>
        <v>2373</v>
      </c>
      <c r="T17" s="18">
        <f t="shared" si="1"/>
        <v>5673</v>
      </c>
      <c r="U17" s="19">
        <f t="shared" si="1"/>
        <v>241</v>
      </c>
      <c r="V17" s="22">
        <f t="shared" si="1"/>
        <v>670</v>
      </c>
      <c r="W17" s="18">
        <f aca="true" t="shared" si="2" ref="W17:AB17">SUM(W9:W16)</f>
        <v>0</v>
      </c>
      <c r="X17" s="19">
        <f t="shared" si="2"/>
        <v>10</v>
      </c>
      <c r="Y17" s="19">
        <f t="shared" si="2"/>
        <v>0</v>
      </c>
      <c r="Z17" s="19">
        <f t="shared" si="2"/>
        <v>0</v>
      </c>
      <c r="AA17" s="22">
        <f t="shared" si="2"/>
        <v>0</v>
      </c>
      <c r="AB17" s="18">
        <f t="shared" si="2"/>
        <v>16</v>
      </c>
      <c r="AC17" s="19">
        <f aca="true" t="shared" si="3" ref="AC17:AH17">SUM(AC9:AC16)</f>
        <v>411</v>
      </c>
      <c r="AD17" s="19">
        <f t="shared" si="3"/>
        <v>0</v>
      </c>
      <c r="AE17" s="19">
        <f t="shared" si="3"/>
        <v>0</v>
      </c>
      <c r="AF17" s="19">
        <f t="shared" si="3"/>
        <v>13</v>
      </c>
      <c r="AG17" s="19">
        <f t="shared" si="3"/>
        <v>17</v>
      </c>
      <c r="AH17" s="20">
        <f t="shared" si="3"/>
        <v>0</v>
      </c>
    </row>
    <row r="18" ht="13.5" thickTop="1"/>
    <row r="19" ht="15">
      <c r="B19" s="7" t="s">
        <v>7</v>
      </c>
    </row>
    <row r="20" spans="2:35" ht="14.25">
      <c r="B20" s="6" t="s">
        <v>9</v>
      </c>
      <c r="C20" s="6"/>
      <c r="D20" s="6"/>
      <c r="E20" s="6"/>
      <c r="F20" s="6"/>
      <c r="G20" s="6"/>
      <c r="H20" s="6"/>
      <c r="I20" s="6"/>
      <c r="J20" s="6"/>
      <c r="K20" s="6" t="s">
        <v>12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>
      <c r="A21" s="6"/>
      <c r="B21" s="6" t="s">
        <v>8</v>
      </c>
      <c r="C21" s="6"/>
      <c r="D21" s="6"/>
      <c r="E21" s="6"/>
      <c r="F21" s="6"/>
      <c r="G21" s="6"/>
      <c r="H21" s="6"/>
      <c r="I21" s="6"/>
      <c r="J21" s="6"/>
      <c r="K21" s="6" t="s">
        <v>10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>
      <c r="A22" s="6"/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 t="s">
        <v>19</v>
      </c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4.25">
      <c r="A23" s="6"/>
      <c r="B23" s="6" t="s">
        <v>18</v>
      </c>
      <c r="C23" s="6"/>
      <c r="D23" s="6"/>
      <c r="E23" s="6"/>
      <c r="F23" s="6"/>
      <c r="G23" s="6"/>
      <c r="H23" s="6"/>
      <c r="I23" s="6"/>
      <c r="J23" s="6"/>
      <c r="K23" s="6" t="s">
        <v>17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</sheetData>
  <mergeCells count="12">
    <mergeCell ref="L7:S7"/>
    <mergeCell ref="T7:V7"/>
    <mergeCell ref="E7:G7"/>
    <mergeCell ref="D7:D8"/>
    <mergeCell ref="A3:AH3"/>
    <mergeCell ref="A4:AH4"/>
    <mergeCell ref="H7:K7"/>
    <mergeCell ref="A7:A8"/>
    <mergeCell ref="B7:B8"/>
    <mergeCell ref="C7:C8"/>
    <mergeCell ref="AB7:AH7"/>
    <mergeCell ref="W7:AA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9" r:id="rId1"/>
  <headerFooter alignWithMargins="0">
    <oddHeader>&amp;L&amp;"Arial CE,Tučná kurzíva"&amp;14Tabuľka 2.5.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I22"/>
  <sheetViews>
    <sheetView zoomScale="75" zoomScaleNormal="75" workbookViewId="0" topLeftCell="B2">
      <selection activeCell="T26" sqref="T26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4" width="5.125" style="0" customWidth="1"/>
    <col min="5" max="6" width="4.875" style="0" customWidth="1"/>
    <col min="7" max="7" width="7.00390625" style="0" customWidth="1"/>
    <col min="8" max="8" width="5.125" style="0" customWidth="1"/>
    <col min="9" max="9" width="5.75390625" style="0" customWidth="1"/>
    <col min="10" max="11" width="5.375" style="0" customWidth="1"/>
    <col min="12" max="12" width="10.25390625" style="0" customWidth="1"/>
    <col min="13" max="13" width="7.875" style="0" customWidth="1"/>
    <col min="14" max="14" width="7.75390625" style="0" customWidth="1"/>
    <col min="15" max="15" width="6.625" style="0" customWidth="1"/>
    <col min="16" max="16" width="6.375" style="0" customWidth="1"/>
    <col min="17" max="17" width="6.625" style="0" customWidth="1"/>
    <col min="18" max="18" width="6.375" style="0" customWidth="1"/>
    <col min="19" max="19" width="6.625" style="0" customWidth="1"/>
    <col min="20" max="20" width="6.375" style="0" customWidth="1"/>
    <col min="21" max="21" width="6.00390625" style="0" customWidth="1"/>
    <col min="22" max="22" width="6.625" style="0" customWidth="1"/>
    <col min="23" max="25" width="5.75390625" style="0" customWidth="1"/>
    <col min="26" max="27" width="4.375" style="0" customWidth="1"/>
    <col min="28" max="28" width="5.625" style="0" customWidth="1"/>
    <col min="29" max="29" width="5.75390625" style="0" customWidth="1"/>
    <col min="30" max="30" width="5.625" style="0" customWidth="1"/>
    <col min="31" max="31" width="4.875" style="0" customWidth="1"/>
    <col min="32" max="32" width="5.25390625" style="0" customWidth="1"/>
    <col min="33" max="33" width="5.00390625" style="0" customWidth="1"/>
    <col min="34" max="34" width="5.625" style="0" customWidth="1"/>
  </cols>
  <sheetData>
    <row r="3" spans="1:34" ht="20.25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8.75">
      <c r="A4" s="93" t="s">
        <v>58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ht="13.5" thickBot="1"/>
    <row r="6" spans="1:34" ht="24" customHeight="1" thickBot="1" thickTop="1">
      <c r="A6" s="97" t="s">
        <v>0</v>
      </c>
      <c r="B6" s="99" t="s">
        <v>1</v>
      </c>
      <c r="C6" s="101" t="s">
        <v>2</v>
      </c>
      <c r="D6" s="103" t="s">
        <v>54</v>
      </c>
      <c r="E6" s="89" t="s">
        <v>20</v>
      </c>
      <c r="F6" s="90"/>
      <c r="G6" s="91"/>
      <c r="H6" s="95" t="s">
        <v>5</v>
      </c>
      <c r="I6" s="89"/>
      <c r="J6" s="89"/>
      <c r="K6" s="96"/>
      <c r="L6" s="109" t="s">
        <v>50</v>
      </c>
      <c r="M6" s="110"/>
      <c r="N6" s="110"/>
      <c r="O6" s="110"/>
      <c r="P6" s="110"/>
      <c r="Q6" s="110"/>
      <c r="R6" s="110"/>
      <c r="S6" s="111"/>
      <c r="T6" s="105" t="s">
        <v>6</v>
      </c>
      <c r="U6" s="106"/>
      <c r="V6" s="106"/>
      <c r="W6" s="108" t="s">
        <v>52</v>
      </c>
      <c r="X6" s="108"/>
      <c r="Y6" s="108"/>
      <c r="Z6" s="108"/>
      <c r="AA6" s="108"/>
      <c r="AB6" s="105" t="s">
        <v>53</v>
      </c>
      <c r="AC6" s="106"/>
      <c r="AD6" s="106"/>
      <c r="AE6" s="106"/>
      <c r="AF6" s="106"/>
      <c r="AG6" s="106"/>
      <c r="AH6" s="107"/>
    </row>
    <row r="7" spans="1:34" ht="129" customHeight="1" thickBot="1" thickTop="1">
      <c r="A7" s="98"/>
      <c r="B7" s="100"/>
      <c r="C7" s="102"/>
      <c r="D7" s="104"/>
      <c r="E7" s="45" t="s">
        <v>29</v>
      </c>
      <c r="F7" s="8" t="s">
        <v>30</v>
      </c>
      <c r="G7" s="8" t="s">
        <v>13</v>
      </c>
      <c r="H7" s="1" t="s">
        <v>31</v>
      </c>
      <c r="I7" s="1" t="s">
        <v>13</v>
      </c>
      <c r="J7" s="1" t="s">
        <v>4</v>
      </c>
      <c r="K7" s="8" t="s">
        <v>14</v>
      </c>
      <c r="L7" s="46" t="s">
        <v>32</v>
      </c>
      <c r="M7" s="1" t="s">
        <v>33</v>
      </c>
      <c r="N7" s="1" t="s">
        <v>49</v>
      </c>
      <c r="O7" s="1" t="s">
        <v>33</v>
      </c>
      <c r="P7" s="1" t="s">
        <v>34</v>
      </c>
      <c r="Q7" s="1" t="s">
        <v>15</v>
      </c>
      <c r="R7" s="1" t="s">
        <v>35</v>
      </c>
      <c r="S7" s="2" t="s">
        <v>16</v>
      </c>
      <c r="T7" s="3" t="s">
        <v>36</v>
      </c>
      <c r="U7" s="3" t="s">
        <v>37</v>
      </c>
      <c r="V7" s="3" t="s">
        <v>38</v>
      </c>
      <c r="W7" s="42" t="s">
        <v>39</v>
      </c>
      <c r="X7" s="3" t="s">
        <v>40</v>
      </c>
      <c r="Y7" s="3" t="s">
        <v>41</v>
      </c>
      <c r="Z7" s="3" t="s">
        <v>42</v>
      </c>
      <c r="AA7" s="47" t="s">
        <v>43</v>
      </c>
      <c r="AB7" s="5" t="s">
        <v>44</v>
      </c>
      <c r="AC7" s="3" t="s">
        <v>45</v>
      </c>
      <c r="AD7" s="3" t="s">
        <v>34</v>
      </c>
      <c r="AE7" s="3" t="s">
        <v>46</v>
      </c>
      <c r="AF7" s="3" t="s">
        <v>35</v>
      </c>
      <c r="AG7" s="3" t="s">
        <v>47</v>
      </c>
      <c r="AH7" s="3" t="s">
        <v>48</v>
      </c>
    </row>
    <row r="8" spans="1:34" s="35" customFormat="1" ht="49.5" customHeight="1" thickBot="1" thickTop="1">
      <c r="A8" s="43" t="s">
        <v>21</v>
      </c>
      <c r="B8" s="10">
        <v>154</v>
      </c>
      <c r="C8" s="11">
        <v>64</v>
      </c>
      <c r="D8" s="23">
        <v>15</v>
      </c>
      <c r="E8" s="23">
        <v>7</v>
      </c>
      <c r="F8" s="11">
        <v>1</v>
      </c>
      <c r="G8" s="28">
        <v>3</v>
      </c>
      <c r="H8" s="27">
        <v>2</v>
      </c>
      <c r="I8" s="11">
        <v>1</v>
      </c>
      <c r="J8" s="36">
        <v>2</v>
      </c>
      <c r="K8" s="37">
        <v>1</v>
      </c>
      <c r="L8" s="48">
        <f>4147+3582</f>
        <v>7729</v>
      </c>
      <c r="M8" s="36">
        <f>245+1896</f>
        <v>2141</v>
      </c>
      <c r="N8" s="36">
        <f>173+261</f>
        <v>434</v>
      </c>
      <c r="O8" s="36">
        <v>0</v>
      </c>
      <c r="P8" s="36">
        <f>117+72</f>
        <v>189</v>
      </c>
      <c r="Q8" s="36">
        <f>266+107</f>
        <v>373</v>
      </c>
      <c r="R8" s="36">
        <f>309+531</f>
        <v>840</v>
      </c>
      <c r="S8" s="40">
        <f>497+511</f>
        <v>1008</v>
      </c>
      <c r="T8" s="48">
        <v>259</v>
      </c>
      <c r="U8" s="36">
        <v>242</v>
      </c>
      <c r="V8" s="37">
        <v>16</v>
      </c>
      <c r="W8" s="48">
        <v>0</v>
      </c>
      <c r="X8" s="11">
        <v>0</v>
      </c>
      <c r="Y8" s="11">
        <v>0</v>
      </c>
      <c r="Z8" s="11">
        <v>0</v>
      </c>
      <c r="AA8" s="12">
        <v>0</v>
      </c>
      <c r="AB8" s="10">
        <v>4</v>
      </c>
      <c r="AC8" s="36">
        <v>133</v>
      </c>
      <c r="AD8" s="36">
        <v>0</v>
      </c>
      <c r="AE8" s="36">
        <v>0</v>
      </c>
      <c r="AF8" s="36">
        <v>0</v>
      </c>
      <c r="AG8" s="36">
        <v>0</v>
      </c>
      <c r="AH8" s="51">
        <v>0</v>
      </c>
    </row>
    <row r="9" spans="1:34" s="35" customFormat="1" ht="49.5" customHeight="1" thickBot="1" thickTop="1">
      <c r="A9" s="43" t="s">
        <v>28</v>
      </c>
      <c r="B9" s="13">
        <v>146</v>
      </c>
      <c r="C9" s="14">
        <v>53</v>
      </c>
      <c r="D9" s="24">
        <v>37</v>
      </c>
      <c r="E9" s="24">
        <v>4</v>
      </c>
      <c r="F9" s="14">
        <v>1</v>
      </c>
      <c r="G9" s="30">
        <v>1</v>
      </c>
      <c r="H9" s="29">
        <v>6</v>
      </c>
      <c r="I9" s="14">
        <v>1</v>
      </c>
      <c r="J9" s="14">
        <v>1</v>
      </c>
      <c r="K9" s="21">
        <v>0</v>
      </c>
      <c r="L9" s="13">
        <f>6830+2595</f>
        <v>9425</v>
      </c>
      <c r="M9" s="14">
        <f>141+634</f>
        <v>775</v>
      </c>
      <c r="N9" s="14">
        <f>101+12</f>
        <v>113</v>
      </c>
      <c r="O9" s="14">
        <v>3</v>
      </c>
      <c r="P9" s="14">
        <f>257+60</f>
        <v>317</v>
      </c>
      <c r="Q9" s="14">
        <f>162+82</f>
        <v>244</v>
      </c>
      <c r="R9" s="14">
        <f>339+68</f>
        <v>407</v>
      </c>
      <c r="S9" s="14">
        <f>606+17</f>
        <v>623</v>
      </c>
      <c r="T9" s="13">
        <v>120</v>
      </c>
      <c r="U9" s="14">
        <v>10</v>
      </c>
      <c r="V9" s="14">
        <v>52</v>
      </c>
      <c r="W9" s="13">
        <v>0</v>
      </c>
      <c r="X9" s="14">
        <v>0</v>
      </c>
      <c r="Y9" s="14">
        <v>0</v>
      </c>
      <c r="Z9" s="14">
        <v>0</v>
      </c>
      <c r="AA9" s="15">
        <v>0</v>
      </c>
      <c r="AB9" s="13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</row>
    <row r="10" spans="1:35" s="35" customFormat="1" ht="49.5" customHeight="1" thickBot="1" thickTop="1">
      <c r="A10" s="43" t="s">
        <v>22</v>
      </c>
      <c r="B10" s="13">
        <v>129</v>
      </c>
      <c r="C10" s="14">
        <v>65</v>
      </c>
      <c r="D10" s="24">
        <v>35</v>
      </c>
      <c r="E10" s="24">
        <v>0</v>
      </c>
      <c r="F10" s="14">
        <v>0</v>
      </c>
      <c r="G10" s="30">
        <v>1</v>
      </c>
      <c r="H10" s="29">
        <v>0</v>
      </c>
      <c r="I10" s="14">
        <v>2</v>
      </c>
      <c r="J10" s="14">
        <v>0</v>
      </c>
      <c r="K10" s="21">
        <v>0</v>
      </c>
      <c r="L10" s="13">
        <f>4042+2057</f>
        <v>6099</v>
      </c>
      <c r="M10" s="14">
        <f>169+657</f>
        <v>826</v>
      </c>
      <c r="N10" s="14">
        <f>722+378</f>
        <v>1100</v>
      </c>
      <c r="O10" s="14">
        <f>25+17</f>
        <v>42</v>
      </c>
      <c r="P10" s="14">
        <v>42</v>
      </c>
      <c r="Q10" s="14">
        <f>216+25</f>
        <v>241</v>
      </c>
      <c r="R10" s="14">
        <f>294+162</f>
        <v>456</v>
      </c>
      <c r="S10" s="14">
        <f>170+191</f>
        <v>361</v>
      </c>
      <c r="T10" s="13">
        <v>40</v>
      </c>
      <c r="U10" s="14">
        <v>0</v>
      </c>
      <c r="V10" s="14">
        <v>0</v>
      </c>
      <c r="W10" s="13">
        <v>0</v>
      </c>
      <c r="X10" s="14">
        <v>0</v>
      </c>
      <c r="Y10" s="14">
        <v>0</v>
      </c>
      <c r="Z10" s="14">
        <v>0</v>
      </c>
      <c r="AA10" s="15">
        <v>0</v>
      </c>
      <c r="AB10" s="13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34"/>
    </row>
    <row r="11" spans="1:34" s="35" customFormat="1" ht="49.5" customHeight="1" thickBot="1" thickTop="1">
      <c r="A11" s="43" t="s">
        <v>23</v>
      </c>
      <c r="B11" s="13">
        <v>132</v>
      </c>
      <c r="C11" s="14">
        <v>67</v>
      </c>
      <c r="D11" s="24">
        <v>43</v>
      </c>
      <c r="E11" s="24">
        <v>2</v>
      </c>
      <c r="F11" s="14">
        <v>0</v>
      </c>
      <c r="G11" s="30">
        <v>0</v>
      </c>
      <c r="H11" s="29">
        <v>0</v>
      </c>
      <c r="I11" s="14">
        <v>1</v>
      </c>
      <c r="J11" s="14">
        <v>0</v>
      </c>
      <c r="K11" s="21">
        <v>2</v>
      </c>
      <c r="L11" s="13">
        <f>3919+917</f>
        <v>4836</v>
      </c>
      <c r="M11" s="14">
        <f>80+361</f>
        <v>441</v>
      </c>
      <c r="N11" s="14">
        <f>266+129</f>
        <v>395</v>
      </c>
      <c r="O11" s="14">
        <v>20</v>
      </c>
      <c r="P11" s="14">
        <f>46+3</f>
        <v>49</v>
      </c>
      <c r="Q11" s="14">
        <f>165+41</f>
        <v>206</v>
      </c>
      <c r="R11" s="14">
        <f>20+62</f>
        <v>82</v>
      </c>
      <c r="S11" s="14">
        <f>51+10</f>
        <v>61</v>
      </c>
      <c r="T11" s="13">
        <v>31</v>
      </c>
      <c r="U11" s="14">
        <v>0</v>
      </c>
      <c r="V11" s="14">
        <v>9</v>
      </c>
      <c r="W11" s="13">
        <v>0</v>
      </c>
      <c r="X11" s="14">
        <v>0</v>
      </c>
      <c r="Y11" s="14">
        <v>0</v>
      </c>
      <c r="Z11" s="14">
        <v>0</v>
      </c>
      <c r="AA11" s="15">
        <v>0</v>
      </c>
      <c r="AB11" s="13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</row>
    <row r="12" spans="1:34" s="35" customFormat="1" ht="49.5" customHeight="1" thickBot="1" thickTop="1">
      <c r="A12" s="43" t="s">
        <v>24</v>
      </c>
      <c r="B12" s="13">
        <v>112</v>
      </c>
      <c r="C12" s="14">
        <v>35</v>
      </c>
      <c r="D12" s="24">
        <v>7</v>
      </c>
      <c r="E12" s="24">
        <v>2</v>
      </c>
      <c r="F12" s="14">
        <v>0</v>
      </c>
      <c r="G12" s="30">
        <v>0</v>
      </c>
      <c r="H12" s="29">
        <v>0</v>
      </c>
      <c r="I12" s="14">
        <v>1</v>
      </c>
      <c r="J12" s="14">
        <v>1</v>
      </c>
      <c r="K12" s="21">
        <v>0</v>
      </c>
      <c r="L12" s="13">
        <f>5158+932</f>
        <v>6090</v>
      </c>
      <c r="M12" s="14">
        <f>256+100</f>
        <v>356</v>
      </c>
      <c r="N12" s="14">
        <f>205+58</f>
        <v>263</v>
      </c>
      <c r="O12" s="14">
        <v>0</v>
      </c>
      <c r="P12" s="14">
        <f>21+4</f>
        <v>25</v>
      </c>
      <c r="Q12" s="14">
        <f>56+21</f>
        <v>77</v>
      </c>
      <c r="R12" s="14">
        <v>85</v>
      </c>
      <c r="S12" s="14">
        <f>47+33</f>
        <v>80</v>
      </c>
      <c r="T12" s="13">
        <v>906</v>
      </c>
      <c r="U12" s="14">
        <v>24</v>
      </c>
      <c r="V12" s="14">
        <v>48</v>
      </c>
      <c r="W12" s="13">
        <v>0</v>
      </c>
      <c r="X12" s="14">
        <v>0</v>
      </c>
      <c r="Y12" s="14">
        <v>0</v>
      </c>
      <c r="Z12" s="14">
        <v>0</v>
      </c>
      <c r="AA12" s="15">
        <v>0</v>
      </c>
      <c r="AB12" s="13">
        <v>1</v>
      </c>
      <c r="AC12" s="14">
        <v>30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</row>
    <row r="13" spans="1:35" s="35" customFormat="1" ht="49.5" customHeight="1" thickBot="1" thickTop="1">
      <c r="A13" s="44" t="s">
        <v>25</v>
      </c>
      <c r="B13" s="13">
        <v>209</v>
      </c>
      <c r="C13" s="14">
        <v>112</v>
      </c>
      <c r="D13" s="24">
        <v>35</v>
      </c>
      <c r="E13" s="24">
        <v>6</v>
      </c>
      <c r="F13" s="14">
        <v>0</v>
      </c>
      <c r="G13" s="30">
        <v>1</v>
      </c>
      <c r="H13" s="29">
        <v>0</v>
      </c>
      <c r="I13" s="14">
        <v>0</v>
      </c>
      <c r="J13" s="14">
        <v>0</v>
      </c>
      <c r="K13" s="21">
        <v>0</v>
      </c>
      <c r="L13" s="13">
        <f>2969+533</f>
        <v>3502</v>
      </c>
      <c r="M13" s="14">
        <f>167+29</f>
        <v>196</v>
      </c>
      <c r="N13" s="14">
        <f>350+15</f>
        <v>365</v>
      </c>
      <c r="O13" s="14">
        <v>4</v>
      </c>
      <c r="P13" s="14">
        <v>160</v>
      </c>
      <c r="Q13" s="14">
        <f>248+13</f>
        <v>261</v>
      </c>
      <c r="R13" s="14">
        <f>430+58</f>
        <v>488</v>
      </c>
      <c r="S13" s="14">
        <f>135+110</f>
        <v>245</v>
      </c>
      <c r="T13" s="13">
        <v>757</v>
      </c>
      <c r="U13" s="14">
        <v>32</v>
      </c>
      <c r="V13" s="14">
        <v>25</v>
      </c>
      <c r="W13" s="13">
        <v>0</v>
      </c>
      <c r="X13" s="14">
        <v>0</v>
      </c>
      <c r="Y13" s="14">
        <v>0</v>
      </c>
      <c r="Z13" s="14">
        <v>0</v>
      </c>
      <c r="AA13" s="15">
        <v>0</v>
      </c>
      <c r="AB13" s="13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34"/>
    </row>
    <row r="14" spans="1:35" s="35" customFormat="1" ht="49.5" customHeight="1" thickBot="1" thickTop="1">
      <c r="A14" s="43" t="s">
        <v>26</v>
      </c>
      <c r="B14" s="13">
        <v>134</v>
      </c>
      <c r="C14" s="14">
        <v>88</v>
      </c>
      <c r="D14" s="24">
        <v>36</v>
      </c>
      <c r="E14" s="24">
        <v>3</v>
      </c>
      <c r="F14" s="14">
        <v>1</v>
      </c>
      <c r="G14" s="30">
        <v>6</v>
      </c>
      <c r="H14" s="29">
        <v>0</v>
      </c>
      <c r="I14" s="14">
        <v>0</v>
      </c>
      <c r="J14" s="14">
        <v>3</v>
      </c>
      <c r="K14" s="21">
        <v>2</v>
      </c>
      <c r="L14" s="13">
        <f>4417+1345</f>
        <v>5762</v>
      </c>
      <c r="M14" s="14">
        <f>415+357</f>
        <v>772</v>
      </c>
      <c r="N14" s="14">
        <f>426+222</f>
        <v>648</v>
      </c>
      <c r="O14" s="14">
        <f>13+16</f>
        <v>29</v>
      </c>
      <c r="P14" s="14">
        <f>134+29</f>
        <v>163</v>
      </c>
      <c r="Q14" s="14">
        <f>114+75</f>
        <v>189</v>
      </c>
      <c r="R14" s="14">
        <f>110+112</f>
        <v>222</v>
      </c>
      <c r="S14" s="14">
        <f>68+11</f>
        <v>79</v>
      </c>
      <c r="T14" s="13">
        <v>69</v>
      </c>
      <c r="U14" s="14">
        <v>7</v>
      </c>
      <c r="V14" s="14">
        <v>7</v>
      </c>
      <c r="W14" s="13">
        <v>0</v>
      </c>
      <c r="X14" s="14">
        <v>0</v>
      </c>
      <c r="Y14" s="14">
        <v>0</v>
      </c>
      <c r="Z14" s="14">
        <v>0</v>
      </c>
      <c r="AA14" s="15">
        <v>0</v>
      </c>
      <c r="AB14" s="13">
        <v>1</v>
      </c>
      <c r="AC14" s="14">
        <v>80</v>
      </c>
      <c r="AD14" s="14">
        <v>0</v>
      </c>
      <c r="AE14" s="14">
        <v>0</v>
      </c>
      <c r="AF14" s="14">
        <v>0</v>
      </c>
      <c r="AG14" s="14">
        <v>14</v>
      </c>
      <c r="AH14" s="15">
        <v>0</v>
      </c>
      <c r="AI14" s="34"/>
    </row>
    <row r="15" spans="1:34" s="35" customFormat="1" ht="49.5" customHeight="1" thickBot="1" thickTop="1">
      <c r="A15" s="43" t="s">
        <v>27</v>
      </c>
      <c r="B15" s="16">
        <v>199</v>
      </c>
      <c r="C15" s="17">
        <v>90</v>
      </c>
      <c r="D15" s="25">
        <v>62</v>
      </c>
      <c r="E15" s="25">
        <v>10</v>
      </c>
      <c r="F15" s="17">
        <v>0</v>
      </c>
      <c r="G15" s="32">
        <v>7</v>
      </c>
      <c r="H15" s="31">
        <v>3</v>
      </c>
      <c r="I15" s="17">
        <v>2</v>
      </c>
      <c r="J15" s="38">
        <v>4</v>
      </c>
      <c r="K15" s="39">
        <v>0</v>
      </c>
      <c r="L15" s="49">
        <f>7879+2359</f>
        <v>10238</v>
      </c>
      <c r="M15" s="38">
        <f>172+62</f>
        <v>234</v>
      </c>
      <c r="N15" s="38">
        <f>748+796</f>
        <v>1544</v>
      </c>
      <c r="O15" s="38">
        <v>0</v>
      </c>
      <c r="P15" s="38">
        <f>69+1</f>
        <v>70</v>
      </c>
      <c r="Q15" s="38">
        <f>295+113</f>
        <v>408</v>
      </c>
      <c r="R15" s="38">
        <f>294+375</f>
        <v>669</v>
      </c>
      <c r="S15" s="41">
        <f>292+238</f>
        <v>530</v>
      </c>
      <c r="T15" s="49">
        <v>4653</v>
      </c>
      <c r="U15" s="38">
        <v>119</v>
      </c>
      <c r="V15" s="39">
        <v>326</v>
      </c>
      <c r="W15" s="49">
        <v>0</v>
      </c>
      <c r="X15" s="17">
        <v>0</v>
      </c>
      <c r="Y15" s="17">
        <v>0</v>
      </c>
      <c r="Z15" s="17">
        <v>0</v>
      </c>
      <c r="AA15" s="50">
        <v>0</v>
      </c>
      <c r="AB15" s="16">
        <v>10</v>
      </c>
      <c r="AC15" s="38">
        <v>297</v>
      </c>
      <c r="AD15" s="38">
        <v>0</v>
      </c>
      <c r="AE15" s="38">
        <v>0</v>
      </c>
      <c r="AF15" s="38">
        <v>0</v>
      </c>
      <c r="AG15" s="38">
        <v>0</v>
      </c>
      <c r="AH15" s="52">
        <v>0</v>
      </c>
    </row>
    <row r="16" spans="1:34" s="35" customFormat="1" ht="76.5" customHeight="1" thickBot="1" thickTop="1">
      <c r="A16" s="9" t="s">
        <v>3</v>
      </c>
      <c r="B16" s="18">
        <f aca="true" t="shared" si="0" ref="B16:I16">SUM(B8:B15)</f>
        <v>1215</v>
      </c>
      <c r="C16" s="19">
        <f t="shared" si="0"/>
        <v>574</v>
      </c>
      <c r="D16" s="19">
        <f t="shared" si="0"/>
        <v>270</v>
      </c>
      <c r="E16" s="26">
        <f t="shared" si="0"/>
        <v>34</v>
      </c>
      <c r="F16" s="19">
        <f t="shared" si="0"/>
        <v>3</v>
      </c>
      <c r="G16" s="22">
        <f t="shared" si="0"/>
        <v>19</v>
      </c>
      <c r="H16" s="18">
        <f t="shared" si="0"/>
        <v>11</v>
      </c>
      <c r="I16" s="19">
        <f t="shared" si="0"/>
        <v>8</v>
      </c>
      <c r="J16" s="19">
        <f aca="true" t="shared" si="1" ref="J16:V16">SUM(J8:J15)</f>
        <v>11</v>
      </c>
      <c r="K16" s="20">
        <f t="shared" si="1"/>
        <v>5</v>
      </c>
      <c r="L16" s="26">
        <f t="shared" si="1"/>
        <v>53681</v>
      </c>
      <c r="M16" s="19">
        <f t="shared" si="1"/>
        <v>5741</v>
      </c>
      <c r="N16" s="19">
        <f t="shared" si="1"/>
        <v>4862</v>
      </c>
      <c r="O16" s="19">
        <f t="shared" si="1"/>
        <v>98</v>
      </c>
      <c r="P16" s="19">
        <f t="shared" si="1"/>
        <v>1015</v>
      </c>
      <c r="Q16" s="19">
        <f t="shared" si="1"/>
        <v>1999</v>
      </c>
      <c r="R16" s="19">
        <f t="shared" si="1"/>
        <v>3249</v>
      </c>
      <c r="S16" s="33">
        <f t="shared" si="1"/>
        <v>2987</v>
      </c>
      <c r="T16" s="18">
        <f t="shared" si="1"/>
        <v>6835</v>
      </c>
      <c r="U16" s="19">
        <f t="shared" si="1"/>
        <v>434</v>
      </c>
      <c r="V16" s="20">
        <f t="shared" si="1"/>
        <v>483</v>
      </c>
      <c r="W16" s="26">
        <f aca="true" t="shared" si="2" ref="W16:AB16">SUM(W8:W15)</f>
        <v>0</v>
      </c>
      <c r="X16" s="19">
        <f t="shared" si="2"/>
        <v>0</v>
      </c>
      <c r="Y16" s="19">
        <f t="shared" si="2"/>
        <v>0</v>
      </c>
      <c r="Z16" s="19">
        <f t="shared" si="2"/>
        <v>0</v>
      </c>
      <c r="AA16" s="22">
        <f t="shared" si="2"/>
        <v>0</v>
      </c>
      <c r="AB16" s="18">
        <f t="shared" si="2"/>
        <v>16</v>
      </c>
      <c r="AC16" s="19">
        <f aca="true" t="shared" si="3" ref="AC16:AH16">SUM(AC8:AC15)</f>
        <v>540</v>
      </c>
      <c r="AD16" s="19">
        <f t="shared" si="3"/>
        <v>0</v>
      </c>
      <c r="AE16" s="19">
        <f t="shared" si="3"/>
        <v>0</v>
      </c>
      <c r="AF16" s="19">
        <f t="shared" si="3"/>
        <v>0</v>
      </c>
      <c r="AG16" s="19">
        <f t="shared" si="3"/>
        <v>14</v>
      </c>
      <c r="AH16" s="20">
        <f t="shared" si="3"/>
        <v>0</v>
      </c>
    </row>
    <row r="17" ht="13.5" thickTop="1"/>
    <row r="18" ht="15">
      <c r="B18" s="7" t="s">
        <v>7</v>
      </c>
    </row>
    <row r="19" spans="2:35" ht="14.25">
      <c r="B19" s="6" t="s">
        <v>9</v>
      </c>
      <c r="C19" s="6"/>
      <c r="D19" s="6"/>
      <c r="E19" s="6"/>
      <c r="F19" s="6"/>
      <c r="G19" s="6"/>
      <c r="H19" s="6"/>
      <c r="I19" s="6"/>
      <c r="J19" s="6"/>
      <c r="K19" s="6" t="s"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4.25">
      <c r="A20" s="6"/>
      <c r="B20" s="6" t="s">
        <v>8</v>
      </c>
      <c r="C20" s="6"/>
      <c r="D20" s="6"/>
      <c r="E20" s="6"/>
      <c r="F20" s="6"/>
      <c r="G20" s="6"/>
      <c r="H20" s="6"/>
      <c r="I20" s="6"/>
      <c r="J20" s="6"/>
      <c r="K20" s="6" t="s">
        <v>10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>
      <c r="A21" s="6"/>
      <c r="B21" s="6" t="s">
        <v>11</v>
      </c>
      <c r="C21" s="6"/>
      <c r="D21" s="6"/>
      <c r="E21" s="6"/>
      <c r="F21" s="6"/>
      <c r="G21" s="6"/>
      <c r="H21" s="6"/>
      <c r="I21" s="6"/>
      <c r="J21" s="6"/>
      <c r="K21" s="6" t="s">
        <v>19</v>
      </c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>
      <c r="A22" s="6"/>
      <c r="B22" s="6" t="s">
        <v>18</v>
      </c>
      <c r="C22" s="6"/>
      <c r="D22" s="6"/>
      <c r="E22" s="6"/>
      <c r="F22" s="6"/>
      <c r="G22" s="6"/>
      <c r="H22" s="6"/>
      <c r="I22" s="6"/>
      <c r="J22" s="6"/>
      <c r="K22" s="6" t="s">
        <v>17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</sheetData>
  <mergeCells count="12">
    <mergeCell ref="A3:AH3"/>
    <mergeCell ref="A4:AH4"/>
    <mergeCell ref="H6:K6"/>
    <mergeCell ref="A6:A7"/>
    <mergeCell ref="B6:B7"/>
    <mergeCell ref="C6:C7"/>
    <mergeCell ref="AB6:AH6"/>
    <mergeCell ref="W6:AA6"/>
    <mergeCell ref="D6:D7"/>
    <mergeCell ref="L6:S6"/>
    <mergeCell ref="T6:V6"/>
    <mergeCell ref="E6:G6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9" r:id="rId1"/>
  <headerFooter alignWithMargins="0">
    <oddHeader>&amp;L&amp;"Arial CE,Tučná kurzíva"&amp;14Tabuľka 2.4.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I22"/>
  <sheetViews>
    <sheetView zoomScale="75" zoomScaleNormal="75" workbookViewId="0" topLeftCell="A1">
      <selection activeCell="N7" sqref="N7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5.125" style="0" customWidth="1"/>
    <col min="4" max="4" width="6.125" style="0" customWidth="1"/>
    <col min="5" max="5" width="5.375" style="0" customWidth="1"/>
    <col min="6" max="6" width="4.875" style="0" customWidth="1"/>
    <col min="7" max="7" width="7.00390625" style="0" customWidth="1"/>
    <col min="8" max="8" width="5.125" style="0" customWidth="1"/>
    <col min="9" max="9" width="5.75390625" style="0" customWidth="1"/>
    <col min="10" max="11" width="5.375" style="0" customWidth="1"/>
    <col min="12" max="12" width="10.25390625" style="0" customWidth="1"/>
    <col min="13" max="13" width="7.875" style="0" customWidth="1"/>
    <col min="14" max="14" width="7.75390625" style="0" customWidth="1"/>
    <col min="15" max="15" width="6.625" style="0" customWidth="1"/>
    <col min="16" max="16" width="6.375" style="0" customWidth="1"/>
    <col min="17" max="17" width="6.625" style="0" customWidth="1"/>
    <col min="18" max="18" width="6.375" style="0" customWidth="1"/>
    <col min="19" max="19" width="6.625" style="0" customWidth="1"/>
    <col min="20" max="20" width="6.375" style="0" customWidth="1"/>
    <col min="21" max="21" width="6.00390625" style="0" customWidth="1"/>
    <col min="22" max="22" width="6.625" style="0" customWidth="1"/>
    <col min="23" max="25" width="5.75390625" style="0" customWidth="1"/>
    <col min="26" max="27" width="4.375" style="0" customWidth="1"/>
    <col min="28" max="28" width="5.625" style="0" customWidth="1"/>
    <col min="29" max="29" width="6.875" style="0" customWidth="1"/>
    <col min="30" max="30" width="5.625" style="0" customWidth="1"/>
    <col min="31" max="31" width="4.875" style="0" customWidth="1"/>
    <col min="32" max="32" width="5.25390625" style="0" customWidth="1"/>
    <col min="33" max="33" width="5.00390625" style="0" customWidth="1"/>
    <col min="34" max="34" width="5.625" style="0" customWidth="1"/>
  </cols>
  <sheetData>
    <row r="3" spans="1:34" ht="20.25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8.75">
      <c r="A4" s="93" t="s">
        <v>61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7:25" ht="13.5" thickBot="1">
      <c r="Q5" s="4"/>
      <c r="R5" s="4"/>
      <c r="S5" s="4"/>
      <c r="T5" s="4"/>
      <c r="U5" s="4"/>
      <c r="V5" s="4"/>
      <c r="W5" s="4"/>
      <c r="X5" s="4"/>
      <c r="Y5" s="4"/>
    </row>
    <row r="6" spans="1:34" ht="24" customHeight="1" thickBot="1" thickTop="1">
      <c r="A6" s="97" t="s">
        <v>0</v>
      </c>
      <c r="B6" s="99" t="s">
        <v>1</v>
      </c>
      <c r="C6" s="101" t="s">
        <v>2</v>
      </c>
      <c r="D6" s="103" t="s">
        <v>54</v>
      </c>
      <c r="E6" s="89" t="s">
        <v>20</v>
      </c>
      <c r="F6" s="90"/>
      <c r="G6" s="91"/>
      <c r="H6" s="95" t="s">
        <v>5</v>
      </c>
      <c r="I6" s="89"/>
      <c r="J6" s="89"/>
      <c r="K6" s="96"/>
      <c r="L6" s="109" t="s">
        <v>50</v>
      </c>
      <c r="M6" s="110"/>
      <c r="N6" s="110"/>
      <c r="O6" s="110"/>
      <c r="P6" s="110"/>
      <c r="Q6" s="110"/>
      <c r="R6" s="110"/>
      <c r="S6" s="111"/>
      <c r="T6" s="105" t="s">
        <v>6</v>
      </c>
      <c r="U6" s="106"/>
      <c r="V6" s="106"/>
      <c r="W6" s="108" t="s">
        <v>52</v>
      </c>
      <c r="X6" s="108"/>
      <c r="Y6" s="108"/>
      <c r="Z6" s="108"/>
      <c r="AA6" s="108"/>
      <c r="AB6" s="105" t="s">
        <v>53</v>
      </c>
      <c r="AC6" s="106"/>
      <c r="AD6" s="106"/>
      <c r="AE6" s="106"/>
      <c r="AF6" s="106"/>
      <c r="AG6" s="106"/>
      <c r="AH6" s="107"/>
    </row>
    <row r="7" spans="1:34" ht="129" customHeight="1" thickBot="1" thickTop="1">
      <c r="A7" s="98"/>
      <c r="B7" s="100"/>
      <c r="C7" s="102"/>
      <c r="D7" s="104"/>
      <c r="E7" s="45" t="s">
        <v>29</v>
      </c>
      <c r="F7" s="8" t="s">
        <v>30</v>
      </c>
      <c r="G7" s="8" t="s">
        <v>13</v>
      </c>
      <c r="H7" s="1" t="s">
        <v>31</v>
      </c>
      <c r="I7" s="1" t="s">
        <v>13</v>
      </c>
      <c r="J7" s="1" t="s">
        <v>4</v>
      </c>
      <c r="K7" s="8" t="s">
        <v>14</v>
      </c>
      <c r="L7" s="46" t="s">
        <v>32</v>
      </c>
      <c r="M7" s="1" t="s">
        <v>33</v>
      </c>
      <c r="N7" s="1" t="s">
        <v>49</v>
      </c>
      <c r="O7" s="1" t="s">
        <v>33</v>
      </c>
      <c r="P7" s="1" t="s">
        <v>34</v>
      </c>
      <c r="Q7" s="1" t="s">
        <v>15</v>
      </c>
      <c r="R7" s="1" t="s">
        <v>35</v>
      </c>
      <c r="S7" s="2" t="s">
        <v>16</v>
      </c>
      <c r="T7" s="3" t="s">
        <v>36</v>
      </c>
      <c r="U7" s="3" t="s">
        <v>37</v>
      </c>
      <c r="V7" s="3" t="s">
        <v>38</v>
      </c>
      <c r="W7" s="42" t="s">
        <v>39</v>
      </c>
      <c r="X7" s="3" t="s">
        <v>40</v>
      </c>
      <c r="Y7" s="3" t="s">
        <v>41</v>
      </c>
      <c r="Z7" s="3" t="s">
        <v>42</v>
      </c>
      <c r="AA7" s="47" t="s">
        <v>43</v>
      </c>
      <c r="AB7" s="5" t="s">
        <v>44</v>
      </c>
      <c r="AC7" s="3" t="s">
        <v>45</v>
      </c>
      <c r="AD7" s="3" t="s">
        <v>34</v>
      </c>
      <c r="AE7" s="3" t="s">
        <v>46</v>
      </c>
      <c r="AF7" s="3" t="s">
        <v>35</v>
      </c>
      <c r="AG7" s="3" t="s">
        <v>47</v>
      </c>
      <c r="AH7" s="3" t="s">
        <v>48</v>
      </c>
    </row>
    <row r="8" spans="1:34" s="35" customFormat="1" ht="49.5" customHeight="1" thickBot="1" thickTop="1">
      <c r="A8" s="43" t="s">
        <v>21</v>
      </c>
      <c r="B8" s="10">
        <v>211</v>
      </c>
      <c r="C8" s="11">
        <v>77</v>
      </c>
      <c r="D8" s="23">
        <v>24</v>
      </c>
      <c r="E8" s="23">
        <v>5</v>
      </c>
      <c r="F8" s="11">
        <v>0</v>
      </c>
      <c r="G8" s="28">
        <v>2</v>
      </c>
      <c r="H8" s="27">
        <v>1</v>
      </c>
      <c r="I8" s="11">
        <v>4</v>
      </c>
      <c r="J8" s="36">
        <v>0</v>
      </c>
      <c r="K8" s="37">
        <v>1</v>
      </c>
      <c r="L8" s="48">
        <f>5612+4932</f>
        <v>10544</v>
      </c>
      <c r="M8" s="36">
        <f>356+1375</f>
        <v>1731</v>
      </c>
      <c r="N8" s="36">
        <f>302+556</f>
        <v>858</v>
      </c>
      <c r="O8" s="36">
        <f>10+38</f>
        <v>48</v>
      </c>
      <c r="P8" s="36">
        <f>136+162</f>
        <v>298</v>
      </c>
      <c r="Q8" s="36">
        <f>602+161</f>
        <v>763</v>
      </c>
      <c r="R8" s="36">
        <f>305+364</f>
        <v>669</v>
      </c>
      <c r="S8" s="40">
        <f>282+654</f>
        <v>936</v>
      </c>
      <c r="T8" s="48">
        <v>349</v>
      </c>
      <c r="U8" s="36">
        <v>34</v>
      </c>
      <c r="V8" s="37">
        <v>1</v>
      </c>
      <c r="W8" s="48">
        <v>0</v>
      </c>
      <c r="X8" s="11">
        <v>0</v>
      </c>
      <c r="Y8" s="11">
        <v>0</v>
      </c>
      <c r="Z8" s="11">
        <v>0</v>
      </c>
      <c r="AA8" s="12">
        <v>0</v>
      </c>
      <c r="AB8" s="10">
        <v>8</v>
      </c>
      <c r="AC8" s="36">
        <v>78</v>
      </c>
      <c r="AD8" s="36">
        <v>3</v>
      </c>
      <c r="AE8" s="36">
        <v>1</v>
      </c>
      <c r="AF8" s="36">
        <v>0</v>
      </c>
      <c r="AG8" s="36">
        <v>8</v>
      </c>
      <c r="AH8" s="51">
        <v>0</v>
      </c>
    </row>
    <row r="9" spans="1:34" s="35" customFormat="1" ht="49.5" customHeight="1" thickBot="1" thickTop="1">
      <c r="A9" s="43" t="s">
        <v>28</v>
      </c>
      <c r="B9" s="13">
        <v>142</v>
      </c>
      <c r="C9" s="14">
        <v>52</v>
      </c>
      <c r="D9" s="24">
        <v>26</v>
      </c>
      <c r="E9" s="24">
        <v>4</v>
      </c>
      <c r="F9" s="14">
        <v>2</v>
      </c>
      <c r="G9" s="30">
        <v>2</v>
      </c>
      <c r="H9" s="29">
        <v>4</v>
      </c>
      <c r="I9" s="14">
        <v>1</v>
      </c>
      <c r="J9" s="14">
        <v>3</v>
      </c>
      <c r="K9" s="21">
        <v>0</v>
      </c>
      <c r="L9" s="13">
        <f>6773+3350</f>
        <v>10123</v>
      </c>
      <c r="M9" s="14">
        <f>248+810</f>
        <v>1058</v>
      </c>
      <c r="N9" s="14">
        <f>81+191</f>
        <v>272</v>
      </c>
      <c r="O9" s="14">
        <v>35</v>
      </c>
      <c r="P9" s="14">
        <f>110+401</f>
        <v>511</v>
      </c>
      <c r="Q9" s="14">
        <f>276+215</f>
        <v>491</v>
      </c>
      <c r="R9" s="14">
        <f>155+170</f>
        <v>325</v>
      </c>
      <c r="S9" s="14">
        <f>308+52</f>
        <v>360</v>
      </c>
      <c r="T9" s="13">
        <v>266</v>
      </c>
      <c r="U9" s="14">
        <v>101</v>
      </c>
      <c r="V9" s="14">
        <v>111</v>
      </c>
      <c r="W9" s="13">
        <v>0</v>
      </c>
      <c r="X9" s="14">
        <v>0</v>
      </c>
      <c r="Y9" s="14">
        <v>0</v>
      </c>
      <c r="Z9" s="14">
        <v>0</v>
      </c>
      <c r="AA9" s="15">
        <v>0</v>
      </c>
      <c r="AB9" s="13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</row>
    <row r="10" spans="1:35" s="35" customFormat="1" ht="49.5" customHeight="1" thickBot="1" thickTop="1">
      <c r="A10" s="43" t="s">
        <v>22</v>
      </c>
      <c r="B10" s="13">
        <v>169</v>
      </c>
      <c r="C10" s="14">
        <v>100</v>
      </c>
      <c r="D10" s="24">
        <v>35</v>
      </c>
      <c r="E10" s="24">
        <v>4</v>
      </c>
      <c r="F10" s="14">
        <v>0</v>
      </c>
      <c r="G10" s="30">
        <v>4</v>
      </c>
      <c r="H10" s="29">
        <v>0</v>
      </c>
      <c r="I10" s="14">
        <v>2</v>
      </c>
      <c r="J10" s="14">
        <v>1</v>
      </c>
      <c r="K10" s="21">
        <v>0</v>
      </c>
      <c r="L10" s="13">
        <f>4468+3592</f>
        <v>8060</v>
      </c>
      <c r="M10" s="14">
        <f>230+584</f>
        <v>814</v>
      </c>
      <c r="N10" s="14">
        <f>1401+1291</f>
        <v>2692</v>
      </c>
      <c r="O10" s="14">
        <f>143+75</f>
        <v>218</v>
      </c>
      <c r="P10" s="14">
        <f>100+5</f>
        <v>105</v>
      </c>
      <c r="Q10" s="14">
        <f>289+82</f>
        <v>371</v>
      </c>
      <c r="R10" s="14">
        <f>619+570</f>
        <v>1189</v>
      </c>
      <c r="S10" s="14">
        <f>393+634</f>
        <v>1027</v>
      </c>
      <c r="T10" s="13">
        <v>180</v>
      </c>
      <c r="U10" s="14">
        <v>0</v>
      </c>
      <c r="V10" s="14">
        <v>31</v>
      </c>
      <c r="W10" s="13">
        <v>0</v>
      </c>
      <c r="X10" s="14">
        <v>0</v>
      </c>
      <c r="Y10" s="14">
        <v>0</v>
      </c>
      <c r="Z10" s="14">
        <v>0</v>
      </c>
      <c r="AA10" s="15">
        <v>0</v>
      </c>
      <c r="AB10" s="13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34"/>
    </row>
    <row r="11" spans="1:34" s="35" customFormat="1" ht="49.5" customHeight="1" thickBot="1" thickTop="1">
      <c r="A11" s="43" t="s">
        <v>23</v>
      </c>
      <c r="B11" s="13">
        <v>129</v>
      </c>
      <c r="C11" s="14">
        <v>51</v>
      </c>
      <c r="D11" s="24">
        <v>32</v>
      </c>
      <c r="E11" s="24">
        <v>2</v>
      </c>
      <c r="F11" s="14">
        <v>0</v>
      </c>
      <c r="G11" s="30">
        <v>0</v>
      </c>
      <c r="H11" s="29">
        <v>1</v>
      </c>
      <c r="I11" s="14">
        <v>0</v>
      </c>
      <c r="J11" s="14">
        <v>0</v>
      </c>
      <c r="K11" s="21">
        <v>0</v>
      </c>
      <c r="L11" s="13">
        <f>3237+1728</f>
        <v>4965</v>
      </c>
      <c r="M11" s="14">
        <f>234+796</f>
        <v>1030</v>
      </c>
      <c r="N11" s="14">
        <f>194+149</f>
        <v>343</v>
      </c>
      <c r="O11" s="14">
        <f>5+32</f>
        <v>37</v>
      </c>
      <c r="P11" s="14">
        <f>32+31</f>
        <v>63</v>
      </c>
      <c r="Q11" s="14">
        <f>132+68</f>
        <v>200</v>
      </c>
      <c r="R11" s="14">
        <f>26+77</f>
        <v>103</v>
      </c>
      <c r="S11" s="14">
        <v>21</v>
      </c>
      <c r="T11" s="13">
        <v>48</v>
      </c>
      <c r="U11" s="14">
        <v>0</v>
      </c>
      <c r="V11" s="14">
        <v>45</v>
      </c>
      <c r="W11" s="13">
        <v>0</v>
      </c>
      <c r="X11" s="14">
        <v>0</v>
      </c>
      <c r="Y11" s="14">
        <v>0</v>
      </c>
      <c r="Z11" s="14">
        <v>0</v>
      </c>
      <c r="AA11" s="15">
        <v>0</v>
      </c>
      <c r="AB11" s="13">
        <v>1</v>
      </c>
      <c r="AC11" s="14">
        <v>1</v>
      </c>
      <c r="AD11" s="14">
        <v>0</v>
      </c>
      <c r="AE11" s="14">
        <v>1</v>
      </c>
      <c r="AF11" s="14">
        <v>0</v>
      </c>
      <c r="AG11" s="14">
        <v>0</v>
      </c>
      <c r="AH11" s="15">
        <v>0</v>
      </c>
    </row>
    <row r="12" spans="1:34" s="35" customFormat="1" ht="49.5" customHeight="1" thickBot="1" thickTop="1">
      <c r="A12" s="43" t="s">
        <v>24</v>
      </c>
      <c r="B12" s="13">
        <v>128</v>
      </c>
      <c r="C12" s="14">
        <v>27</v>
      </c>
      <c r="D12" s="24">
        <v>8</v>
      </c>
      <c r="E12" s="24">
        <v>1</v>
      </c>
      <c r="F12" s="14">
        <v>0</v>
      </c>
      <c r="G12" s="30">
        <v>0</v>
      </c>
      <c r="H12" s="29">
        <v>0</v>
      </c>
      <c r="I12" s="14">
        <v>0</v>
      </c>
      <c r="J12" s="14">
        <v>0</v>
      </c>
      <c r="K12" s="21">
        <v>0</v>
      </c>
      <c r="L12" s="13">
        <f>2994+892</f>
        <v>3886</v>
      </c>
      <c r="M12" s="14">
        <f>18+39</f>
        <v>57</v>
      </c>
      <c r="N12" s="14">
        <f>102+102</f>
        <v>204</v>
      </c>
      <c r="O12" s="14">
        <v>9</v>
      </c>
      <c r="P12" s="14">
        <f>3+5</f>
        <v>8</v>
      </c>
      <c r="Q12" s="14">
        <f>39+17</f>
        <v>56</v>
      </c>
      <c r="R12" s="14">
        <f>46+37</f>
        <v>83</v>
      </c>
      <c r="S12" s="14">
        <f>14+79</f>
        <v>93</v>
      </c>
      <c r="T12" s="13">
        <v>645</v>
      </c>
      <c r="U12" s="14">
        <v>0</v>
      </c>
      <c r="V12" s="14">
        <v>7</v>
      </c>
      <c r="W12" s="13">
        <v>0</v>
      </c>
      <c r="X12" s="14">
        <v>37</v>
      </c>
      <c r="Y12" s="14">
        <v>0</v>
      </c>
      <c r="Z12" s="14">
        <v>0</v>
      </c>
      <c r="AA12" s="15">
        <v>0</v>
      </c>
      <c r="AB12" s="13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</row>
    <row r="13" spans="1:35" s="35" customFormat="1" ht="49.5" customHeight="1" thickBot="1" thickTop="1">
      <c r="A13" s="44" t="s">
        <v>25</v>
      </c>
      <c r="B13" s="13">
        <v>193</v>
      </c>
      <c r="C13" s="14">
        <v>102</v>
      </c>
      <c r="D13" s="24">
        <v>53</v>
      </c>
      <c r="E13" s="24">
        <v>6</v>
      </c>
      <c r="F13" s="14">
        <v>0</v>
      </c>
      <c r="G13" s="30">
        <v>3</v>
      </c>
      <c r="H13" s="29">
        <v>1</v>
      </c>
      <c r="I13" s="14">
        <v>2</v>
      </c>
      <c r="J13" s="14">
        <v>1</v>
      </c>
      <c r="K13" s="21">
        <v>1</v>
      </c>
      <c r="L13" s="13">
        <f>2186+1094</f>
        <v>3280</v>
      </c>
      <c r="M13" s="14">
        <f>115+60</f>
        <v>175</v>
      </c>
      <c r="N13" s="14">
        <f>162+42</f>
        <v>204</v>
      </c>
      <c r="O13" s="14">
        <f>5+20</f>
        <v>25</v>
      </c>
      <c r="P13" s="14">
        <f>134+25</f>
        <v>159</v>
      </c>
      <c r="Q13" s="14">
        <f>100+80</f>
        <v>180</v>
      </c>
      <c r="R13" s="14">
        <f>334+213</f>
        <v>547</v>
      </c>
      <c r="S13" s="14">
        <f>117+158</f>
        <v>275</v>
      </c>
      <c r="T13" s="13">
        <v>990</v>
      </c>
      <c r="U13" s="14">
        <v>39</v>
      </c>
      <c r="V13" s="14">
        <v>94</v>
      </c>
      <c r="W13" s="13">
        <v>0</v>
      </c>
      <c r="X13" s="14">
        <v>0</v>
      </c>
      <c r="Y13" s="14">
        <v>0</v>
      </c>
      <c r="Z13" s="14">
        <v>0</v>
      </c>
      <c r="AA13" s="15">
        <v>0</v>
      </c>
      <c r="AB13" s="13">
        <v>2</v>
      </c>
      <c r="AC13" s="14">
        <v>20</v>
      </c>
      <c r="AD13" s="14">
        <v>0</v>
      </c>
      <c r="AE13" s="14">
        <v>20</v>
      </c>
      <c r="AF13" s="14">
        <v>0</v>
      </c>
      <c r="AG13" s="14">
        <v>0</v>
      </c>
      <c r="AH13" s="15">
        <v>0</v>
      </c>
      <c r="AI13" s="34"/>
    </row>
    <row r="14" spans="1:34" s="35" customFormat="1" ht="49.5" customHeight="1" thickBot="1" thickTop="1">
      <c r="A14" s="43" t="s">
        <v>26</v>
      </c>
      <c r="B14" s="13">
        <v>121</v>
      </c>
      <c r="C14" s="14">
        <v>71</v>
      </c>
      <c r="D14" s="24">
        <v>21</v>
      </c>
      <c r="E14" s="24">
        <v>0</v>
      </c>
      <c r="F14" s="14">
        <v>0</v>
      </c>
      <c r="G14" s="30">
        <v>2</v>
      </c>
      <c r="H14" s="29">
        <v>1</v>
      </c>
      <c r="I14" s="14">
        <v>0</v>
      </c>
      <c r="J14" s="14">
        <v>3</v>
      </c>
      <c r="K14" s="21">
        <v>0</v>
      </c>
      <c r="L14" s="13">
        <f>3071+3867</f>
        <v>6938</v>
      </c>
      <c r="M14" s="14">
        <f>319+1457</f>
        <v>1776</v>
      </c>
      <c r="N14" s="14">
        <f>185+403</f>
        <v>588</v>
      </c>
      <c r="O14" s="14">
        <f>30+67</f>
        <v>97</v>
      </c>
      <c r="P14" s="14">
        <f>27+49</f>
        <v>76</v>
      </c>
      <c r="Q14" s="14">
        <f>69+140</f>
        <v>209</v>
      </c>
      <c r="R14" s="14">
        <f>50+120</f>
        <v>170</v>
      </c>
      <c r="S14" s="14">
        <f>39+87</f>
        <v>126</v>
      </c>
      <c r="T14" s="13">
        <v>72</v>
      </c>
      <c r="U14" s="14">
        <v>0</v>
      </c>
      <c r="V14" s="14">
        <v>1</v>
      </c>
      <c r="W14" s="13">
        <v>0</v>
      </c>
      <c r="X14" s="14">
        <v>0</v>
      </c>
      <c r="Y14" s="14">
        <v>0</v>
      </c>
      <c r="Z14" s="14">
        <v>0</v>
      </c>
      <c r="AA14" s="15">
        <v>0</v>
      </c>
      <c r="AB14" s="13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</row>
    <row r="15" spans="1:34" s="35" customFormat="1" ht="49.5" customHeight="1" thickBot="1" thickTop="1">
      <c r="A15" s="43" t="s">
        <v>27</v>
      </c>
      <c r="B15" s="16">
        <v>188</v>
      </c>
      <c r="C15" s="17">
        <v>74</v>
      </c>
      <c r="D15" s="25">
        <v>33</v>
      </c>
      <c r="E15" s="25">
        <v>8</v>
      </c>
      <c r="F15" s="17">
        <v>1</v>
      </c>
      <c r="G15" s="32">
        <v>3</v>
      </c>
      <c r="H15" s="31">
        <v>1</v>
      </c>
      <c r="I15" s="17">
        <v>0</v>
      </c>
      <c r="J15" s="38">
        <v>1</v>
      </c>
      <c r="K15" s="39">
        <v>0</v>
      </c>
      <c r="L15" s="49">
        <f>8517+5128</f>
        <v>13645</v>
      </c>
      <c r="M15" s="38">
        <f>197+263</f>
        <v>460</v>
      </c>
      <c r="N15" s="38">
        <f>1397+889</f>
        <v>2286</v>
      </c>
      <c r="O15" s="38">
        <v>95</v>
      </c>
      <c r="P15" s="38">
        <f>240+179</f>
        <v>419</v>
      </c>
      <c r="Q15" s="38">
        <f>117+67</f>
        <v>184</v>
      </c>
      <c r="R15" s="38">
        <f>266+469</f>
        <v>735</v>
      </c>
      <c r="S15" s="41">
        <f>820+499</f>
        <v>1319</v>
      </c>
      <c r="T15" s="49">
        <v>2407</v>
      </c>
      <c r="U15" s="38">
        <v>4</v>
      </c>
      <c r="V15" s="39">
        <v>130</v>
      </c>
      <c r="W15" s="49">
        <v>0</v>
      </c>
      <c r="X15" s="17">
        <v>0</v>
      </c>
      <c r="Y15" s="17">
        <v>0</v>
      </c>
      <c r="Z15" s="17">
        <v>0</v>
      </c>
      <c r="AA15" s="50">
        <v>0</v>
      </c>
      <c r="AB15" s="16">
        <v>36</v>
      </c>
      <c r="AC15" s="38">
        <v>388</v>
      </c>
      <c r="AD15" s="38">
        <v>0</v>
      </c>
      <c r="AE15" s="38">
        <v>2</v>
      </c>
      <c r="AF15" s="38">
        <v>4</v>
      </c>
      <c r="AG15" s="38">
        <v>0</v>
      </c>
      <c r="AH15" s="52">
        <v>0</v>
      </c>
    </row>
    <row r="16" spans="1:34" s="35" customFormat="1" ht="76.5" customHeight="1" thickBot="1" thickTop="1">
      <c r="A16" s="9" t="s">
        <v>3</v>
      </c>
      <c r="B16" s="18">
        <f aca="true" t="shared" si="0" ref="B16:I16">SUM(B8:B15)</f>
        <v>1281</v>
      </c>
      <c r="C16" s="19">
        <f t="shared" si="0"/>
        <v>554</v>
      </c>
      <c r="D16" s="19">
        <f t="shared" si="0"/>
        <v>232</v>
      </c>
      <c r="E16" s="26">
        <f t="shared" si="0"/>
        <v>30</v>
      </c>
      <c r="F16" s="19">
        <f t="shared" si="0"/>
        <v>3</v>
      </c>
      <c r="G16" s="22">
        <f t="shared" si="0"/>
        <v>16</v>
      </c>
      <c r="H16" s="18">
        <f t="shared" si="0"/>
        <v>9</v>
      </c>
      <c r="I16" s="19">
        <f t="shared" si="0"/>
        <v>9</v>
      </c>
      <c r="J16" s="19">
        <f aca="true" t="shared" si="1" ref="J16:V16">SUM(J8:J15)</f>
        <v>9</v>
      </c>
      <c r="K16" s="20">
        <f t="shared" si="1"/>
        <v>2</v>
      </c>
      <c r="L16" s="26">
        <f t="shared" si="1"/>
        <v>61441</v>
      </c>
      <c r="M16" s="19">
        <f t="shared" si="1"/>
        <v>7101</v>
      </c>
      <c r="N16" s="19">
        <f t="shared" si="1"/>
        <v>7447</v>
      </c>
      <c r="O16" s="19">
        <f t="shared" si="1"/>
        <v>564</v>
      </c>
      <c r="P16" s="19">
        <f t="shared" si="1"/>
        <v>1639</v>
      </c>
      <c r="Q16" s="19">
        <f t="shared" si="1"/>
        <v>2454</v>
      </c>
      <c r="R16" s="19">
        <f t="shared" si="1"/>
        <v>3821</v>
      </c>
      <c r="S16" s="33">
        <f t="shared" si="1"/>
        <v>4157</v>
      </c>
      <c r="T16" s="18">
        <f t="shared" si="1"/>
        <v>4957</v>
      </c>
      <c r="U16" s="19">
        <f t="shared" si="1"/>
        <v>178</v>
      </c>
      <c r="V16" s="20">
        <f t="shared" si="1"/>
        <v>420</v>
      </c>
      <c r="W16" s="26">
        <f aca="true" t="shared" si="2" ref="W16:AB16">SUM(W8:W15)</f>
        <v>0</v>
      </c>
      <c r="X16" s="19">
        <f t="shared" si="2"/>
        <v>37</v>
      </c>
      <c r="Y16" s="19">
        <f t="shared" si="2"/>
        <v>0</v>
      </c>
      <c r="Z16" s="19">
        <f t="shared" si="2"/>
        <v>0</v>
      </c>
      <c r="AA16" s="22">
        <f t="shared" si="2"/>
        <v>0</v>
      </c>
      <c r="AB16" s="18">
        <f t="shared" si="2"/>
        <v>47</v>
      </c>
      <c r="AC16" s="19">
        <f aca="true" t="shared" si="3" ref="AC16:AH16">SUM(AC8:AC15)</f>
        <v>487</v>
      </c>
      <c r="AD16" s="19">
        <f t="shared" si="3"/>
        <v>3</v>
      </c>
      <c r="AE16" s="19">
        <f t="shared" si="3"/>
        <v>24</v>
      </c>
      <c r="AF16" s="19">
        <f t="shared" si="3"/>
        <v>4</v>
      </c>
      <c r="AG16" s="19">
        <f t="shared" si="3"/>
        <v>8</v>
      </c>
      <c r="AH16" s="20">
        <f t="shared" si="3"/>
        <v>0</v>
      </c>
    </row>
    <row r="17" ht="13.5" thickTop="1"/>
    <row r="18" ht="15">
      <c r="B18" s="7" t="s">
        <v>7</v>
      </c>
    </row>
    <row r="19" spans="2:35" ht="14.25">
      <c r="B19" s="6" t="s">
        <v>9</v>
      </c>
      <c r="C19" s="6"/>
      <c r="D19" s="6"/>
      <c r="E19" s="6"/>
      <c r="F19" s="6"/>
      <c r="G19" s="6"/>
      <c r="H19" s="6"/>
      <c r="I19" s="6"/>
      <c r="J19" s="6"/>
      <c r="K19" s="6" t="s"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4.25">
      <c r="A20" s="6"/>
      <c r="B20" s="6" t="s">
        <v>8</v>
      </c>
      <c r="C20" s="6"/>
      <c r="D20" s="6"/>
      <c r="E20" s="6"/>
      <c r="F20" s="6"/>
      <c r="G20" s="6"/>
      <c r="H20" s="6"/>
      <c r="I20" s="6"/>
      <c r="J20" s="6"/>
      <c r="K20" s="6" t="s">
        <v>10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>
      <c r="A21" s="6"/>
      <c r="B21" s="6" t="s">
        <v>11</v>
      </c>
      <c r="C21" s="6"/>
      <c r="D21" s="6"/>
      <c r="E21" s="6"/>
      <c r="F21" s="6"/>
      <c r="G21" s="6"/>
      <c r="H21" s="6"/>
      <c r="I21" s="6"/>
      <c r="J21" s="6"/>
      <c r="K21" s="6" t="s">
        <v>19</v>
      </c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>
      <c r="A22" s="6"/>
      <c r="B22" s="6" t="s">
        <v>18</v>
      </c>
      <c r="C22" s="6"/>
      <c r="D22" s="6"/>
      <c r="E22" s="6"/>
      <c r="F22" s="6"/>
      <c r="G22" s="6"/>
      <c r="H22" s="6"/>
      <c r="I22" s="6"/>
      <c r="J22" s="6"/>
      <c r="K22" s="6" t="s">
        <v>17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</sheetData>
  <mergeCells count="12">
    <mergeCell ref="E6:G6"/>
    <mergeCell ref="A3:AH3"/>
    <mergeCell ref="A4:AH4"/>
    <mergeCell ref="H6:K6"/>
    <mergeCell ref="A6:A7"/>
    <mergeCell ref="B6:B7"/>
    <mergeCell ref="C6:C7"/>
    <mergeCell ref="D6:D7"/>
    <mergeCell ref="AB6:AH6"/>
    <mergeCell ref="W6:AA6"/>
    <mergeCell ref="L6:S6"/>
    <mergeCell ref="T6:V6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9" r:id="rId1"/>
  <headerFooter alignWithMargins="0">
    <oddHeader>&amp;L&amp;"Arial CE,Tučná kurzíva"&amp;14Tabuľka 2.3.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I23"/>
  <sheetViews>
    <sheetView zoomScale="75" zoomScaleNormal="75" workbookViewId="0" topLeftCell="E7">
      <selection activeCell="K9" sqref="K9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5.625" style="0" customWidth="1"/>
    <col min="4" max="4" width="5.75390625" style="0" customWidth="1"/>
    <col min="5" max="5" width="6.00390625" style="0" customWidth="1"/>
    <col min="6" max="6" width="4.875" style="0" customWidth="1"/>
    <col min="7" max="7" width="7.00390625" style="0" customWidth="1"/>
    <col min="8" max="8" width="5.125" style="0" customWidth="1"/>
    <col min="9" max="9" width="5.75390625" style="0" customWidth="1"/>
    <col min="10" max="11" width="5.375" style="0" customWidth="1"/>
    <col min="13" max="13" width="7.875" style="0" customWidth="1"/>
    <col min="14" max="14" width="7.00390625" style="0" customWidth="1"/>
    <col min="15" max="15" width="4.875" style="0" customWidth="1"/>
    <col min="16" max="16" width="6.375" style="0" customWidth="1"/>
    <col min="17" max="17" width="6.625" style="0" customWidth="1"/>
    <col min="18" max="18" width="6.875" style="0" customWidth="1"/>
    <col min="19" max="20" width="6.625" style="0" customWidth="1"/>
    <col min="21" max="21" width="6.00390625" style="0" customWidth="1"/>
    <col min="22" max="22" width="6.625" style="0" customWidth="1"/>
    <col min="23" max="25" width="5.75390625" style="0" customWidth="1"/>
    <col min="26" max="27" width="4.375" style="0" customWidth="1"/>
    <col min="28" max="28" width="5.00390625" style="0" customWidth="1"/>
    <col min="29" max="29" width="6.875" style="0" customWidth="1"/>
    <col min="30" max="30" width="5.625" style="0" customWidth="1"/>
    <col min="31" max="31" width="6.00390625" style="0" bestFit="1" customWidth="1"/>
    <col min="32" max="32" width="5.75390625" style="0" customWidth="1"/>
    <col min="33" max="33" width="5.00390625" style="0" customWidth="1"/>
    <col min="34" max="34" width="5.625" style="0" customWidth="1"/>
  </cols>
  <sheetData>
    <row r="3" spans="1:34" ht="20.25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8.75">
      <c r="A4" s="93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7:25" ht="12.75">
      <c r="Q5" s="4"/>
      <c r="R5" s="4"/>
      <c r="S5" s="4"/>
      <c r="T5" s="4"/>
      <c r="U5" s="4"/>
      <c r="V5" s="4"/>
      <c r="W5" s="4"/>
      <c r="X5" s="4"/>
      <c r="Y5" s="4"/>
    </row>
    <row r="6" ht="13.5" thickBot="1"/>
    <row r="7" spans="1:34" ht="24" customHeight="1" thickBot="1" thickTop="1">
      <c r="A7" s="97" t="s">
        <v>0</v>
      </c>
      <c r="B7" s="99" t="s">
        <v>1</v>
      </c>
      <c r="C7" s="101" t="s">
        <v>2</v>
      </c>
      <c r="D7" s="103" t="s">
        <v>54</v>
      </c>
      <c r="E7" s="89" t="s">
        <v>20</v>
      </c>
      <c r="F7" s="90"/>
      <c r="G7" s="91"/>
      <c r="H7" s="95" t="s">
        <v>5</v>
      </c>
      <c r="I7" s="89"/>
      <c r="J7" s="89"/>
      <c r="K7" s="96"/>
      <c r="L7" s="109" t="s">
        <v>50</v>
      </c>
      <c r="M7" s="110"/>
      <c r="N7" s="110"/>
      <c r="O7" s="110"/>
      <c r="P7" s="110"/>
      <c r="Q7" s="110"/>
      <c r="R7" s="110"/>
      <c r="S7" s="111"/>
      <c r="T7" s="105" t="s">
        <v>6</v>
      </c>
      <c r="U7" s="106"/>
      <c r="V7" s="106"/>
      <c r="W7" s="108" t="s">
        <v>52</v>
      </c>
      <c r="X7" s="108"/>
      <c r="Y7" s="108"/>
      <c r="Z7" s="108"/>
      <c r="AA7" s="108"/>
      <c r="AB7" s="105" t="s">
        <v>53</v>
      </c>
      <c r="AC7" s="106"/>
      <c r="AD7" s="106"/>
      <c r="AE7" s="106"/>
      <c r="AF7" s="106"/>
      <c r="AG7" s="106"/>
      <c r="AH7" s="107"/>
    </row>
    <row r="8" spans="1:34" ht="129" customHeight="1" thickBot="1" thickTop="1">
      <c r="A8" s="98"/>
      <c r="B8" s="100"/>
      <c r="C8" s="102"/>
      <c r="D8" s="104"/>
      <c r="E8" s="45" t="s">
        <v>29</v>
      </c>
      <c r="F8" s="8" t="s">
        <v>30</v>
      </c>
      <c r="G8" s="8" t="s">
        <v>13</v>
      </c>
      <c r="H8" s="1" t="s">
        <v>31</v>
      </c>
      <c r="I8" s="1" t="s">
        <v>13</v>
      </c>
      <c r="J8" s="1" t="s">
        <v>4</v>
      </c>
      <c r="K8" s="8" t="s">
        <v>14</v>
      </c>
      <c r="L8" s="46" t="s">
        <v>32</v>
      </c>
      <c r="M8" s="1" t="s">
        <v>33</v>
      </c>
      <c r="N8" s="1" t="s">
        <v>49</v>
      </c>
      <c r="O8" s="1" t="s">
        <v>33</v>
      </c>
      <c r="P8" s="1" t="s">
        <v>34</v>
      </c>
      <c r="Q8" s="1" t="s">
        <v>15</v>
      </c>
      <c r="R8" s="1" t="s">
        <v>35</v>
      </c>
      <c r="S8" s="2" t="s">
        <v>16</v>
      </c>
      <c r="T8" s="3" t="s">
        <v>36</v>
      </c>
      <c r="U8" s="3" t="s">
        <v>37</v>
      </c>
      <c r="V8" s="3" t="s">
        <v>38</v>
      </c>
      <c r="W8" s="42" t="s">
        <v>39</v>
      </c>
      <c r="X8" s="3" t="s">
        <v>40</v>
      </c>
      <c r="Y8" s="3" t="s">
        <v>41</v>
      </c>
      <c r="Z8" s="3" t="s">
        <v>42</v>
      </c>
      <c r="AA8" s="47" t="s">
        <v>43</v>
      </c>
      <c r="AB8" s="5" t="s">
        <v>44</v>
      </c>
      <c r="AC8" s="3" t="s">
        <v>45</v>
      </c>
      <c r="AD8" s="3" t="s">
        <v>34</v>
      </c>
      <c r="AE8" s="3" t="s">
        <v>46</v>
      </c>
      <c r="AF8" s="3" t="s">
        <v>35</v>
      </c>
      <c r="AG8" s="3" t="s">
        <v>47</v>
      </c>
      <c r="AH8" s="3" t="s">
        <v>48</v>
      </c>
    </row>
    <row r="9" spans="1:34" s="35" customFormat="1" ht="49.5" customHeight="1" thickBot="1" thickTop="1">
      <c r="A9" s="43" t="s">
        <v>21</v>
      </c>
      <c r="B9" s="10">
        <v>204</v>
      </c>
      <c r="C9" s="11">
        <v>83</v>
      </c>
      <c r="D9" s="23">
        <v>35</v>
      </c>
      <c r="E9" s="23">
        <v>14</v>
      </c>
      <c r="F9" s="11">
        <v>4</v>
      </c>
      <c r="G9" s="28">
        <v>4</v>
      </c>
      <c r="H9" s="27">
        <v>7</v>
      </c>
      <c r="I9" s="11">
        <v>0</v>
      </c>
      <c r="J9" s="36">
        <v>3</v>
      </c>
      <c r="K9" s="37">
        <v>5</v>
      </c>
      <c r="L9" s="48">
        <f>5947+4399</f>
        <v>10346</v>
      </c>
      <c r="M9" s="36">
        <f>485+1874</f>
        <v>2359</v>
      </c>
      <c r="N9" s="36">
        <f>687+257</f>
        <v>944</v>
      </c>
      <c r="O9" s="36">
        <v>164</v>
      </c>
      <c r="P9" s="36">
        <v>178</v>
      </c>
      <c r="Q9" s="36">
        <f>724+180</f>
        <v>904</v>
      </c>
      <c r="R9" s="36">
        <f>100+590</f>
        <v>690</v>
      </c>
      <c r="S9" s="40">
        <f>314+343</f>
        <v>657</v>
      </c>
      <c r="T9" s="48">
        <v>0</v>
      </c>
      <c r="U9" s="36">
        <v>0</v>
      </c>
      <c r="V9" s="37">
        <v>0</v>
      </c>
      <c r="W9" s="48">
        <v>0</v>
      </c>
      <c r="X9" s="11">
        <v>0</v>
      </c>
      <c r="Y9" s="11">
        <v>0</v>
      </c>
      <c r="Z9" s="11">
        <v>0</v>
      </c>
      <c r="AA9" s="12">
        <v>0</v>
      </c>
      <c r="AB9" s="10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51">
        <v>0</v>
      </c>
    </row>
    <row r="10" spans="1:34" s="35" customFormat="1" ht="49.5" customHeight="1" thickBot="1" thickTop="1">
      <c r="A10" s="43" t="s">
        <v>28</v>
      </c>
      <c r="B10" s="13">
        <v>86</v>
      </c>
      <c r="C10" s="14">
        <v>46</v>
      </c>
      <c r="D10" s="24">
        <v>15</v>
      </c>
      <c r="E10" s="24">
        <v>3</v>
      </c>
      <c r="F10" s="14">
        <v>3</v>
      </c>
      <c r="G10" s="30">
        <v>0</v>
      </c>
      <c r="H10" s="29">
        <v>4</v>
      </c>
      <c r="I10" s="14">
        <v>2</v>
      </c>
      <c r="J10" s="14">
        <v>2</v>
      </c>
      <c r="K10" s="21">
        <v>1</v>
      </c>
      <c r="L10" s="13">
        <f>4586+2435</f>
        <v>7021</v>
      </c>
      <c r="M10" s="14">
        <f>174+359</f>
        <v>533</v>
      </c>
      <c r="N10" s="14">
        <f>282</f>
        <v>282</v>
      </c>
      <c r="O10" s="14">
        <v>29</v>
      </c>
      <c r="P10" s="14">
        <f>671+23</f>
        <v>694</v>
      </c>
      <c r="Q10" s="14">
        <f>197+207</f>
        <v>404</v>
      </c>
      <c r="R10" s="14">
        <f>294+300</f>
        <v>594</v>
      </c>
      <c r="S10" s="14">
        <f>151+190</f>
        <v>341</v>
      </c>
      <c r="T10" s="13">
        <v>165</v>
      </c>
      <c r="U10" s="14">
        <v>8</v>
      </c>
      <c r="V10" s="14">
        <v>0</v>
      </c>
      <c r="W10" s="13">
        <v>0</v>
      </c>
      <c r="X10" s="14">
        <v>0</v>
      </c>
      <c r="Y10" s="14">
        <v>0</v>
      </c>
      <c r="Z10" s="14">
        <v>0</v>
      </c>
      <c r="AA10" s="15">
        <v>0</v>
      </c>
      <c r="AB10" s="13">
        <v>3</v>
      </c>
      <c r="AC10" s="14">
        <v>120</v>
      </c>
      <c r="AD10" s="14">
        <v>90</v>
      </c>
      <c r="AE10" s="14">
        <v>0</v>
      </c>
      <c r="AF10" s="14">
        <v>10</v>
      </c>
      <c r="AG10" s="14">
        <v>0</v>
      </c>
      <c r="AH10" s="15">
        <v>0</v>
      </c>
    </row>
    <row r="11" spans="1:35" s="35" customFormat="1" ht="49.5" customHeight="1" thickBot="1" thickTop="1">
      <c r="A11" s="43" t="s">
        <v>22</v>
      </c>
      <c r="B11" s="13">
        <v>162</v>
      </c>
      <c r="C11" s="14">
        <v>86</v>
      </c>
      <c r="D11" s="24">
        <v>39</v>
      </c>
      <c r="E11" s="24">
        <v>4</v>
      </c>
      <c r="F11" s="14">
        <v>0</v>
      </c>
      <c r="G11" s="30">
        <v>2</v>
      </c>
      <c r="H11" s="29">
        <v>0</v>
      </c>
      <c r="I11" s="14">
        <v>0</v>
      </c>
      <c r="J11" s="14">
        <v>1</v>
      </c>
      <c r="K11" s="21">
        <v>0</v>
      </c>
      <c r="L11" s="13">
        <f>4874+2697</f>
        <v>7571</v>
      </c>
      <c r="M11" s="14">
        <f>277+145</f>
        <v>422</v>
      </c>
      <c r="N11" s="14">
        <f>714+509</f>
        <v>1223</v>
      </c>
      <c r="O11" s="14">
        <f>16+5</f>
        <v>21</v>
      </c>
      <c r="P11" s="14">
        <f>61+19</f>
        <v>80</v>
      </c>
      <c r="Q11" s="14">
        <f>130+10</f>
        <v>140</v>
      </c>
      <c r="R11" s="14">
        <f>238+173</f>
        <v>411</v>
      </c>
      <c r="S11" s="14">
        <f>285+307</f>
        <v>592</v>
      </c>
      <c r="T11" s="13">
        <v>214</v>
      </c>
      <c r="U11" s="14">
        <v>80</v>
      </c>
      <c r="V11" s="14">
        <v>0</v>
      </c>
      <c r="W11" s="13">
        <v>0</v>
      </c>
      <c r="X11" s="14">
        <v>0</v>
      </c>
      <c r="Y11" s="14">
        <v>0</v>
      </c>
      <c r="Z11" s="14">
        <v>0</v>
      </c>
      <c r="AA11" s="15">
        <v>0</v>
      </c>
      <c r="AB11" s="13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34"/>
    </row>
    <row r="12" spans="1:34" s="35" customFormat="1" ht="49.5" customHeight="1" thickBot="1" thickTop="1">
      <c r="A12" s="43" t="s">
        <v>23</v>
      </c>
      <c r="B12" s="13">
        <v>110</v>
      </c>
      <c r="C12" s="14">
        <v>36</v>
      </c>
      <c r="D12" s="24">
        <v>23</v>
      </c>
      <c r="E12" s="24">
        <v>3</v>
      </c>
      <c r="F12" s="14">
        <v>0</v>
      </c>
      <c r="G12" s="30">
        <v>0</v>
      </c>
      <c r="H12" s="29">
        <v>3</v>
      </c>
      <c r="I12" s="14">
        <v>0</v>
      </c>
      <c r="J12" s="14">
        <v>1</v>
      </c>
      <c r="K12" s="21">
        <v>1</v>
      </c>
      <c r="L12" s="13">
        <f>2526+1492</f>
        <v>4018</v>
      </c>
      <c r="M12" s="14">
        <f>28+647</f>
        <v>675</v>
      </c>
      <c r="N12" s="14">
        <f>166+50</f>
        <v>216</v>
      </c>
      <c r="O12" s="14">
        <v>1</v>
      </c>
      <c r="P12" s="14">
        <f>58+11</f>
        <v>69</v>
      </c>
      <c r="Q12" s="14">
        <f>92+39</f>
        <v>131</v>
      </c>
      <c r="R12" s="14">
        <v>0</v>
      </c>
      <c r="S12" s="14">
        <v>12</v>
      </c>
      <c r="T12" s="13">
        <v>95</v>
      </c>
      <c r="U12" s="14">
        <v>0</v>
      </c>
      <c r="V12" s="14">
        <v>16</v>
      </c>
      <c r="W12" s="13">
        <v>0</v>
      </c>
      <c r="X12" s="14">
        <v>0</v>
      </c>
      <c r="Y12" s="14">
        <v>0</v>
      </c>
      <c r="Z12" s="14">
        <v>0</v>
      </c>
      <c r="AA12" s="15">
        <v>0</v>
      </c>
      <c r="AB12" s="13">
        <v>3</v>
      </c>
      <c r="AC12" s="14">
        <v>38</v>
      </c>
      <c r="AD12" s="14">
        <v>4</v>
      </c>
      <c r="AE12" s="14">
        <v>2</v>
      </c>
      <c r="AF12" s="14">
        <v>0</v>
      </c>
      <c r="AG12" s="14">
        <v>0</v>
      </c>
      <c r="AH12" s="15">
        <v>1</v>
      </c>
    </row>
    <row r="13" spans="1:34" s="35" customFormat="1" ht="49.5" customHeight="1" thickBot="1" thickTop="1">
      <c r="A13" s="43" t="s">
        <v>24</v>
      </c>
      <c r="B13" s="13">
        <v>106</v>
      </c>
      <c r="C13" s="14">
        <v>27</v>
      </c>
      <c r="D13" s="24">
        <v>7</v>
      </c>
      <c r="E13" s="24">
        <v>2</v>
      </c>
      <c r="F13" s="14">
        <v>0</v>
      </c>
      <c r="G13" s="30">
        <v>1</v>
      </c>
      <c r="H13" s="29">
        <v>2</v>
      </c>
      <c r="I13" s="14">
        <v>0</v>
      </c>
      <c r="J13" s="14">
        <v>0</v>
      </c>
      <c r="K13" s="21">
        <v>1</v>
      </c>
      <c r="L13" s="13">
        <f>2738+676</f>
        <v>3414</v>
      </c>
      <c r="M13" s="14">
        <f>11+40</f>
        <v>51</v>
      </c>
      <c r="N13" s="14">
        <f>138+104</f>
        <v>242</v>
      </c>
      <c r="O13" s="14">
        <v>0</v>
      </c>
      <c r="P13" s="14">
        <f>18+6</f>
        <v>24</v>
      </c>
      <c r="Q13" s="14">
        <f>80+20</f>
        <v>100</v>
      </c>
      <c r="R13" s="14">
        <f>36+64</f>
        <v>100</v>
      </c>
      <c r="S13" s="14">
        <f>23+31</f>
        <v>54</v>
      </c>
      <c r="T13" s="13">
        <v>378</v>
      </c>
      <c r="U13" s="14">
        <v>18</v>
      </c>
      <c r="V13" s="14">
        <v>62</v>
      </c>
      <c r="W13" s="13">
        <v>0</v>
      </c>
      <c r="X13" s="14">
        <v>20</v>
      </c>
      <c r="Y13" s="14">
        <v>0</v>
      </c>
      <c r="Z13" s="14">
        <v>0</v>
      </c>
      <c r="AA13" s="15">
        <v>0</v>
      </c>
      <c r="AB13" s="13">
        <v>1</v>
      </c>
      <c r="AC13" s="14">
        <v>20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</row>
    <row r="14" spans="1:35" s="35" customFormat="1" ht="49.5" customHeight="1" thickBot="1" thickTop="1">
      <c r="A14" s="44" t="s">
        <v>25</v>
      </c>
      <c r="B14" s="13">
        <v>189</v>
      </c>
      <c r="C14" s="14">
        <v>105</v>
      </c>
      <c r="D14" s="24">
        <v>31</v>
      </c>
      <c r="E14" s="24">
        <v>11</v>
      </c>
      <c r="F14" s="14">
        <v>0</v>
      </c>
      <c r="G14" s="30">
        <v>1</v>
      </c>
      <c r="H14" s="29">
        <v>0</v>
      </c>
      <c r="I14" s="14">
        <v>0</v>
      </c>
      <c r="J14" s="14">
        <v>1</v>
      </c>
      <c r="K14" s="21">
        <v>0</v>
      </c>
      <c r="L14" s="13">
        <f>1863+988</f>
        <v>2851</v>
      </c>
      <c r="M14" s="14">
        <f>102+34</f>
        <v>136</v>
      </c>
      <c r="N14" s="14">
        <f>59+15</f>
        <v>74</v>
      </c>
      <c r="O14" s="14">
        <v>0</v>
      </c>
      <c r="P14" s="14">
        <f>58+38</f>
        <v>96</v>
      </c>
      <c r="Q14" s="14">
        <f>188+89</f>
        <v>277</v>
      </c>
      <c r="R14" s="14">
        <f>199+248</f>
        <v>447</v>
      </c>
      <c r="S14" s="14">
        <f>112+144</f>
        <v>256</v>
      </c>
      <c r="T14" s="13">
        <f>975</f>
        <v>975</v>
      </c>
      <c r="U14" s="14">
        <v>28</v>
      </c>
      <c r="V14" s="14">
        <v>108</v>
      </c>
      <c r="W14" s="13">
        <v>0</v>
      </c>
      <c r="X14" s="14">
        <v>0</v>
      </c>
      <c r="Y14" s="14">
        <v>0</v>
      </c>
      <c r="Z14" s="14">
        <v>0</v>
      </c>
      <c r="AA14" s="15">
        <v>0</v>
      </c>
      <c r="AB14" s="13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34"/>
    </row>
    <row r="15" spans="1:34" s="35" customFormat="1" ht="49.5" customHeight="1" thickBot="1" thickTop="1">
      <c r="A15" s="43" t="s">
        <v>26</v>
      </c>
      <c r="B15" s="13">
        <v>151</v>
      </c>
      <c r="C15" s="14">
        <v>86</v>
      </c>
      <c r="D15" s="24">
        <v>31</v>
      </c>
      <c r="E15" s="24">
        <v>1</v>
      </c>
      <c r="F15" s="14">
        <v>1</v>
      </c>
      <c r="G15" s="30">
        <v>7</v>
      </c>
      <c r="H15" s="29">
        <v>0</v>
      </c>
      <c r="I15" s="14">
        <v>2</v>
      </c>
      <c r="J15" s="14">
        <v>0</v>
      </c>
      <c r="K15" s="21">
        <v>0</v>
      </c>
      <c r="L15" s="13">
        <f>3691+5700</f>
        <v>9391</v>
      </c>
      <c r="M15" s="14">
        <f>521+2644</f>
        <v>3165</v>
      </c>
      <c r="N15" s="14">
        <f>253+538</f>
        <v>791</v>
      </c>
      <c r="O15" s="14">
        <f>2+48</f>
        <v>50</v>
      </c>
      <c r="P15" s="14">
        <f>69+70</f>
        <v>139</v>
      </c>
      <c r="Q15" s="14">
        <f>85+113</f>
        <v>198</v>
      </c>
      <c r="R15" s="14">
        <f>93+223</f>
        <v>316</v>
      </c>
      <c r="S15" s="14">
        <f>15+130</f>
        <v>145</v>
      </c>
      <c r="T15" s="13">
        <v>81</v>
      </c>
      <c r="U15" s="14">
        <v>7</v>
      </c>
      <c r="V15" s="14">
        <v>1</v>
      </c>
      <c r="W15" s="13">
        <v>0</v>
      </c>
      <c r="X15" s="14">
        <v>0</v>
      </c>
      <c r="Y15" s="14">
        <v>0</v>
      </c>
      <c r="Z15" s="14">
        <v>0</v>
      </c>
      <c r="AA15" s="15">
        <v>0</v>
      </c>
      <c r="AB15" s="13">
        <v>1</v>
      </c>
      <c r="AC15" s="14">
        <v>73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</row>
    <row r="16" spans="1:34" s="35" customFormat="1" ht="49.5" customHeight="1" thickBot="1" thickTop="1">
      <c r="A16" s="43" t="s">
        <v>27</v>
      </c>
      <c r="B16" s="16">
        <v>169</v>
      </c>
      <c r="C16" s="17">
        <v>52</v>
      </c>
      <c r="D16" s="25">
        <v>27</v>
      </c>
      <c r="E16" s="25">
        <v>7</v>
      </c>
      <c r="F16" s="17">
        <v>2</v>
      </c>
      <c r="G16" s="32">
        <v>2</v>
      </c>
      <c r="H16" s="31">
        <v>3</v>
      </c>
      <c r="I16" s="17">
        <v>0</v>
      </c>
      <c r="J16" s="38">
        <v>1</v>
      </c>
      <c r="K16" s="39">
        <v>0</v>
      </c>
      <c r="L16" s="49">
        <f>7091+2848</f>
        <v>9939</v>
      </c>
      <c r="M16" s="38">
        <f>57</f>
        <v>57</v>
      </c>
      <c r="N16" s="38">
        <f>833+812</f>
        <v>1645</v>
      </c>
      <c r="O16" s="38">
        <f>5</f>
        <v>5</v>
      </c>
      <c r="P16" s="38">
        <f>180+31</f>
        <v>211</v>
      </c>
      <c r="Q16" s="38">
        <f>288+121</f>
        <v>409</v>
      </c>
      <c r="R16" s="38">
        <f>252+204</f>
        <v>456</v>
      </c>
      <c r="S16" s="41">
        <f>9+458</f>
        <v>467</v>
      </c>
      <c r="T16" s="49">
        <v>2250</v>
      </c>
      <c r="U16" s="38">
        <v>30</v>
      </c>
      <c r="V16" s="39">
        <v>64</v>
      </c>
      <c r="W16" s="49">
        <v>0</v>
      </c>
      <c r="X16" s="17">
        <v>0</v>
      </c>
      <c r="Y16" s="17">
        <v>0</v>
      </c>
      <c r="Z16" s="17">
        <v>0</v>
      </c>
      <c r="AA16" s="50">
        <v>0</v>
      </c>
      <c r="AB16" s="16">
        <v>3</v>
      </c>
      <c r="AC16" s="38">
        <v>145</v>
      </c>
      <c r="AD16" s="38">
        <v>0</v>
      </c>
      <c r="AE16" s="38">
        <v>0</v>
      </c>
      <c r="AF16" s="38">
        <v>0</v>
      </c>
      <c r="AG16" s="38">
        <v>0</v>
      </c>
      <c r="AH16" s="52">
        <v>0</v>
      </c>
    </row>
    <row r="17" spans="1:34" s="35" customFormat="1" ht="76.5" customHeight="1" thickBot="1" thickTop="1">
      <c r="A17" s="9" t="s">
        <v>3</v>
      </c>
      <c r="B17" s="18">
        <f aca="true" t="shared" si="0" ref="B17:I17">SUM(B9:B16)</f>
        <v>1177</v>
      </c>
      <c r="C17" s="22">
        <f t="shared" si="0"/>
        <v>521</v>
      </c>
      <c r="D17" s="19">
        <f t="shared" si="0"/>
        <v>208</v>
      </c>
      <c r="E17" s="26">
        <f t="shared" si="0"/>
        <v>45</v>
      </c>
      <c r="F17" s="19">
        <f t="shared" si="0"/>
        <v>10</v>
      </c>
      <c r="G17" s="22">
        <f t="shared" si="0"/>
        <v>17</v>
      </c>
      <c r="H17" s="18">
        <f t="shared" si="0"/>
        <v>19</v>
      </c>
      <c r="I17" s="19">
        <f t="shared" si="0"/>
        <v>4</v>
      </c>
      <c r="J17" s="19">
        <f aca="true" t="shared" si="1" ref="J17:V17">SUM(J9:J16)</f>
        <v>9</v>
      </c>
      <c r="K17" s="20">
        <f t="shared" si="1"/>
        <v>8</v>
      </c>
      <c r="L17" s="26">
        <f t="shared" si="1"/>
        <v>54551</v>
      </c>
      <c r="M17" s="19">
        <f t="shared" si="1"/>
        <v>7398</v>
      </c>
      <c r="N17" s="19">
        <f t="shared" si="1"/>
        <v>5417</v>
      </c>
      <c r="O17" s="19">
        <f t="shared" si="1"/>
        <v>270</v>
      </c>
      <c r="P17" s="19">
        <f t="shared" si="1"/>
        <v>1491</v>
      </c>
      <c r="Q17" s="19">
        <f t="shared" si="1"/>
        <v>2563</v>
      </c>
      <c r="R17" s="19">
        <f t="shared" si="1"/>
        <v>3014</v>
      </c>
      <c r="S17" s="33">
        <f t="shared" si="1"/>
        <v>2524</v>
      </c>
      <c r="T17" s="18">
        <f t="shared" si="1"/>
        <v>4158</v>
      </c>
      <c r="U17" s="19">
        <f t="shared" si="1"/>
        <v>171</v>
      </c>
      <c r="V17" s="20">
        <f t="shared" si="1"/>
        <v>251</v>
      </c>
      <c r="W17" s="26">
        <f aca="true" t="shared" si="2" ref="W17:AB17">SUM(W9:W16)</f>
        <v>0</v>
      </c>
      <c r="X17" s="19">
        <f t="shared" si="2"/>
        <v>20</v>
      </c>
      <c r="Y17" s="19">
        <f t="shared" si="2"/>
        <v>0</v>
      </c>
      <c r="Z17" s="19">
        <f t="shared" si="2"/>
        <v>0</v>
      </c>
      <c r="AA17" s="20">
        <f t="shared" si="2"/>
        <v>0</v>
      </c>
      <c r="AB17" s="26">
        <f t="shared" si="2"/>
        <v>11</v>
      </c>
      <c r="AC17" s="19">
        <f aca="true" t="shared" si="3" ref="AC17:AH17">SUM(AC9:AC16)</f>
        <v>396</v>
      </c>
      <c r="AD17" s="19">
        <f t="shared" si="3"/>
        <v>94</v>
      </c>
      <c r="AE17" s="19">
        <f t="shared" si="3"/>
        <v>2</v>
      </c>
      <c r="AF17" s="19">
        <f t="shared" si="3"/>
        <v>10</v>
      </c>
      <c r="AG17" s="19">
        <f t="shared" si="3"/>
        <v>0</v>
      </c>
      <c r="AH17" s="20">
        <f t="shared" si="3"/>
        <v>1</v>
      </c>
    </row>
    <row r="18" ht="13.5" thickTop="1"/>
    <row r="19" ht="15">
      <c r="B19" s="7" t="s">
        <v>7</v>
      </c>
    </row>
    <row r="20" spans="2:35" ht="14.25">
      <c r="B20" s="6" t="s">
        <v>9</v>
      </c>
      <c r="C20" s="6"/>
      <c r="D20" s="6"/>
      <c r="E20" s="6"/>
      <c r="F20" s="6"/>
      <c r="G20" s="6"/>
      <c r="H20" s="6"/>
      <c r="I20" s="6"/>
      <c r="J20" s="6"/>
      <c r="K20" s="6" t="s">
        <v>12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>
      <c r="A21" s="6"/>
      <c r="B21" s="6" t="s">
        <v>8</v>
      </c>
      <c r="C21" s="6"/>
      <c r="D21" s="6"/>
      <c r="E21" s="6"/>
      <c r="F21" s="6"/>
      <c r="G21" s="6"/>
      <c r="H21" s="6"/>
      <c r="I21" s="6"/>
      <c r="J21" s="6"/>
      <c r="K21" s="6" t="s">
        <v>10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>
      <c r="A22" s="6"/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 t="s">
        <v>19</v>
      </c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4.25">
      <c r="A23" s="6"/>
      <c r="B23" s="6" t="s">
        <v>18</v>
      </c>
      <c r="C23" s="6"/>
      <c r="D23" s="6"/>
      <c r="E23" s="6"/>
      <c r="F23" s="6"/>
      <c r="G23" s="6"/>
      <c r="H23" s="6"/>
      <c r="I23" s="6"/>
      <c r="J23" s="6"/>
      <c r="K23" s="6" t="s">
        <v>17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</sheetData>
  <mergeCells count="12">
    <mergeCell ref="L7:S7"/>
    <mergeCell ref="T7:V7"/>
    <mergeCell ref="E7:G7"/>
    <mergeCell ref="D7:D8"/>
    <mergeCell ref="A3:AH3"/>
    <mergeCell ref="A4:AH4"/>
    <mergeCell ref="H7:K7"/>
    <mergeCell ref="A7:A8"/>
    <mergeCell ref="B7:B8"/>
    <mergeCell ref="C7:C8"/>
    <mergeCell ref="AB7:AH7"/>
    <mergeCell ref="W7:AA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9" r:id="rId1"/>
  <headerFooter alignWithMargins="0">
    <oddHeader>&amp;L&amp;"Arial CE,Tučná kurzíva"&amp;14Tabuľka 2.2.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I23"/>
  <sheetViews>
    <sheetView zoomScale="75" zoomScaleNormal="75" workbookViewId="0" topLeftCell="F6">
      <selection activeCell="AH9" sqref="AH9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5.00390625" style="0" customWidth="1"/>
    <col min="4" max="4" width="6.125" style="0" customWidth="1"/>
    <col min="5" max="5" width="6.625" style="0" customWidth="1"/>
    <col min="6" max="6" width="6.75390625" style="0" customWidth="1"/>
    <col min="7" max="7" width="6.625" style="0" customWidth="1"/>
    <col min="8" max="8" width="5.125" style="0" customWidth="1"/>
    <col min="9" max="9" width="5.75390625" style="0" customWidth="1"/>
    <col min="10" max="11" width="5.375" style="0" customWidth="1"/>
    <col min="12" max="12" width="8.625" style="0" customWidth="1"/>
    <col min="13" max="14" width="6.625" style="0" customWidth="1"/>
    <col min="15" max="15" width="4.875" style="0" customWidth="1"/>
    <col min="16" max="16" width="6.375" style="0" customWidth="1"/>
    <col min="17" max="17" width="6.625" style="0" customWidth="1"/>
    <col min="18" max="18" width="6.875" style="0" customWidth="1"/>
    <col min="19" max="20" width="6.625" style="0" customWidth="1"/>
    <col min="21" max="21" width="6.00390625" style="0" customWidth="1"/>
    <col min="22" max="22" width="6.625" style="0" customWidth="1"/>
    <col min="23" max="25" width="5.75390625" style="0" customWidth="1"/>
    <col min="26" max="27" width="4.375" style="0" customWidth="1"/>
    <col min="28" max="28" width="5.625" style="0" customWidth="1"/>
    <col min="29" max="29" width="6.875" style="0" customWidth="1"/>
    <col min="30" max="30" width="5.625" style="0" customWidth="1"/>
    <col min="31" max="31" width="6.00390625" style="0" bestFit="1" customWidth="1"/>
    <col min="32" max="32" width="5.125" style="0" customWidth="1"/>
    <col min="33" max="33" width="5.00390625" style="0" customWidth="1"/>
    <col min="34" max="34" width="5.625" style="0" customWidth="1"/>
  </cols>
  <sheetData>
    <row r="3" spans="1:34" ht="20.25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8.75">
      <c r="A4" s="93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7:25" ht="12.75">
      <c r="Q5" s="4"/>
      <c r="R5" s="4"/>
      <c r="S5" s="4"/>
      <c r="T5" s="4"/>
      <c r="U5" s="4"/>
      <c r="V5" s="4"/>
      <c r="W5" s="4"/>
      <c r="X5" s="4"/>
      <c r="Y5" s="4"/>
    </row>
    <row r="6" ht="13.5" thickBot="1"/>
    <row r="7" spans="1:34" ht="24" customHeight="1" thickBot="1" thickTop="1">
      <c r="A7" s="113" t="s">
        <v>0</v>
      </c>
      <c r="B7" s="101" t="s">
        <v>1</v>
      </c>
      <c r="C7" s="101" t="s">
        <v>2</v>
      </c>
      <c r="D7" s="103" t="s">
        <v>54</v>
      </c>
      <c r="E7" s="95" t="s">
        <v>20</v>
      </c>
      <c r="F7" s="90"/>
      <c r="G7" s="91"/>
      <c r="H7" s="95" t="s">
        <v>5</v>
      </c>
      <c r="I7" s="89"/>
      <c r="J7" s="89"/>
      <c r="K7" s="112"/>
      <c r="L7" s="115" t="s">
        <v>50</v>
      </c>
      <c r="M7" s="115"/>
      <c r="N7" s="115"/>
      <c r="O7" s="115"/>
      <c r="P7" s="115"/>
      <c r="Q7" s="115"/>
      <c r="R7" s="95"/>
      <c r="S7" s="116"/>
      <c r="T7" s="108" t="s">
        <v>6</v>
      </c>
      <c r="U7" s="108"/>
      <c r="V7" s="108"/>
      <c r="W7" s="108" t="s">
        <v>52</v>
      </c>
      <c r="X7" s="108"/>
      <c r="Y7" s="108"/>
      <c r="Z7" s="108"/>
      <c r="AA7" s="108"/>
      <c r="AB7" s="105" t="s">
        <v>53</v>
      </c>
      <c r="AC7" s="106"/>
      <c r="AD7" s="106"/>
      <c r="AE7" s="106"/>
      <c r="AF7" s="106"/>
      <c r="AG7" s="106"/>
      <c r="AH7" s="107"/>
    </row>
    <row r="8" spans="1:34" ht="129" customHeight="1" thickBot="1" thickTop="1">
      <c r="A8" s="114"/>
      <c r="B8" s="102"/>
      <c r="C8" s="102"/>
      <c r="D8" s="104"/>
      <c r="E8" s="8" t="s">
        <v>29</v>
      </c>
      <c r="F8" s="8" t="s">
        <v>30</v>
      </c>
      <c r="G8" s="8" t="s">
        <v>13</v>
      </c>
      <c r="H8" s="1" t="s">
        <v>31</v>
      </c>
      <c r="I8" s="1" t="s">
        <v>13</v>
      </c>
      <c r="J8" s="1" t="s">
        <v>4</v>
      </c>
      <c r="K8" s="55" t="s">
        <v>14</v>
      </c>
      <c r="L8" s="1" t="s">
        <v>32</v>
      </c>
      <c r="M8" s="1" t="s">
        <v>33</v>
      </c>
      <c r="N8" s="1" t="s">
        <v>49</v>
      </c>
      <c r="O8" s="1" t="s">
        <v>33</v>
      </c>
      <c r="P8" s="1" t="s">
        <v>34</v>
      </c>
      <c r="Q8" s="1" t="s">
        <v>15</v>
      </c>
      <c r="R8" s="1" t="s">
        <v>35</v>
      </c>
      <c r="S8" s="2" t="s">
        <v>16</v>
      </c>
      <c r="T8" s="3" t="s">
        <v>36</v>
      </c>
      <c r="U8" s="3" t="s">
        <v>37</v>
      </c>
      <c r="V8" s="3" t="s">
        <v>38</v>
      </c>
      <c r="W8" s="56" t="s">
        <v>39</v>
      </c>
      <c r="X8" s="3" t="s">
        <v>40</v>
      </c>
      <c r="Y8" s="3" t="s">
        <v>41</v>
      </c>
      <c r="Z8" s="3" t="s">
        <v>42</v>
      </c>
      <c r="AA8" s="5" t="s">
        <v>43</v>
      </c>
      <c r="AB8" s="5" t="s">
        <v>44</v>
      </c>
      <c r="AC8" s="3" t="s">
        <v>45</v>
      </c>
      <c r="AD8" s="3" t="s">
        <v>34</v>
      </c>
      <c r="AE8" s="3" t="s">
        <v>46</v>
      </c>
      <c r="AF8" s="3" t="s">
        <v>35</v>
      </c>
      <c r="AG8" s="3" t="s">
        <v>47</v>
      </c>
      <c r="AH8" s="3" t="s">
        <v>48</v>
      </c>
    </row>
    <row r="9" spans="1:34" s="35" customFormat="1" ht="49.5" customHeight="1" thickBot="1" thickTop="1">
      <c r="A9" s="57" t="s">
        <v>21</v>
      </c>
      <c r="B9" s="10">
        <v>138</v>
      </c>
      <c r="C9" s="53">
        <v>47</v>
      </c>
      <c r="D9" s="54">
        <v>14</v>
      </c>
      <c r="E9" s="27">
        <v>14</v>
      </c>
      <c r="F9" s="11">
        <v>2</v>
      </c>
      <c r="G9" s="28">
        <v>6</v>
      </c>
      <c r="H9" s="23">
        <v>4</v>
      </c>
      <c r="I9" s="11">
        <v>2</v>
      </c>
      <c r="J9" s="11">
        <v>2</v>
      </c>
      <c r="K9" s="53">
        <v>1</v>
      </c>
      <c r="L9" s="27">
        <f>3495+4140</f>
        <v>7635</v>
      </c>
      <c r="M9" s="11">
        <f>439+1976</f>
        <v>2415</v>
      </c>
      <c r="N9" s="11">
        <f>410+853</f>
        <v>1263</v>
      </c>
      <c r="O9" s="11">
        <v>136</v>
      </c>
      <c r="P9" s="11">
        <f>454+542</f>
        <v>996</v>
      </c>
      <c r="Q9" s="11">
        <f>63+241</f>
        <v>304</v>
      </c>
      <c r="R9" s="11">
        <f>47+809</f>
        <v>856</v>
      </c>
      <c r="S9" s="28">
        <v>32</v>
      </c>
      <c r="T9" s="23">
        <v>175</v>
      </c>
      <c r="U9" s="11">
        <v>0</v>
      </c>
      <c r="V9" s="53">
        <v>0</v>
      </c>
      <c r="W9" s="27">
        <v>0</v>
      </c>
      <c r="X9" s="11">
        <v>0</v>
      </c>
      <c r="Y9" s="11">
        <v>0</v>
      </c>
      <c r="Z9" s="11">
        <v>0</v>
      </c>
      <c r="AA9" s="28">
        <v>0</v>
      </c>
      <c r="AB9" s="27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2">
        <v>0</v>
      </c>
    </row>
    <row r="10" spans="1:34" s="35" customFormat="1" ht="49.5" customHeight="1" thickBot="1" thickTop="1">
      <c r="A10" s="57" t="s">
        <v>28</v>
      </c>
      <c r="B10" s="13">
        <v>93</v>
      </c>
      <c r="C10" s="21">
        <v>47</v>
      </c>
      <c r="D10" s="58">
        <v>18</v>
      </c>
      <c r="E10" s="29">
        <v>5</v>
      </c>
      <c r="F10" s="14">
        <v>3</v>
      </c>
      <c r="G10" s="30">
        <v>2</v>
      </c>
      <c r="H10" s="24">
        <v>2</v>
      </c>
      <c r="I10" s="14">
        <v>1</v>
      </c>
      <c r="J10" s="14">
        <v>1</v>
      </c>
      <c r="K10" s="21">
        <v>2</v>
      </c>
      <c r="L10" s="29">
        <f>4580+2468</f>
        <v>7048</v>
      </c>
      <c r="M10" s="14">
        <f>40+453</f>
        <v>493</v>
      </c>
      <c r="N10" s="14">
        <f>265+32</f>
        <v>297</v>
      </c>
      <c r="O10" s="14">
        <v>0</v>
      </c>
      <c r="P10" s="14">
        <f>564+71</f>
        <v>635</v>
      </c>
      <c r="Q10" s="14">
        <f>188+15</f>
        <v>203</v>
      </c>
      <c r="R10" s="14">
        <f>380+635</f>
        <v>1015</v>
      </c>
      <c r="S10" s="30">
        <f>47+250</f>
        <v>297</v>
      </c>
      <c r="T10" s="24">
        <v>59</v>
      </c>
      <c r="U10" s="14">
        <v>2</v>
      </c>
      <c r="V10" s="21">
        <v>135</v>
      </c>
      <c r="W10" s="29">
        <v>0</v>
      </c>
      <c r="X10" s="14">
        <v>30</v>
      </c>
      <c r="Y10" s="14">
        <v>0</v>
      </c>
      <c r="Z10" s="14">
        <v>0</v>
      </c>
      <c r="AA10" s="30">
        <v>0</v>
      </c>
      <c r="AB10" s="29">
        <v>2</v>
      </c>
      <c r="AC10" s="14">
        <v>32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</row>
    <row r="11" spans="1:35" s="35" customFormat="1" ht="49.5" customHeight="1" thickBot="1" thickTop="1">
      <c r="A11" s="57" t="s">
        <v>22</v>
      </c>
      <c r="B11" s="13">
        <v>105</v>
      </c>
      <c r="C11" s="21">
        <v>65</v>
      </c>
      <c r="D11" s="58">
        <v>34</v>
      </c>
      <c r="E11" s="29">
        <v>5</v>
      </c>
      <c r="F11" s="14">
        <v>0</v>
      </c>
      <c r="G11" s="30">
        <v>2</v>
      </c>
      <c r="H11" s="24">
        <v>0</v>
      </c>
      <c r="I11" s="14">
        <v>1</v>
      </c>
      <c r="J11" s="14">
        <v>0</v>
      </c>
      <c r="K11" s="21">
        <v>0</v>
      </c>
      <c r="L11" s="29">
        <f>2638+2407</f>
        <v>5045</v>
      </c>
      <c r="M11" s="14">
        <f>196+245</f>
        <v>441</v>
      </c>
      <c r="N11" s="14">
        <f>405+507</f>
        <v>912</v>
      </c>
      <c r="O11" s="14">
        <f>16+46</f>
        <v>62</v>
      </c>
      <c r="P11" s="14">
        <f>55</f>
        <v>55</v>
      </c>
      <c r="Q11" s="14">
        <f>99+113</f>
        <v>212</v>
      </c>
      <c r="R11" s="14">
        <f>130+116</f>
        <v>246</v>
      </c>
      <c r="S11" s="30">
        <f>121+278</f>
        <v>399</v>
      </c>
      <c r="T11" s="24">
        <v>186</v>
      </c>
      <c r="U11" s="14">
        <v>0</v>
      </c>
      <c r="V11" s="21">
        <v>9</v>
      </c>
      <c r="W11" s="29">
        <v>0</v>
      </c>
      <c r="X11" s="14">
        <v>0</v>
      </c>
      <c r="Y11" s="14">
        <v>0</v>
      </c>
      <c r="Z11" s="14">
        <v>0</v>
      </c>
      <c r="AA11" s="30">
        <v>0</v>
      </c>
      <c r="AB11" s="29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34"/>
    </row>
    <row r="12" spans="1:34" s="35" customFormat="1" ht="49.5" customHeight="1" thickBot="1" thickTop="1">
      <c r="A12" s="57" t="s">
        <v>23</v>
      </c>
      <c r="B12" s="13">
        <v>133</v>
      </c>
      <c r="C12" s="21">
        <v>57</v>
      </c>
      <c r="D12" s="58">
        <v>14</v>
      </c>
      <c r="E12" s="29">
        <v>6</v>
      </c>
      <c r="F12" s="14">
        <v>0</v>
      </c>
      <c r="G12" s="30">
        <v>1</v>
      </c>
      <c r="H12" s="24">
        <v>3</v>
      </c>
      <c r="I12" s="14">
        <v>1</v>
      </c>
      <c r="J12" s="14">
        <v>1</v>
      </c>
      <c r="K12" s="21">
        <v>1</v>
      </c>
      <c r="L12" s="29">
        <f>4110+1768</f>
        <v>5878</v>
      </c>
      <c r="M12" s="14">
        <f>91+749</f>
        <v>840</v>
      </c>
      <c r="N12" s="14">
        <f>414+473</f>
        <v>887</v>
      </c>
      <c r="O12" s="14">
        <f>3+231</f>
        <v>234</v>
      </c>
      <c r="P12" s="14">
        <f>352+53</f>
        <v>405</v>
      </c>
      <c r="Q12" s="14">
        <f>41+254</f>
        <v>295</v>
      </c>
      <c r="R12" s="14">
        <f>44</f>
        <v>44</v>
      </c>
      <c r="S12" s="30">
        <v>0</v>
      </c>
      <c r="T12" s="24">
        <v>8</v>
      </c>
      <c r="U12" s="14">
        <v>4</v>
      </c>
      <c r="V12" s="21">
        <v>5</v>
      </c>
      <c r="W12" s="29">
        <v>0</v>
      </c>
      <c r="X12" s="14">
        <v>0</v>
      </c>
      <c r="Y12" s="14">
        <v>0</v>
      </c>
      <c r="Z12" s="14">
        <v>0</v>
      </c>
      <c r="AA12" s="30">
        <v>0</v>
      </c>
      <c r="AB12" s="29">
        <v>5</v>
      </c>
      <c r="AC12" s="14">
        <v>167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</row>
    <row r="13" spans="1:34" s="35" customFormat="1" ht="49.5" customHeight="1" thickBot="1" thickTop="1">
      <c r="A13" s="57" t="s">
        <v>24</v>
      </c>
      <c r="B13" s="13">
        <v>74</v>
      </c>
      <c r="C13" s="21">
        <v>18</v>
      </c>
      <c r="D13" s="58">
        <v>9</v>
      </c>
      <c r="E13" s="29">
        <v>1</v>
      </c>
      <c r="F13" s="14">
        <v>0</v>
      </c>
      <c r="G13" s="30">
        <v>0</v>
      </c>
      <c r="H13" s="24">
        <v>0</v>
      </c>
      <c r="I13" s="14">
        <v>0</v>
      </c>
      <c r="J13" s="14">
        <v>0</v>
      </c>
      <c r="K13" s="21"/>
      <c r="L13" s="29">
        <f>2158+330</f>
        <v>2488</v>
      </c>
      <c r="M13" s="14">
        <v>0</v>
      </c>
      <c r="N13" s="14">
        <f>190+35</f>
        <v>225</v>
      </c>
      <c r="O13" s="14">
        <v>0</v>
      </c>
      <c r="P13" s="14">
        <v>29</v>
      </c>
      <c r="Q13" s="14">
        <f>74+22</f>
        <v>96</v>
      </c>
      <c r="R13" s="14">
        <f>67+7</f>
        <v>74</v>
      </c>
      <c r="S13" s="30">
        <f>35+10</f>
        <v>45</v>
      </c>
      <c r="T13" s="24">
        <v>491</v>
      </c>
      <c r="U13" s="14">
        <v>17</v>
      </c>
      <c r="V13" s="21">
        <v>26</v>
      </c>
      <c r="W13" s="29">
        <v>0</v>
      </c>
      <c r="X13" s="14">
        <v>0</v>
      </c>
      <c r="Y13" s="14">
        <v>0</v>
      </c>
      <c r="Z13" s="14">
        <v>0</v>
      </c>
      <c r="AA13" s="30">
        <v>0</v>
      </c>
      <c r="AB13" s="29">
        <v>1</v>
      </c>
      <c r="AC13" s="14">
        <v>20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</row>
    <row r="14" spans="1:35" s="35" customFormat="1" ht="49.5" customHeight="1" thickBot="1" thickTop="1">
      <c r="A14" s="59" t="s">
        <v>25</v>
      </c>
      <c r="B14" s="13">
        <v>116</v>
      </c>
      <c r="C14" s="21">
        <v>67</v>
      </c>
      <c r="D14" s="58">
        <v>46</v>
      </c>
      <c r="E14" s="29">
        <v>11</v>
      </c>
      <c r="F14" s="14">
        <v>0</v>
      </c>
      <c r="G14" s="30">
        <v>2</v>
      </c>
      <c r="H14" s="24">
        <v>0</v>
      </c>
      <c r="I14" s="14">
        <v>0</v>
      </c>
      <c r="J14" s="14">
        <v>3</v>
      </c>
      <c r="K14" s="21">
        <v>1</v>
      </c>
      <c r="L14" s="29">
        <f>1149+730</f>
        <v>1879</v>
      </c>
      <c r="M14" s="14">
        <f>22+106</f>
        <v>128</v>
      </c>
      <c r="N14" s="14">
        <f>23+2</f>
        <v>25</v>
      </c>
      <c r="O14" s="14">
        <v>0</v>
      </c>
      <c r="P14" s="14">
        <f>68+12</f>
        <v>80</v>
      </c>
      <c r="Q14" s="14">
        <f>190+37</f>
        <v>227</v>
      </c>
      <c r="R14" s="14">
        <f>105+135</f>
        <v>240</v>
      </c>
      <c r="S14" s="30">
        <f>55+127</f>
        <v>182</v>
      </c>
      <c r="T14" s="24">
        <v>337</v>
      </c>
      <c r="U14" s="14">
        <v>2</v>
      </c>
      <c r="V14" s="21">
        <v>19</v>
      </c>
      <c r="W14" s="29">
        <v>0</v>
      </c>
      <c r="X14" s="14">
        <v>0</v>
      </c>
      <c r="Y14" s="14">
        <v>0</v>
      </c>
      <c r="Z14" s="14">
        <v>0</v>
      </c>
      <c r="AA14" s="30">
        <v>0</v>
      </c>
      <c r="AB14" s="29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34"/>
    </row>
    <row r="15" spans="1:34" s="35" customFormat="1" ht="49.5" customHeight="1" thickBot="1" thickTop="1">
      <c r="A15" s="57" t="s">
        <v>26</v>
      </c>
      <c r="B15" s="13">
        <v>113</v>
      </c>
      <c r="C15" s="21">
        <v>77</v>
      </c>
      <c r="D15" s="58">
        <v>31</v>
      </c>
      <c r="E15" s="29">
        <v>10</v>
      </c>
      <c r="F15" s="14">
        <v>0</v>
      </c>
      <c r="G15" s="30">
        <v>4</v>
      </c>
      <c r="H15" s="24">
        <v>1</v>
      </c>
      <c r="I15" s="14">
        <v>1</v>
      </c>
      <c r="J15" s="14">
        <v>2</v>
      </c>
      <c r="K15" s="21">
        <v>0</v>
      </c>
      <c r="L15" s="29">
        <f>1614+5731</f>
        <v>7345</v>
      </c>
      <c r="M15" s="14">
        <f>149+1886</f>
        <v>2035</v>
      </c>
      <c r="N15" s="14">
        <f>268+1088</f>
        <v>1356</v>
      </c>
      <c r="O15" s="14">
        <f>7+81</f>
        <v>88</v>
      </c>
      <c r="P15" s="14">
        <f>78+173</f>
        <v>251</v>
      </c>
      <c r="Q15" s="14">
        <f>58+183</f>
        <v>241</v>
      </c>
      <c r="R15" s="14">
        <f>132+660</f>
        <v>792</v>
      </c>
      <c r="S15" s="30">
        <f>18+146</f>
        <v>164</v>
      </c>
      <c r="T15" s="24">
        <v>7</v>
      </c>
      <c r="U15" s="14">
        <v>7</v>
      </c>
      <c r="V15" s="21">
        <v>0</v>
      </c>
      <c r="W15" s="29">
        <v>0</v>
      </c>
      <c r="X15" s="14">
        <v>0</v>
      </c>
      <c r="Y15" s="14">
        <v>0</v>
      </c>
      <c r="Z15" s="14">
        <v>0</v>
      </c>
      <c r="AA15" s="30">
        <v>0</v>
      </c>
      <c r="AB15" s="29">
        <v>2</v>
      </c>
      <c r="AC15" s="14">
        <v>184</v>
      </c>
      <c r="AD15" s="14">
        <v>0</v>
      </c>
      <c r="AE15" s="14">
        <v>0</v>
      </c>
      <c r="AF15" s="14">
        <v>15</v>
      </c>
      <c r="AG15" s="14">
        <v>0</v>
      </c>
      <c r="AH15" s="15">
        <v>0</v>
      </c>
    </row>
    <row r="16" spans="1:34" s="35" customFormat="1" ht="49.5" customHeight="1" thickBot="1" thickTop="1">
      <c r="A16" s="57" t="s">
        <v>27</v>
      </c>
      <c r="B16" s="16">
        <v>169</v>
      </c>
      <c r="C16" s="60">
        <v>76</v>
      </c>
      <c r="D16" s="61">
        <v>21</v>
      </c>
      <c r="E16" s="31">
        <v>6</v>
      </c>
      <c r="F16" s="17">
        <v>0</v>
      </c>
      <c r="G16" s="32">
        <v>2</v>
      </c>
      <c r="H16" s="25">
        <v>3</v>
      </c>
      <c r="I16" s="17">
        <v>0</v>
      </c>
      <c r="J16" s="17">
        <v>2</v>
      </c>
      <c r="K16" s="60">
        <v>0</v>
      </c>
      <c r="L16" s="31">
        <f>6936+6053</f>
        <v>12989</v>
      </c>
      <c r="M16" s="17">
        <f>299+764</f>
        <v>1063</v>
      </c>
      <c r="N16" s="17">
        <f>1331+1725</f>
        <v>3056</v>
      </c>
      <c r="O16" s="17">
        <v>37</v>
      </c>
      <c r="P16" s="17">
        <f>463+110</f>
        <v>573</v>
      </c>
      <c r="Q16" s="17">
        <f>575+512</f>
        <v>1087</v>
      </c>
      <c r="R16" s="17">
        <f>348+866</f>
        <v>1214</v>
      </c>
      <c r="S16" s="32">
        <f>62+396</f>
        <v>458</v>
      </c>
      <c r="T16" s="25">
        <v>1461</v>
      </c>
      <c r="U16" s="17">
        <v>197</v>
      </c>
      <c r="V16" s="60">
        <v>71</v>
      </c>
      <c r="W16" s="31">
        <v>0</v>
      </c>
      <c r="X16" s="17">
        <v>0</v>
      </c>
      <c r="Y16" s="17">
        <v>0</v>
      </c>
      <c r="Z16" s="17">
        <v>0</v>
      </c>
      <c r="AA16" s="32">
        <v>0</v>
      </c>
      <c r="AB16" s="31">
        <v>9</v>
      </c>
      <c r="AC16" s="17">
        <v>982</v>
      </c>
      <c r="AD16" s="17">
        <v>0</v>
      </c>
      <c r="AE16" s="17">
        <v>45</v>
      </c>
      <c r="AF16" s="17">
        <v>0</v>
      </c>
      <c r="AG16" s="17">
        <v>0</v>
      </c>
      <c r="AH16" s="50">
        <v>0</v>
      </c>
    </row>
    <row r="17" spans="1:34" s="35" customFormat="1" ht="76.5" customHeight="1" thickBot="1" thickTop="1">
      <c r="A17" s="9" t="s">
        <v>3</v>
      </c>
      <c r="B17" s="18">
        <f>SUM(B9:B16)</f>
        <v>941</v>
      </c>
      <c r="C17" s="22">
        <f>SUM(C9:C16)</f>
        <v>454</v>
      </c>
      <c r="D17" s="62">
        <f>SUM(D9:D16)</f>
        <v>187</v>
      </c>
      <c r="E17" s="63">
        <f aca="true" t="shared" si="0" ref="E17:V17">SUM(E9:E16)</f>
        <v>58</v>
      </c>
      <c r="F17" s="19">
        <f t="shared" si="0"/>
        <v>5</v>
      </c>
      <c r="G17" s="33">
        <f t="shared" si="0"/>
        <v>19</v>
      </c>
      <c r="H17" s="26">
        <f t="shared" si="0"/>
        <v>13</v>
      </c>
      <c r="I17" s="19">
        <f t="shared" si="0"/>
        <v>6</v>
      </c>
      <c r="J17" s="19">
        <f t="shared" si="0"/>
        <v>11</v>
      </c>
      <c r="K17" s="22">
        <f t="shared" si="0"/>
        <v>5</v>
      </c>
      <c r="L17" s="63">
        <f t="shared" si="0"/>
        <v>50307</v>
      </c>
      <c r="M17" s="19">
        <f t="shared" si="0"/>
        <v>7415</v>
      </c>
      <c r="N17" s="19">
        <f t="shared" si="0"/>
        <v>8021</v>
      </c>
      <c r="O17" s="19">
        <f t="shared" si="0"/>
        <v>557</v>
      </c>
      <c r="P17" s="19">
        <f t="shared" si="0"/>
        <v>3024</v>
      </c>
      <c r="Q17" s="19">
        <f t="shared" si="0"/>
        <v>2665</v>
      </c>
      <c r="R17" s="19">
        <f t="shared" si="0"/>
        <v>4481</v>
      </c>
      <c r="S17" s="33">
        <f t="shared" si="0"/>
        <v>1577</v>
      </c>
      <c r="T17" s="26">
        <f t="shared" si="0"/>
        <v>2724</v>
      </c>
      <c r="U17" s="19">
        <f t="shared" si="0"/>
        <v>229</v>
      </c>
      <c r="V17" s="22">
        <f t="shared" si="0"/>
        <v>265</v>
      </c>
      <c r="W17" s="63">
        <f aca="true" t="shared" si="1" ref="W17:AH17">SUM(W9:W16)</f>
        <v>0</v>
      </c>
      <c r="X17" s="19">
        <f t="shared" si="1"/>
        <v>30</v>
      </c>
      <c r="Y17" s="19">
        <f t="shared" si="1"/>
        <v>0</v>
      </c>
      <c r="Z17" s="19">
        <f t="shared" si="1"/>
        <v>0</v>
      </c>
      <c r="AA17" s="33">
        <f t="shared" si="1"/>
        <v>0</v>
      </c>
      <c r="AB17" s="63">
        <f t="shared" si="1"/>
        <v>19</v>
      </c>
      <c r="AC17" s="19">
        <f t="shared" si="1"/>
        <v>1385</v>
      </c>
      <c r="AD17" s="19">
        <f t="shared" si="1"/>
        <v>0</v>
      </c>
      <c r="AE17" s="19">
        <f t="shared" si="1"/>
        <v>45</v>
      </c>
      <c r="AF17" s="19">
        <f t="shared" si="1"/>
        <v>15</v>
      </c>
      <c r="AG17" s="19">
        <f t="shared" si="1"/>
        <v>0</v>
      </c>
      <c r="AH17" s="20">
        <f t="shared" si="1"/>
        <v>0</v>
      </c>
    </row>
    <row r="18" ht="13.5" thickTop="1"/>
    <row r="19" ht="15">
      <c r="B19" s="7" t="s">
        <v>7</v>
      </c>
    </row>
    <row r="20" spans="2:35" ht="14.25">
      <c r="B20" s="6" t="s">
        <v>9</v>
      </c>
      <c r="C20" s="6"/>
      <c r="D20" s="6"/>
      <c r="E20" s="6"/>
      <c r="F20" s="6"/>
      <c r="G20" s="6"/>
      <c r="H20" s="6"/>
      <c r="I20" s="6"/>
      <c r="J20" s="6"/>
      <c r="K20" s="6" t="s">
        <v>12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>
      <c r="A21" s="6"/>
      <c r="B21" s="6" t="s">
        <v>8</v>
      </c>
      <c r="C21" s="6"/>
      <c r="D21" s="6"/>
      <c r="E21" s="6"/>
      <c r="F21" s="6"/>
      <c r="G21" s="6"/>
      <c r="H21" s="6"/>
      <c r="I21" s="6"/>
      <c r="J21" s="6"/>
      <c r="K21" s="6" t="s">
        <v>10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>
      <c r="A22" s="6"/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 t="s">
        <v>19</v>
      </c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4.25">
      <c r="A23" s="6"/>
      <c r="B23" s="6" t="s">
        <v>18</v>
      </c>
      <c r="C23" s="6"/>
      <c r="D23" s="6"/>
      <c r="E23" s="6"/>
      <c r="F23" s="6"/>
      <c r="G23" s="6"/>
      <c r="H23" s="6"/>
      <c r="I23" s="6"/>
      <c r="J23" s="6"/>
      <c r="K23" s="6" t="s">
        <v>17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</sheetData>
  <mergeCells count="12">
    <mergeCell ref="W7:AA7"/>
    <mergeCell ref="D7:D8"/>
    <mergeCell ref="T7:V7"/>
    <mergeCell ref="E7:G7"/>
    <mergeCell ref="A3:AH3"/>
    <mergeCell ref="A4:AH4"/>
    <mergeCell ref="H7:K7"/>
    <mergeCell ref="A7:A8"/>
    <mergeCell ref="B7:B8"/>
    <mergeCell ref="C7:C8"/>
    <mergeCell ref="L7:S7"/>
    <mergeCell ref="AB7:AH7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57" r:id="rId1"/>
  <headerFooter alignWithMargins="0">
    <oddHeader>&amp;L&amp;"Arial CE,Tučná kurzíva"&amp;14Tabuľka 2.1.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I23"/>
  <sheetViews>
    <sheetView tabSelected="1" zoomScale="75" zoomScaleNormal="75" workbookViewId="0" topLeftCell="A1">
      <selection activeCell="AB5" sqref="AB5:AC5"/>
    </sheetView>
  </sheetViews>
  <sheetFormatPr defaultColWidth="9.00390625" defaultRowHeight="12.75"/>
  <cols>
    <col min="1" max="1" width="5.125" style="0" customWidth="1"/>
    <col min="2" max="4" width="6.625" style="0" customWidth="1"/>
    <col min="5" max="5" width="5.25390625" style="0" customWidth="1"/>
    <col min="6" max="6" width="4.00390625" style="0" customWidth="1"/>
    <col min="7" max="7" width="5.125" style="0" customWidth="1"/>
    <col min="8" max="10" width="4.00390625" style="0" customWidth="1"/>
    <col min="11" max="11" width="7.125" style="0" customWidth="1"/>
    <col min="12" max="12" width="9.25390625" style="0" customWidth="1"/>
    <col min="13" max="14" width="8.00390625" style="0" customWidth="1"/>
    <col min="15" max="16" width="6.625" style="0" customWidth="1"/>
    <col min="17" max="20" width="8.00390625" style="0" customWidth="1"/>
    <col min="21" max="22" width="6.625" style="0" customWidth="1"/>
    <col min="23" max="23" width="5.25390625" style="0" customWidth="1"/>
    <col min="24" max="24" width="6.125" style="0" customWidth="1"/>
    <col min="25" max="25" width="4.375" style="0" customWidth="1"/>
    <col min="26" max="26" width="5.00390625" style="0" customWidth="1"/>
    <col min="27" max="27" width="4.125" style="0" customWidth="1"/>
    <col min="28" max="28" width="5.25390625" style="0" customWidth="1"/>
    <col min="29" max="29" width="6.625" style="0" customWidth="1"/>
    <col min="30" max="31" width="4.00390625" style="0" customWidth="1"/>
    <col min="32" max="33" width="5.25390625" style="0" customWidth="1"/>
    <col min="34" max="34" width="5.00390625" style="0" customWidth="1"/>
  </cols>
  <sheetData>
    <row r="3" spans="1:34" ht="12.75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34" ht="12.75">
      <c r="A4" s="118" t="s">
        <v>55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9"/>
      <c r="T5" s="69"/>
      <c r="U5" s="69"/>
      <c r="V5" s="69"/>
      <c r="W5" s="69"/>
      <c r="X5" s="69"/>
      <c r="Y5" s="69"/>
      <c r="Z5" s="68"/>
      <c r="AA5" s="68"/>
      <c r="AB5" s="68"/>
      <c r="AC5" s="68"/>
      <c r="AD5" s="68"/>
      <c r="AE5" s="68"/>
      <c r="AF5" s="68"/>
      <c r="AG5" s="68"/>
      <c r="AH5" s="68"/>
    </row>
    <row r="6" spans="1:34" ht="13.5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ht="24" customHeight="1" thickBot="1" thickTop="1">
      <c r="A7" s="97" t="s">
        <v>0</v>
      </c>
      <c r="B7" s="99" t="s">
        <v>1</v>
      </c>
      <c r="C7" s="101" t="s">
        <v>2</v>
      </c>
      <c r="D7" s="103" t="s">
        <v>54</v>
      </c>
      <c r="E7" s="121" t="s">
        <v>20</v>
      </c>
      <c r="F7" s="132"/>
      <c r="G7" s="133"/>
      <c r="H7" s="120" t="s">
        <v>5</v>
      </c>
      <c r="I7" s="121"/>
      <c r="J7" s="121"/>
      <c r="K7" s="122"/>
      <c r="L7" s="129" t="s">
        <v>50</v>
      </c>
      <c r="M7" s="130"/>
      <c r="N7" s="130"/>
      <c r="O7" s="130"/>
      <c r="P7" s="130"/>
      <c r="Q7" s="130"/>
      <c r="R7" s="130"/>
      <c r="S7" s="131"/>
      <c r="T7" s="125" t="s">
        <v>6</v>
      </c>
      <c r="U7" s="126"/>
      <c r="V7" s="126"/>
      <c r="W7" s="128" t="s">
        <v>52</v>
      </c>
      <c r="X7" s="128"/>
      <c r="Y7" s="128"/>
      <c r="Z7" s="128"/>
      <c r="AA7" s="128"/>
      <c r="AB7" s="125" t="s">
        <v>53</v>
      </c>
      <c r="AC7" s="126"/>
      <c r="AD7" s="126"/>
      <c r="AE7" s="126"/>
      <c r="AF7" s="126"/>
      <c r="AG7" s="126"/>
      <c r="AH7" s="127"/>
    </row>
    <row r="8" spans="1:34" ht="138.75" customHeight="1" thickBot="1" thickTop="1">
      <c r="A8" s="98"/>
      <c r="B8" s="123"/>
      <c r="C8" s="124"/>
      <c r="D8" s="134"/>
      <c r="E8" s="56" t="s">
        <v>29</v>
      </c>
      <c r="F8" s="66" t="s">
        <v>30</v>
      </c>
      <c r="G8" s="66" t="s">
        <v>13</v>
      </c>
      <c r="H8" s="65" t="s">
        <v>31</v>
      </c>
      <c r="I8" s="65" t="s">
        <v>13</v>
      </c>
      <c r="J8" s="65" t="s">
        <v>4</v>
      </c>
      <c r="K8" s="66" t="s">
        <v>14</v>
      </c>
      <c r="L8" s="64" t="s">
        <v>32</v>
      </c>
      <c r="M8" s="65" t="s">
        <v>33</v>
      </c>
      <c r="N8" s="65" t="s">
        <v>49</v>
      </c>
      <c r="O8" s="65" t="s">
        <v>33</v>
      </c>
      <c r="P8" s="65" t="s">
        <v>34</v>
      </c>
      <c r="Q8" s="65" t="s">
        <v>15</v>
      </c>
      <c r="R8" s="65" t="s">
        <v>35</v>
      </c>
      <c r="S8" s="67" t="s">
        <v>16</v>
      </c>
      <c r="T8" s="47" t="s">
        <v>36</v>
      </c>
      <c r="U8" s="47" t="s">
        <v>37</v>
      </c>
      <c r="V8" s="47" t="s">
        <v>38</v>
      </c>
      <c r="W8" s="42" t="s">
        <v>39</v>
      </c>
      <c r="X8" s="47" t="s">
        <v>40</v>
      </c>
      <c r="Y8" s="47" t="s">
        <v>41</v>
      </c>
      <c r="Z8" s="47" t="s">
        <v>42</v>
      </c>
      <c r="AA8" s="47" t="s">
        <v>43</v>
      </c>
      <c r="AB8" s="5" t="s">
        <v>44</v>
      </c>
      <c r="AC8" s="47" t="s">
        <v>45</v>
      </c>
      <c r="AD8" s="47" t="s">
        <v>34</v>
      </c>
      <c r="AE8" s="47" t="s">
        <v>46</v>
      </c>
      <c r="AF8" s="47" t="s">
        <v>35</v>
      </c>
      <c r="AG8" s="47" t="s">
        <v>47</v>
      </c>
      <c r="AH8" s="47" t="s">
        <v>48</v>
      </c>
    </row>
    <row r="9" spans="1:34" s="35" customFormat="1" ht="49.5" customHeight="1" thickBot="1" thickTop="1">
      <c r="A9" s="71" t="s">
        <v>21</v>
      </c>
      <c r="B9" s="72">
        <f>'35. týždeň'!B9+'36. týždeň'!B9+'37. týždeň 2008'!B8+'38. týždeň'!B8+'39. týždeň 2008'!B9+'40. týždeň 2008'!B9</f>
        <v>933</v>
      </c>
      <c r="C9" s="73">
        <f>'35. týždeň'!C9+'36. týždeň'!C9+'37. týždeň 2008'!C8+'38. týždeň'!C8+'39. týždeň 2008'!C9+'40. týždeň 2008'!C9</f>
        <v>355</v>
      </c>
      <c r="D9" s="73">
        <f>'35. týždeň'!D9+'36. týždeň'!D9+'37. týždeň 2008'!D8+'38. týždeň'!D8+'39. týždeň 2008'!D9+'40. týždeň 2008'!D9</f>
        <v>105</v>
      </c>
      <c r="E9" s="73">
        <f>'35. týždeň'!E9+'36. týždeň'!E9+'37. týždeň 2008'!E8+'38. týždeň'!E8+'39. týždeň 2008'!E9+'40. týždeň 2008'!E9</f>
        <v>48</v>
      </c>
      <c r="F9" s="73">
        <f>'35. týždeň'!F9+'36. týždeň'!F9+'37. týždeň 2008'!F8+'38. týždeň'!F8+'39. týždeň 2008'!F9+'40. týždeň 2008'!F9</f>
        <v>7</v>
      </c>
      <c r="G9" s="73">
        <f>'35. týždeň'!G9+'36. týždeň'!G9+'37. týždeň 2008'!G8+'38. týždeň'!G8+'39. týždeň 2008'!G9+'40. týždeň 2008'!G9</f>
        <v>18</v>
      </c>
      <c r="H9" s="73">
        <f>'35. týždeň'!H9+'36. týždeň'!H9+'37. týždeň 2008'!H8+'38. týždeň'!H8+'39. týždeň 2008'!H9+'40. týždeň 2008'!H9</f>
        <v>15</v>
      </c>
      <c r="I9" s="73">
        <f>'35. týždeň'!I9+'36. týždeň'!I9+'37. týždeň 2008'!I8+'38. týždeň'!I8+'39. týždeň 2008'!I9+'40. týždeň 2008'!I9</f>
        <v>8</v>
      </c>
      <c r="J9" s="73">
        <f>'35. týždeň'!J9+'36. týždeň'!J9+'37. týždeň 2008'!J8+'38. týždeň'!J8+'39. týždeň 2008'!J9+'40. týždeň 2008'!J9</f>
        <v>9</v>
      </c>
      <c r="K9" s="73">
        <f>'35. týždeň'!K9+'36. týždeň'!K9+'37. týždeň 2008'!K8+'38. týždeň'!K8+'39. týždeň 2008'!K9+'40. týždeň 2008'!K9</f>
        <v>9</v>
      </c>
      <c r="L9" s="73">
        <f>'35. týždeň'!L9+'36. týždeň'!L9+'37. týždeň 2008'!L8+'38. týždeň'!L8+'39. týždeň 2008'!L9+'40. týždeň 2008'!L9</f>
        <v>47595</v>
      </c>
      <c r="M9" s="73">
        <f>'35. týždeň'!M9+'36. týždeň'!M9+'37. týždeň 2008'!M8+'38. týždeň'!M8+'39. týždeň 2008'!M9+'40. týždeň 2008'!M9</f>
        <v>11843</v>
      </c>
      <c r="N9" s="73">
        <f>'35. týždeň'!N9+'36. týždeň'!N9+'37. týždeň 2008'!N8+'38. týždeň'!N8+'39. týždeň 2008'!N9+'40. týždeň 2008'!N9</f>
        <v>3657</v>
      </c>
      <c r="O9" s="73">
        <f>'35. týždeň'!O9+'36. týždeň'!O9+'37. týždeň 2008'!O8+'38. týždeň'!O8+'39. týždeň 2008'!O9+'40. týždeň 2008'!O9</f>
        <v>474</v>
      </c>
      <c r="P9" s="73">
        <f>'35. týždeň'!P9+'36. týždeň'!P9+'37. týždeň 2008'!P8+'38. týždeň'!P8+'39. týždeň 2008'!P9+'40. týždeň 2008'!P9</f>
        <v>1900</v>
      </c>
      <c r="Q9" s="73">
        <f>'35. týždeň'!Q9+'36. týždeň'!Q9+'37. týždeň 2008'!Q8+'38. týždeň'!Q8+'39. týždeň 2008'!Q9+'40. týždeň 2008'!Q9</f>
        <v>3632</v>
      </c>
      <c r="R9" s="73">
        <f>'35. týždeň'!R9+'36. týždeň'!R9+'37. týždeň 2008'!R8+'38. týždeň'!R8+'39. týždeň 2008'!R9+'40. týždeň 2008'!R9</f>
        <v>3784</v>
      </c>
      <c r="S9" s="73">
        <f>'35. týždeň'!S9+'36. týždeň'!S9+'37. týždeň 2008'!S8+'38. týždeň'!S8+'39. týždeň 2008'!S9+'40. týždeň 2008'!S9</f>
        <v>3506</v>
      </c>
      <c r="T9" s="73">
        <f>'35. týždeň'!T9+'36. týždeň'!T9+'37. týždeň 2008'!T8+'38. týždeň'!T8+'39. týždeň 2008'!T9+'40. týždeň 2008'!T9</f>
        <v>949</v>
      </c>
      <c r="U9" s="73">
        <f>'35. týždeň'!U9+'36. týždeň'!U9+'37. týždeň 2008'!U8+'38. týždeň'!U8+'39. týždeň 2008'!U9+'40. týždeň 2008'!U9</f>
        <v>276</v>
      </c>
      <c r="V9" s="73">
        <f>'35. týždeň'!V9+'36. týždeň'!V9+'37. týždeň 2008'!V8+'38. týždeň'!V8+'39. týždeň 2008'!V9+'40. týždeň 2008'!V9</f>
        <v>140</v>
      </c>
      <c r="W9" s="73">
        <f>'35. týždeň'!W9+'36. týždeň'!W9+'37. týždeň 2008'!W8+'38. týždeň'!W8+'39. týždeň 2008'!W9+'40. týždeň 2008'!W9</f>
        <v>0</v>
      </c>
      <c r="X9" s="73">
        <f>'35. týždeň'!X9+'36. týždeň'!X9+'37. týždeň 2008'!X8+'38. týždeň'!X8+'39. týždeň 2008'!X9+'40. týždeň 2008'!X9</f>
        <v>0</v>
      </c>
      <c r="Y9" s="73">
        <f>'35. týždeň'!Y9+'36. týždeň'!Y9+'37. týždeň 2008'!Y8+'38. týždeň'!Y8+'39. týždeň 2008'!Y9+'40. týždeň 2008'!Y9</f>
        <v>0</v>
      </c>
      <c r="Z9" s="73">
        <f>'35. týždeň'!Z9+'36. týždeň'!Z9+'37. týždeň 2008'!Z8+'38. týždeň'!Z8+'39. týždeň 2008'!Z9+'40. týždeň 2008'!Z9</f>
        <v>0</v>
      </c>
      <c r="AA9" s="73">
        <f>'35. týždeň'!AA9+'36. týždeň'!AA9+'37. týždeň 2008'!AA8+'38. týždeň'!AA8+'39. týždeň 2008'!AA9+'40. týždeň 2008'!AA9</f>
        <v>0</v>
      </c>
      <c r="AB9" s="73">
        <f>'35. týždeň'!AB9+'36. týždeň'!AB9+'37. týždeň 2008'!AB8+'38. týždeň'!AB8+'39. týždeň 2008'!AB9+'40. týždeň 2008'!AB9</f>
        <v>19</v>
      </c>
      <c r="AC9" s="73">
        <f>'35. týždeň'!AC9+'36. týždeň'!AC9+'37. týždeň 2008'!AC8+'38. týždeň'!AC8+'39. týždeň 2008'!AC9+'40. týždeň 2008'!AC9</f>
        <v>403</v>
      </c>
      <c r="AD9" s="73">
        <f>'35. týždeň'!AD9+'36. týždeň'!AD9+'37. týždeň 2008'!AD8+'38. týždeň'!AD8+'39. týždeň 2008'!AD9+'40. týždeň 2008'!AD9</f>
        <v>3</v>
      </c>
      <c r="AE9" s="73">
        <f>'35. týždeň'!AE9+'36. týždeň'!AE9+'37. týždeň 2008'!AE8+'38. týždeň'!AE8+'39. týždeň 2008'!AE9+'40. týždeň 2008'!AE9</f>
        <v>2</v>
      </c>
      <c r="AF9" s="73">
        <f>'35. týždeň'!AF9+'36. týždeň'!AF9+'37. týždeň 2008'!AF8+'38. týždeň'!AF8+'39. týždeň 2008'!AF9+'40. týždeň 2008'!AF9</f>
        <v>34</v>
      </c>
      <c r="AG9" s="74">
        <f>'35. týždeň'!AG9+'36. týždeň'!AG9+'37. týždeň 2008'!AG8+'38. týždeň'!AG8+'39. týždeň 2008'!AG9+'40. týždeň 2008'!AG9</f>
        <v>31</v>
      </c>
      <c r="AH9" s="75">
        <f>'35. týždeň'!AH9+'36. týždeň'!AH9+'37. týždeň 2008'!AH8+'38. týždeň'!AH8+'39. týždeň 2008'!AH9+'40. týždeň 2008'!AH9</f>
        <v>0</v>
      </c>
    </row>
    <row r="10" spans="1:34" s="35" customFormat="1" ht="49.5" customHeight="1" thickBot="1" thickTop="1">
      <c r="A10" s="71" t="s">
        <v>28</v>
      </c>
      <c r="B10" s="76">
        <f>'35. týždeň'!B10+'36. týždeň'!B10+'37. týždeň 2008'!B9+'38. týždeň'!B9+'39. týždeň 2008'!B10+'40. týždeň 2008'!B10</f>
        <v>629</v>
      </c>
      <c r="C10" s="77">
        <f>'35. týždeň'!C10+'36. týždeň'!C10+'37. týždeň 2008'!C9+'38. týždeň'!C9+'39. týždeň 2008'!C10+'40. týždeň 2008'!C10</f>
        <v>272</v>
      </c>
      <c r="D10" s="77">
        <f>'35. týždeň'!D10+'36. týždeň'!D10+'37. týždeň 2008'!D9+'38. týždeň'!D9+'39. týždeň 2008'!D10+'40. týždeň 2008'!D10</f>
        <v>125</v>
      </c>
      <c r="E10" s="77">
        <f>'35. týždeň'!E10+'36. týždeň'!E10+'37. týždeň 2008'!E9+'38. týždeň'!E9+'39. týždeň 2008'!E10+'40. týždeň 2008'!E10</f>
        <v>19</v>
      </c>
      <c r="F10" s="77">
        <f>'35. týždeň'!F10+'36. týždeň'!F10+'37. týždeň 2008'!F9+'38. týždeň'!F9+'39. týždeň 2008'!F10+'40. týždeň 2008'!F10</f>
        <v>10</v>
      </c>
      <c r="G10" s="77">
        <f>'35. týždeň'!G10+'36. týždeň'!G10+'37. týždeň 2008'!G9+'38. týždeň'!G9+'39. týždeň 2008'!G10+'40. týždeň 2008'!G10</f>
        <v>5</v>
      </c>
      <c r="H10" s="77">
        <f>'35. týždeň'!H10+'36. týždeň'!H10+'37. týždeň 2008'!H9+'38. týždeň'!H9+'39. týždeň 2008'!H10+'40. týždeň 2008'!H10</f>
        <v>20</v>
      </c>
      <c r="I10" s="77">
        <f>'35. týždeň'!I10+'36. týždeň'!I10+'37. týždeň 2008'!I9+'38. týždeň'!I9+'39. týždeň 2008'!I10+'40. týždeň 2008'!I10</f>
        <v>7</v>
      </c>
      <c r="J10" s="77">
        <f>'35. týždeň'!J10+'36. týždeň'!J10+'37. týždeň 2008'!J9+'38. týždeň'!J9+'39. týždeň 2008'!J10+'40. týždeň 2008'!J10</f>
        <v>10</v>
      </c>
      <c r="K10" s="77">
        <f>'35. týždeň'!K10+'36. týždeň'!K10+'37. týždeň 2008'!K9+'38. týždeň'!K9+'39. týždeň 2008'!K10+'40. týždeň 2008'!K10</f>
        <v>4</v>
      </c>
      <c r="L10" s="77">
        <f>'35. týždeň'!L10+'36. týždeň'!L10+'37. týždeň 2008'!L9+'38. týždeň'!L9+'39. týždeň 2008'!L10+'40. týždeň 2008'!L10</f>
        <v>42373</v>
      </c>
      <c r="M10" s="77">
        <f>'35. týždeň'!M10+'36. týždeň'!M10+'37. týždeň 2008'!M9+'38. týždeň'!M9+'39. týždeň 2008'!M10+'40. týždeň 2008'!M10</f>
        <v>3865</v>
      </c>
      <c r="N10" s="77">
        <f>'35. týždeň'!N10+'36. týždeň'!N10+'37. týždeň 2008'!N9+'38. týždeň'!N9+'39. týždeň 2008'!N10+'40. týždeň 2008'!N10</f>
        <v>1040</v>
      </c>
      <c r="O10" s="77">
        <f>'35. týždeň'!O10+'36. týždeň'!O10+'37. týždeň 2008'!O9+'38. týždeň'!O9+'39. týždeň 2008'!O10+'40. týždeň 2008'!O10</f>
        <v>67</v>
      </c>
      <c r="P10" s="77">
        <f>'35. týždeň'!P10+'36. týždeň'!P10+'37. týždeň 2008'!P9+'38. týždeň'!P9+'39. týždeň 2008'!P10+'40. týždeň 2008'!P10</f>
        <v>2426</v>
      </c>
      <c r="Q10" s="77">
        <f>'35. týždeň'!Q10+'36. týždeň'!Q10+'37. týždeň 2008'!Q9+'38. týždeň'!Q9+'39. týždeň 2008'!Q10+'40. týždeň 2008'!Q10</f>
        <v>2102</v>
      </c>
      <c r="R10" s="77">
        <f>'35. týždeň'!R10+'36. týždeň'!R10+'37. týždeň 2008'!R9+'38. týždeň'!R9+'39. týždeň 2008'!R10+'40. týždeň 2008'!R10</f>
        <v>2828</v>
      </c>
      <c r="S10" s="77">
        <f>'35. týždeň'!S10+'36. týždeň'!S10+'37. týždeň 2008'!S9+'38. týždeň'!S9+'39. týždeň 2008'!S10+'40. týždeň 2008'!S10</f>
        <v>1943</v>
      </c>
      <c r="T10" s="77">
        <f>'35. týždeň'!T10+'36. týždeň'!T10+'37. týždeň 2008'!T9+'38. týždeň'!T9+'39. týždeň 2008'!T10+'40. týždeň 2008'!T10</f>
        <v>725</v>
      </c>
      <c r="U10" s="77">
        <f>'35. týždeň'!U10+'36. týždeň'!U10+'37. týždeň 2008'!U9+'38. týždeň'!U9+'39. týždeň 2008'!U10+'40. týždeň 2008'!U10</f>
        <v>125</v>
      </c>
      <c r="V10" s="77">
        <f>'35. týždeň'!V10+'36. týždeň'!V10+'37. týždeň 2008'!V9+'38. týždeň'!V9+'39. týždeň 2008'!V10+'40. týždeň 2008'!V10</f>
        <v>367</v>
      </c>
      <c r="W10" s="77">
        <f>'35. týždeň'!W10+'36. týždeň'!W10+'37. týždeň 2008'!W9+'38. týždeň'!W9+'39. týždeň 2008'!W10+'40. týždeň 2008'!W10</f>
        <v>0</v>
      </c>
      <c r="X10" s="77">
        <f>'35. týždeň'!X10+'36. týždeň'!X10+'37. týždeň 2008'!X9+'38. týždeň'!X9+'39. týždeň 2008'!X10+'40. týždeň 2008'!X10</f>
        <v>30</v>
      </c>
      <c r="Y10" s="77">
        <f>'35. týždeň'!Y10+'36. týždeň'!Y10+'37. týždeň 2008'!Y9+'38. týždeň'!Y9+'39. týždeň 2008'!Y10+'40. týždeň 2008'!Y10</f>
        <v>0</v>
      </c>
      <c r="Z10" s="77">
        <f>'35. týždeň'!Z10+'36. týždeň'!Z10+'37. týždeň 2008'!Z9+'38. týždeň'!Z9+'39. týždeň 2008'!Z10+'40. týždeň 2008'!Z10</f>
        <v>0</v>
      </c>
      <c r="AA10" s="77">
        <f>'35. týždeň'!AA10+'36. týždeň'!AA10+'37. týždeň 2008'!AA9+'38. týždeň'!AA9+'39. týždeň 2008'!AA10+'40. týždeň 2008'!AA10</f>
        <v>0</v>
      </c>
      <c r="AB10" s="77">
        <f>'35. týždeň'!AB10+'36. týždeň'!AB10+'37. týždeň 2008'!AB9+'38. týždeň'!AB9+'39. týždeň 2008'!AB10+'40. týždeň 2008'!AB10</f>
        <v>5</v>
      </c>
      <c r="AC10" s="77">
        <f>'35. týždeň'!AC10+'36. týždeň'!AC10+'37. týždeň 2008'!AC9+'38. týždeň'!AC9+'39. týždeň 2008'!AC10+'40. týždeň 2008'!AC10</f>
        <v>152</v>
      </c>
      <c r="AD10" s="77">
        <f>'35. týždeň'!AD10+'36. týždeň'!AD10+'37. týždeň 2008'!AD9+'38. týždeň'!AD9+'39. týždeň 2008'!AD10+'40. týždeň 2008'!AD10</f>
        <v>90</v>
      </c>
      <c r="AE10" s="77">
        <f>'35. týždeň'!AE10+'36. týždeň'!AE10+'37. týždeň 2008'!AE9+'38. týždeň'!AE9+'39. týždeň 2008'!AE10+'40. týždeň 2008'!AE10</f>
        <v>0</v>
      </c>
      <c r="AF10" s="77">
        <f>'35. týždeň'!AF10+'36. týždeň'!AF10+'37. týždeň 2008'!AF9+'38. týždeň'!AF9+'39. týždeň 2008'!AF10+'40. týždeň 2008'!AF10</f>
        <v>10</v>
      </c>
      <c r="AG10" s="78">
        <f>'35. týždeň'!AG10+'36. týždeň'!AG10+'37. týždeň 2008'!AG9+'38. týždeň'!AG9+'39. týždeň 2008'!AG10+'40. týždeň 2008'!AG10</f>
        <v>0</v>
      </c>
      <c r="AH10" s="75">
        <f>'35. týždeň'!AH10+'36. týždeň'!AH10+'37. týždeň 2008'!AH9+'38. týždeň'!AH9+'39. týždeň 2008'!AH10+'40. týždeň 2008'!AH10</f>
        <v>0</v>
      </c>
    </row>
    <row r="11" spans="1:35" s="35" customFormat="1" ht="49.5" customHeight="1" thickBot="1" thickTop="1">
      <c r="A11" s="71" t="s">
        <v>22</v>
      </c>
      <c r="B11" s="76">
        <f>'35. týždeň'!B11+'36. týždeň'!B11+'37. týždeň 2008'!B10+'38. týždeň'!B10+'39. týždeň 2008'!B11+'40. týždeň 2008'!B11</f>
        <v>787</v>
      </c>
      <c r="C11" s="77">
        <f>'35. týždeň'!C11+'36. týždeň'!C11+'37. týždeň 2008'!C10+'38. týždeň'!C10+'39. týždeň 2008'!C11+'40. týždeň 2008'!C11</f>
        <v>447</v>
      </c>
      <c r="D11" s="77">
        <f>'35. týždeň'!D11+'36. týždeň'!D11+'37. týždeň 2008'!D10+'38. týždeň'!D10+'39. týždeň 2008'!D11+'40. týždeň 2008'!D11</f>
        <v>191</v>
      </c>
      <c r="E11" s="77">
        <f>'35. týždeň'!E11+'36. týždeň'!E11+'37. týždeň 2008'!E10+'38. týždeň'!E10+'39. týždeň 2008'!E11+'40. týždeň 2008'!E11</f>
        <v>16</v>
      </c>
      <c r="F11" s="77">
        <f>'35. týždeň'!F11+'36. týždeň'!F11+'37. týždeň 2008'!F10+'38. týždeň'!F10+'39. týždeň 2008'!F11+'40. týždeň 2008'!F11</f>
        <v>0</v>
      </c>
      <c r="G11" s="77">
        <f>'35. týždeň'!G11+'36. týždeň'!G11+'37. týždeň 2008'!G10+'38. týždeň'!G10+'39. týždeň 2008'!G11+'40. týždeň 2008'!G11</f>
        <v>18</v>
      </c>
      <c r="H11" s="77">
        <f>'35. týždeň'!H11+'36. týždeň'!H11+'37. týždeň 2008'!H10+'38. týždeň'!H10+'39. týždeň 2008'!H11+'40. týždeň 2008'!H11</f>
        <v>0</v>
      </c>
      <c r="I11" s="77">
        <f>'35. týždeň'!I11+'36. týždeň'!I11+'37. týždeň 2008'!I10+'38. týždeň'!I10+'39. týždeň 2008'!I11+'40. týždeň 2008'!I11</f>
        <v>7</v>
      </c>
      <c r="J11" s="77">
        <f>'35. týždeň'!J11+'36. týždeň'!J11+'37. týždeň 2008'!J10+'38. týždeň'!J10+'39. týždeň 2008'!J11+'40. týždeň 2008'!J11</f>
        <v>2</v>
      </c>
      <c r="K11" s="77">
        <f>'35. týždeň'!K11+'36. týždeň'!K11+'37. týždeň 2008'!K10+'38. týždeň'!K10+'39. týždeň 2008'!K11+'40. týždeň 2008'!K11</f>
        <v>0</v>
      </c>
      <c r="L11" s="77">
        <f>'35. týždeň'!L11+'36. týždeň'!L11+'37. týždeň 2008'!L10+'38. týždeň'!L10+'39. týždeň 2008'!L11+'40. týždeň 2008'!L11</f>
        <v>37374</v>
      </c>
      <c r="M11" s="77">
        <f>'35. týždeň'!M11+'36. týždeň'!M11+'37. týždeň 2008'!M10+'38. týždeň'!M10+'39. týždeň 2008'!M11+'40. týždeň 2008'!M11</f>
        <v>3848</v>
      </c>
      <c r="N11" s="77">
        <f>'35. týždeň'!N11+'36. týždeň'!N11+'37. týždeň 2008'!N10+'38. týždeň'!N10+'39. týždeň 2008'!N11+'40. týždeň 2008'!N11</f>
        <v>7980</v>
      </c>
      <c r="O11" s="77">
        <f>'35. týždeň'!O11+'36. týždeň'!O11+'37. týždeň 2008'!O10+'38. týždeň'!O10+'39. týždeň 2008'!O11+'40. týždeň 2008'!O11</f>
        <v>526</v>
      </c>
      <c r="P11" s="77">
        <f>'35. týždeň'!P11+'36. týždeň'!P11+'37. týždeň 2008'!P10+'38. týždeň'!P10+'39. týždeň 2008'!P11+'40. týždeň 2008'!P11</f>
        <v>339</v>
      </c>
      <c r="Q11" s="77">
        <f>'35. týždeň'!Q11+'36. týždeň'!Q11+'37. týždeň 2008'!Q10+'38. týždeň'!Q10+'39. týždeň 2008'!Q11+'40. týždeň 2008'!Q11</f>
        <v>1444</v>
      </c>
      <c r="R11" s="77">
        <f>'35. týždeň'!R11+'36. týždeň'!R11+'37. týždeň 2008'!R10+'38. týždeň'!R10+'39. týždeň 2008'!R11+'40. týždeň 2008'!R11</f>
        <v>3135</v>
      </c>
      <c r="S11" s="77">
        <f>'35. týždeň'!S11+'36. týždeň'!S11+'37. týždeň 2008'!S10+'38. týždeň'!S10+'39. týždeň 2008'!S11+'40. týždeň 2008'!S11</f>
        <v>3311</v>
      </c>
      <c r="T11" s="77">
        <f>'35. týždeň'!T11+'36. týždeň'!T11+'37. týždeň 2008'!T10+'38. týždeň'!T10+'39. týždeň 2008'!T11+'40. týždeň 2008'!T11</f>
        <v>765</v>
      </c>
      <c r="U11" s="77">
        <f>'35. týždeň'!U11+'36. týždeň'!U11+'37. týždeň 2008'!U10+'38. týždeň'!U10+'39. týždeň 2008'!U11+'40. týždeň 2008'!U11</f>
        <v>80</v>
      </c>
      <c r="V11" s="77">
        <f>'35. týždeň'!V11+'36. týždeň'!V11+'37. týždeň 2008'!V10+'38. týždeň'!V10+'39. týždeň 2008'!V11+'40. týždeň 2008'!V11</f>
        <v>40</v>
      </c>
      <c r="W11" s="77">
        <f>'35. týždeň'!W11+'36. týždeň'!W11+'37. týždeň 2008'!W10+'38. týždeň'!W10+'39. týždeň 2008'!W11+'40. týždeň 2008'!W11</f>
        <v>0</v>
      </c>
      <c r="X11" s="77">
        <f>'35. týždeň'!X11+'36. týždeň'!X11+'37. týždeň 2008'!X10+'38. týždeň'!X10+'39. týždeň 2008'!X11+'40. týždeň 2008'!X11</f>
        <v>0</v>
      </c>
      <c r="Y11" s="77">
        <f>'35. týždeň'!Y11+'36. týždeň'!Y11+'37. týždeň 2008'!Y10+'38. týždeň'!Y10+'39. týždeň 2008'!Y11+'40. týždeň 2008'!Y11</f>
        <v>0</v>
      </c>
      <c r="Z11" s="77">
        <f>'35. týždeň'!Z11+'36. týždeň'!Z11+'37. týždeň 2008'!Z10+'38. týždeň'!Z10+'39. týždeň 2008'!Z11+'40. týždeň 2008'!Z11</f>
        <v>0</v>
      </c>
      <c r="AA11" s="77">
        <f>'35. týždeň'!AA11+'36. týždeň'!AA11+'37. týždeň 2008'!AA10+'38. týždeň'!AA10+'39. týždeň 2008'!AA11+'40. týždeň 2008'!AA11</f>
        <v>0</v>
      </c>
      <c r="AB11" s="77">
        <f>'35. týždeň'!AB11+'36. týždeň'!AB11+'37. týždeň 2008'!AB10+'38. týždeň'!AB10+'39. týždeň 2008'!AB11+'40. týždeň 2008'!AB11</f>
        <v>0</v>
      </c>
      <c r="AC11" s="77">
        <f>'35. týždeň'!AC11+'36. týždeň'!AC11+'37. týždeň 2008'!AC10+'38. týždeň'!AC10+'39. týždeň 2008'!AC11+'40. týždeň 2008'!AC11</f>
        <v>0</v>
      </c>
      <c r="AD11" s="77">
        <f>'35. týždeň'!AD11+'36. týždeň'!AD11+'37. týždeň 2008'!AD10+'38. týždeň'!AD10+'39. týždeň 2008'!AD11+'40. týždeň 2008'!AD11</f>
        <v>0</v>
      </c>
      <c r="AE11" s="77">
        <f>'35. týždeň'!AE11+'36. týždeň'!AE11+'37. týždeň 2008'!AE10+'38. týždeň'!AE10+'39. týždeň 2008'!AE11+'40. týždeň 2008'!AE11</f>
        <v>0</v>
      </c>
      <c r="AF11" s="77">
        <f>'35. týždeň'!AF11+'36. týždeň'!AF11+'37. týždeň 2008'!AF10+'38. týždeň'!AF10+'39. týždeň 2008'!AF11+'40. týždeň 2008'!AF11</f>
        <v>0</v>
      </c>
      <c r="AG11" s="78">
        <f>'35. týždeň'!AG11+'36. týždeň'!AG11+'37. týždeň 2008'!AG10+'38. týždeň'!AG10+'39. týždeň 2008'!AG11+'40. týždeň 2008'!AG11</f>
        <v>0</v>
      </c>
      <c r="AH11" s="75">
        <f>'35. týždeň'!AH11+'36. týždeň'!AH11+'37. týždeň 2008'!AH10+'38. týždeň'!AH10+'39. týždeň 2008'!AH11+'40. týždeň 2008'!AH11</f>
        <v>0</v>
      </c>
      <c r="AI11" s="34"/>
    </row>
    <row r="12" spans="1:34" s="35" customFormat="1" ht="49.5" customHeight="1" thickBot="1" thickTop="1">
      <c r="A12" s="71" t="s">
        <v>23</v>
      </c>
      <c r="B12" s="76">
        <f>'35. týždeň'!B12+'36. týždeň'!B12+'37. týždeň 2008'!B11+'38. týždeň'!B11+'39. týždeň 2008'!B12+'40. týždeň 2008'!B12</f>
        <v>777</v>
      </c>
      <c r="C12" s="77">
        <f>'35. týždeň'!C12+'36. týždeň'!C12+'37. týždeň 2008'!C11+'38. týždeň'!C11+'39. týždeň 2008'!C12+'40. týždeň 2008'!C12</f>
        <v>333</v>
      </c>
      <c r="D12" s="77">
        <f>'35. týždeň'!D12+'36. týždeň'!D12+'37. týždeň 2008'!D11+'38. týždeň'!D11+'39. týždeň 2008'!D12+'40. týždeň 2008'!D12</f>
        <v>184</v>
      </c>
      <c r="E12" s="77">
        <f>'35. týždeň'!E12+'36. týždeň'!E12+'37. týždeň 2008'!E11+'38. týždeň'!E11+'39. týždeň 2008'!E12+'40. týždeň 2008'!E12</f>
        <v>25</v>
      </c>
      <c r="F12" s="77">
        <f>'35. týždeň'!F12+'36. týždeň'!F12+'37. týždeň 2008'!F11+'38. týždeň'!F11+'39. týždeň 2008'!F12+'40. týždeň 2008'!F12</f>
        <v>0</v>
      </c>
      <c r="G12" s="77">
        <f>'35. týždeň'!G12+'36. týždeň'!G12+'37. týždeň 2008'!G11+'38. týždeň'!G11+'39. týždeň 2008'!G12+'40. týždeň 2008'!G12</f>
        <v>3</v>
      </c>
      <c r="H12" s="77">
        <f>'35. týždeň'!H12+'36. týždeň'!H12+'37. týždeň 2008'!H11+'38. týždeň'!H11+'39. týždeň 2008'!H12+'40. týždeň 2008'!H12</f>
        <v>7</v>
      </c>
      <c r="I12" s="77">
        <f>'35. týždeň'!I12+'36. týždeň'!I12+'37. týždeň 2008'!I11+'38. týždeň'!I11+'39. týždeň 2008'!I12+'40. týždeň 2008'!I12</f>
        <v>3</v>
      </c>
      <c r="J12" s="77">
        <f>'35. týždeň'!J12+'36. týždeň'!J12+'37. týždeň 2008'!J11+'38. týždeň'!J11+'39. týždeň 2008'!J12+'40. týždeň 2008'!J12</f>
        <v>2</v>
      </c>
      <c r="K12" s="77">
        <f>'35. týždeň'!K12+'36. týždeň'!K12+'37. týždeň 2008'!K11+'38. týždeň'!K11+'39. týždeň 2008'!K12+'40. týždeň 2008'!K12</f>
        <v>4</v>
      </c>
      <c r="L12" s="77">
        <f>'35. týždeň'!L12+'36. týždeň'!L12+'37. týždeň 2008'!L11+'38. týždeň'!L11+'39. týždeň 2008'!L12+'40. týždeň 2008'!L12</f>
        <v>29410</v>
      </c>
      <c r="M12" s="77">
        <f>'35. týždeň'!M12+'36. týždeň'!M12+'37. týždeň 2008'!M11+'38. týždeň'!M11+'39. týždeň 2008'!M12+'40. týždeň 2008'!M12</f>
        <v>4133</v>
      </c>
      <c r="N12" s="77">
        <f>'35. týždeň'!N12+'36. týždeň'!N12+'37. týždeň 2008'!N11+'38. týždeň'!N11+'39. týždeň 2008'!N12+'40. týždeň 2008'!N12</f>
        <v>3476</v>
      </c>
      <c r="O12" s="77">
        <f>'35. týždeň'!O12+'36. týždeň'!O12+'37. týždeň 2008'!O11+'38. týždeň'!O11+'39. týždeň 2008'!O12+'40. týždeň 2008'!O12</f>
        <v>325</v>
      </c>
      <c r="P12" s="77">
        <f>'35. týždeň'!P12+'36. týždeň'!P12+'37. týždeň 2008'!P11+'38. týždeň'!P11+'39. týždeň 2008'!P12+'40. týždeň 2008'!P12</f>
        <v>721</v>
      </c>
      <c r="Q12" s="77">
        <f>'35. týždeň'!Q12+'36. týždeň'!Q12+'37. týždeň 2008'!Q11+'38. týždeň'!Q11+'39. týždeň 2008'!Q12+'40. týždeň 2008'!Q12</f>
        <v>2260</v>
      </c>
      <c r="R12" s="77">
        <f>'35. týždeň'!R12+'36. týždeň'!R12+'37. týždeň 2008'!R11+'38. týždeň'!R11+'39. týždeň 2008'!R12+'40. týždeň 2008'!R12</f>
        <v>346</v>
      </c>
      <c r="S12" s="77">
        <f>'35. týždeň'!S12+'36. týždeň'!S12+'37. týždeň 2008'!S11+'38. týždeň'!S11+'39. týždeň 2008'!S12+'40. týždeň 2008'!S12</f>
        <v>189</v>
      </c>
      <c r="T12" s="77">
        <f>'35. týždeň'!T12+'36. týždeň'!T12+'37. týždeň 2008'!T11+'38. týždeň'!T11+'39. týždeň 2008'!T12+'40. týždeň 2008'!T12</f>
        <v>557</v>
      </c>
      <c r="U12" s="77">
        <f>'35. týždeň'!U12+'36. týždeň'!U12+'37. týždeň 2008'!U11+'38. týždeň'!U11+'39. týždeň 2008'!U12+'40. týždeň 2008'!U12</f>
        <v>4</v>
      </c>
      <c r="V12" s="77">
        <f>'35. týždeň'!V12+'36. týždeň'!V12+'37. týždeň 2008'!V11+'38. týždeň'!V11+'39. týždeň 2008'!V12+'40. týždeň 2008'!V12</f>
        <v>90</v>
      </c>
      <c r="W12" s="77">
        <f>'35. týždeň'!W12+'36. týždeň'!W12+'37. týždeň 2008'!W11+'38. týždeň'!W11+'39. týždeň 2008'!W12+'40. týždeň 2008'!W12</f>
        <v>0</v>
      </c>
      <c r="X12" s="77">
        <f>'35. týždeň'!X12+'36. týždeň'!X12+'37. týždeň 2008'!X11+'38. týždeň'!X11+'39. týždeň 2008'!X12+'40. týždeň 2008'!X12</f>
        <v>0</v>
      </c>
      <c r="Y12" s="77">
        <f>'35. týždeň'!Y12+'36. týždeň'!Y12+'37. týždeň 2008'!Y11+'38. týždeň'!Y11+'39. týždeň 2008'!Y12+'40. týždeň 2008'!Y12</f>
        <v>0</v>
      </c>
      <c r="Z12" s="77">
        <f>'35. týždeň'!Z12+'36. týždeň'!Z12+'37. týždeň 2008'!Z11+'38. týždeň'!Z11+'39. týždeň 2008'!Z12+'40. týždeň 2008'!Z12</f>
        <v>0</v>
      </c>
      <c r="AA12" s="77">
        <f>'35. týždeň'!AA12+'36. týždeň'!AA12+'37. týždeň 2008'!AA11+'38. týždeň'!AA11+'39. týždeň 2008'!AA12+'40. týždeň 2008'!AA12</f>
        <v>0</v>
      </c>
      <c r="AB12" s="77">
        <f>'35. týždeň'!AB12+'36. týždeň'!AB12+'37. týždeň 2008'!AB11+'38. týždeň'!AB11+'39. týždeň 2008'!AB12+'40. týždeň 2008'!AB12</f>
        <v>11</v>
      </c>
      <c r="AC12" s="77">
        <f>'35. týždeň'!AC12+'36. týždeň'!AC12+'37. týždeň 2008'!AC11+'38. týždeň'!AC11+'39. týždeň 2008'!AC12+'40. týždeň 2008'!AC12</f>
        <v>231</v>
      </c>
      <c r="AD12" s="77">
        <f>'35. týždeň'!AD12+'36. týždeň'!AD12+'37. týždeň 2008'!AD11+'38. týždeň'!AD11+'39. týždeň 2008'!AD12+'40. týždeň 2008'!AD12</f>
        <v>4</v>
      </c>
      <c r="AE12" s="77">
        <f>'35. týždeň'!AE12+'36. týždeň'!AE12+'37. týždeň 2008'!AE11+'38. týždeň'!AE11+'39. týždeň 2008'!AE12+'40. týždeň 2008'!AE12</f>
        <v>3</v>
      </c>
      <c r="AF12" s="77">
        <f>'35. týždeň'!AF12+'36. týždeň'!AF12+'37. týždeň 2008'!AF11+'38. týždeň'!AF11+'39. týždeň 2008'!AF12+'40. týždeň 2008'!AF12</f>
        <v>0</v>
      </c>
      <c r="AG12" s="78">
        <f>'35. týždeň'!AG12+'36. týždeň'!AG12+'37. týždeň 2008'!AG11+'38. týždeň'!AG11+'39. týždeň 2008'!AG12+'40. týždeň 2008'!AG12</f>
        <v>0</v>
      </c>
      <c r="AH12" s="75">
        <f>'35. týždeň'!AH12+'36. týždeň'!AH12+'37. týždeň 2008'!AH11+'38. týždeň'!AH11+'39. týždeň 2008'!AH12+'40. týždeň 2008'!AH12</f>
        <v>1</v>
      </c>
    </row>
    <row r="13" spans="1:34" s="35" customFormat="1" ht="49.5" customHeight="1" thickBot="1" thickTop="1">
      <c r="A13" s="71" t="s">
        <v>24</v>
      </c>
      <c r="B13" s="76">
        <f>'35. týždeň'!B13+'36. týždeň'!B13+'37. týždeň 2008'!B12+'38. týždeň'!B12+'39. týždeň 2008'!B13+'40. týždeň 2008'!B13</f>
        <v>626</v>
      </c>
      <c r="C13" s="77">
        <f>'35. týždeň'!C13+'36. týždeň'!C13+'37. týždeň 2008'!C12+'38. týždeň'!C12+'39. týždeň 2008'!C13+'40. týždeň 2008'!C13</f>
        <v>152</v>
      </c>
      <c r="D13" s="77">
        <f>'35. týždeň'!D13+'36. týždeň'!D13+'37. týždeň 2008'!D12+'38. týždeň'!D12+'39. týždeň 2008'!D13+'40. týždeň 2008'!D13</f>
        <v>37</v>
      </c>
      <c r="E13" s="77">
        <f>'35. týždeň'!E13+'36. týždeň'!E13+'37. týždeň 2008'!E12+'38. týždeň'!E12+'39. týždeň 2008'!E13+'40. týždeň 2008'!E13</f>
        <v>6</v>
      </c>
      <c r="F13" s="77">
        <f>'35. týždeň'!F13+'36. týždeň'!F13+'37. týždeň 2008'!F12+'38. týždeň'!F12+'39. týždeň 2008'!F13+'40. týždeň 2008'!F13</f>
        <v>0</v>
      </c>
      <c r="G13" s="77">
        <f>'35. týždeň'!G13+'36. týždeň'!G13+'37. týždeň 2008'!G12+'38. týždeň'!G12+'39. týždeň 2008'!G13+'40. týždeň 2008'!G13</f>
        <v>1</v>
      </c>
      <c r="H13" s="77">
        <f>'35. týždeň'!H13+'36. týždeň'!H13+'37. týždeň 2008'!H12+'38. týždeň'!H12+'39. týždeň 2008'!H13+'40. týždeň 2008'!H13</f>
        <v>2</v>
      </c>
      <c r="I13" s="77">
        <f>'35. týždeň'!I13+'36. týždeň'!I13+'37. týždeň 2008'!I12+'38. týždeň'!I12+'39. týždeň 2008'!I13+'40. týždeň 2008'!I13</f>
        <v>1</v>
      </c>
      <c r="J13" s="77">
        <f>'35. týždeň'!J13+'36. týždeň'!J13+'37. týždeň 2008'!J12+'38. týždeň'!J12+'39. týždeň 2008'!J13+'40. týždeň 2008'!J13</f>
        <v>2</v>
      </c>
      <c r="K13" s="77">
        <f>'35. týždeň'!K13+'36. týždeň'!K13+'37. týždeň 2008'!K12+'38. týždeň'!K12+'39. týždeň 2008'!K13+'40. týždeň 2008'!K13</f>
        <v>1</v>
      </c>
      <c r="L13" s="77">
        <f>'35. týždeň'!L13+'36. týždeň'!L13+'37. týždeň 2008'!L12+'38. týždeň'!L12+'39. týždeň 2008'!L13+'40. týždeň 2008'!L13</f>
        <v>29398</v>
      </c>
      <c r="M13" s="77">
        <f>'35. týždeň'!M13+'36. týždeň'!M13+'37. týždeň 2008'!M12+'38. týždeň'!M12+'39. týždeň 2008'!M13+'40. týždeň 2008'!M13</f>
        <v>1534</v>
      </c>
      <c r="N13" s="77">
        <f>'35. týždeň'!N13+'36. týždeň'!N13+'37. týždeň 2008'!N12+'38. týždeň'!N12+'39. týždeň 2008'!N13+'40. týždeň 2008'!N13</f>
        <v>1482</v>
      </c>
      <c r="O13" s="77">
        <f>'35. týždeň'!O13+'36. týždeň'!O13+'37. týždeň 2008'!O12+'38. týždeň'!O12+'39. týždeň 2008'!O13+'40. týždeň 2008'!O13</f>
        <v>9</v>
      </c>
      <c r="P13" s="77">
        <f>'35. týždeň'!P13+'36. týždeň'!P13+'37. týždeň 2008'!P12+'38. týždeň'!P12+'39. týždeň 2008'!P13+'40. týždeň 2008'!P13</f>
        <v>106</v>
      </c>
      <c r="Q13" s="77">
        <f>'35. týždeň'!Q13+'36. týždeň'!Q13+'37. týždeň 2008'!Q12+'38. týždeň'!Q12+'39. týždeň 2008'!Q13+'40. týždeň 2008'!Q13</f>
        <v>469</v>
      </c>
      <c r="R13" s="77">
        <f>'35. týždeň'!R13+'36. týždeň'!R13+'37. týždeň 2008'!R12+'38. týždeň'!R12+'39. týždeň 2008'!R13+'40. týždeň 2008'!R13</f>
        <v>451</v>
      </c>
      <c r="S13" s="77">
        <f>'35. týždeň'!S13+'36. týždeň'!S13+'37. týždeň 2008'!S12+'38. týždeň'!S12+'39. týždeň 2008'!S13+'40. týždeň 2008'!S13</f>
        <v>394</v>
      </c>
      <c r="T13" s="77">
        <f>'35. týždeň'!T13+'36. týždeň'!T13+'37. týždeň 2008'!T12+'38. týždeň'!T12+'39. týždeň 2008'!T13+'40. týždeň 2008'!T13</f>
        <v>3842</v>
      </c>
      <c r="U13" s="77">
        <f>'35. týždeň'!U13+'36. týždeň'!U13+'37. týždeň 2008'!U12+'38. týždeň'!U12+'39. týždeň 2008'!U13+'40. týždeň 2008'!U13</f>
        <v>59</v>
      </c>
      <c r="V13" s="77">
        <f>'35. týždeň'!V13+'36. týždeň'!V13+'37. týždeň 2008'!V12+'38. týždeň'!V12+'39. týždeň 2008'!V13+'40. týždeň 2008'!V13</f>
        <v>195</v>
      </c>
      <c r="W13" s="77">
        <f>'35. týždeň'!W13+'36. týždeň'!W13+'37. týždeň 2008'!W12+'38. týždeň'!W12+'39. týždeň 2008'!W13+'40. týždeň 2008'!W13</f>
        <v>0</v>
      </c>
      <c r="X13" s="77">
        <f>'35. týždeň'!X13+'36. týždeň'!X13+'37. týždeň 2008'!X12+'38. týždeň'!X12+'39. týždeň 2008'!X13+'40. týždeň 2008'!X13</f>
        <v>57</v>
      </c>
      <c r="Y13" s="77">
        <f>'35. týždeň'!Y13+'36. týždeň'!Y13+'37. týždeň 2008'!Y12+'38. týždeň'!Y12+'39. týždeň 2008'!Y13+'40. týždeň 2008'!Y13</f>
        <v>0</v>
      </c>
      <c r="Z13" s="77">
        <f>'35. týždeň'!Z13+'36. týždeň'!Z13+'37. týždeň 2008'!Z12+'38. týždeň'!Z12+'39. týždeň 2008'!Z13+'40. týždeň 2008'!Z13</f>
        <v>0</v>
      </c>
      <c r="AA13" s="77">
        <f>'35. týždeň'!AA13+'36. týždeň'!AA13+'37. týždeň 2008'!AA12+'38. týždeň'!AA12+'39. týždeň 2008'!AA13+'40. týždeň 2008'!AA13</f>
        <v>0</v>
      </c>
      <c r="AB13" s="77">
        <f>'35. týždeň'!AB13+'36. týždeň'!AB13+'37. týždeň 2008'!AB12+'38. týždeň'!AB12+'39. týždeň 2008'!AB13+'40. týždeň 2008'!AB13</f>
        <v>5</v>
      </c>
      <c r="AC13" s="77">
        <f>'35. týždeň'!AC13+'36. týždeň'!AC13+'37. týždeň 2008'!AC12+'38. týždeň'!AC12+'39. týždeň 2008'!AC13+'40. týždeň 2008'!AC13</f>
        <v>110</v>
      </c>
      <c r="AD13" s="77">
        <f>'35. týždeň'!AD13+'36. týždeň'!AD13+'37. týždeň 2008'!AD12+'38. týždeň'!AD12+'39. týždeň 2008'!AD13+'40. týždeň 2008'!AD13</f>
        <v>0</v>
      </c>
      <c r="AE13" s="77">
        <f>'35. týždeň'!AE13+'36. týždeň'!AE13+'37. týždeň 2008'!AE12+'38. týždeň'!AE12+'39. týždeň 2008'!AE13+'40. týždeň 2008'!AE13</f>
        <v>0</v>
      </c>
      <c r="AF13" s="77">
        <f>'35. týždeň'!AF13+'36. týždeň'!AF13+'37. týždeň 2008'!AF12+'38. týždeň'!AF12+'39. týždeň 2008'!AF13+'40. týždeň 2008'!AF13</f>
        <v>0</v>
      </c>
      <c r="AG13" s="78">
        <f>'35. týždeň'!AG13+'36. týždeň'!AG13+'37. týždeň 2008'!AG12+'38. týždeň'!AG12+'39. týždeň 2008'!AG13+'40. týždeň 2008'!AG13</f>
        <v>0</v>
      </c>
      <c r="AH13" s="75">
        <f>'35. týždeň'!AH13+'36. týždeň'!AH13+'37. týždeň 2008'!AH12+'38. týždeň'!AH12+'39. týždeň 2008'!AH13+'40. týždeň 2008'!AH13</f>
        <v>0</v>
      </c>
    </row>
    <row r="14" spans="1:35" s="35" customFormat="1" ht="49.5" customHeight="1" thickBot="1" thickTop="1">
      <c r="A14" s="79" t="s">
        <v>25</v>
      </c>
      <c r="B14" s="76">
        <f>'35. týždeň'!B14+'36. týždeň'!B14+'37. týždeň 2008'!B13+'38. týždeň'!B13+'39. týždeň 2008'!B14+'40. týždeň 2008'!B14</f>
        <v>980</v>
      </c>
      <c r="C14" s="77">
        <f>'35. týždeň'!C14+'36. týždeň'!C14+'37. týždeň 2008'!C13+'38. týždeň'!C13+'39. týždeň 2008'!C14+'40. týždeň 2008'!C14</f>
        <v>552</v>
      </c>
      <c r="D14" s="77">
        <f>'35. týždeň'!D14+'36. týždeň'!D14+'37. týždeň 2008'!D13+'38. týždeň'!D13+'39. týždeň 2008'!D14+'40. týždeň 2008'!D14</f>
        <v>211</v>
      </c>
      <c r="E14" s="77">
        <f>'35. týždeň'!E14+'36. týždeň'!E14+'37. týždeň 2008'!E13+'38. týždeň'!E13+'39. týždeň 2008'!E14+'40. týždeň 2008'!E14</f>
        <v>45</v>
      </c>
      <c r="F14" s="77">
        <f>'35. týždeň'!F14+'36. týždeň'!F14+'37. týždeň 2008'!F13+'38. týždeň'!F13+'39. týždeň 2008'!F14+'40. týždeň 2008'!F14</f>
        <v>1</v>
      </c>
      <c r="G14" s="77">
        <f>'35. týždeň'!G14+'36. týždeň'!G14+'37. týždeň 2008'!G13+'38. týždeň'!G13+'39. týždeň 2008'!G14+'40. týždeň 2008'!G14</f>
        <v>12</v>
      </c>
      <c r="H14" s="77">
        <f>'35. týždeň'!H14+'36. týždeň'!H14+'37. týždeň 2008'!H13+'38. týždeň'!H13+'39. týždeň 2008'!H14+'40. týždeň 2008'!H14</f>
        <v>1</v>
      </c>
      <c r="I14" s="77">
        <f>'35. týždeň'!I14+'36. týždeň'!I14+'37. týždeň 2008'!I13+'38. týždeň'!I13+'39. týždeň 2008'!I14+'40. týždeň 2008'!I14</f>
        <v>2</v>
      </c>
      <c r="J14" s="77">
        <f>'35. týždeň'!J14+'36. týždeň'!J14+'37. týždeň 2008'!J13+'38. týždeň'!J13+'39. týždeň 2008'!J14+'40. týždeň 2008'!J14</f>
        <v>12</v>
      </c>
      <c r="K14" s="77">
        <f>'35. týždeň'!K14+'36. týždeň'!K14+'37. týždeň 2008'!K13+'38. týždeň'!K13+'39. týždeň 2008'!K14+'40. týždeň 2008'!K14</f>
        <v>3</v>
      </c>
      <c r="L14" s="77">
        <f>'35. týždeň'!L14+'36. týždeň'!L14+'37. týždeň 2008'!L13+'38. týždeň'!L13+'39. týždeň 2008'!L14+'40. týždeň 2008'!L14</f>
        <v>15918</v>
      </c>
      <c r="M14" s="77">
        <f>'35. týždeň'!M14+'36. týždeň'!M14+'37. týždeň 2008'!M13+'38. týždeň'!M13+'39. týždeň 2008'!M14+'40. týždeň 2008'!M14</f>
        <v>1235</v>
      </c>
      <c r="N14" s="77">
        <f>'35. týždeň'!N14+'36. týždeň'!N14+'37. týždeň 2008'!N13+'38. týždeň'!N13+'39. týždeň 2008'!N14+'40. týždeň 2008'!N14</f>
        <v>1257</v>
      </c>
      <c r="O14" s="77">
        <f>'35. týždeň'!O14+'36. týždeň'!O14+'37. týždeň 2008'!O13+'38. týždeň'!O13+'39. týždeň 2008'!O14+'40. týždeň 2008'!O14</f>
        <v>88</v>
      </c>
      <c r="P14" s="77">
        <f>'35. týždeň'!P14+'36. týždeň'!P14+'37. týždeň 2008'!P13+'38. týždeň'!P13+'39. týždeň 2008'!P14+'40. týždeň 2008'!P14</f>
        <v>654</v>
      </c>
      <c r="Q14" s="77">
        <f>'35. týždeň'!Q14+'36. týždeň'!Q14+'37. týždeň 2008'!Q13+'38. týždeň'!Q13+'39. týždeň 2008'!Q14+'40. týždeň 2008'!Q14</f>
        <v>1447</v>
      </c>
      <c r="R14" s="77">
        <f>'35. týždeň'!R14+'36. týždeň'!R14+'37. týždeň 2008'!R13+'38. týždeň'!R13+'39. týždeň 2008'!R14+'40. týždeň 2008'!R14</f>
        <v>2657</v>
      </c>
      <c r="S14" s="77">
        <f>'35. týždeň'!S14+'36. týždeň'!S14+'37. týždeň 2008'!S13+'38. týždeň'!S13+'39. týždeň 2008'!S14+'40. týždeň 2008'!S14</f>
        <v>1265</v>
      </c>
      <c r="T14" s="77">
        <f>'35. týždeň'!T14+'36. týždeň'!T14+'37. týždeň 2008'!T13+'38. týždeň'!T13+'39. týždeň 2008'!T14+'40. týždeň 2008'!T14</f>
        <v>4362</v>
      </c>
      <c r="U14" s="77">
        <f>'35. týždeň'!U14+'36. týždeň'!U14+'37. týždeň 2008'!U13+'38. týždeň'!U13+'39. týždeň 2008'!U14+'40. týždeň 2008'!U14</f>
        <v>122</v>
      </c>
      <c r="V14" s="77">
        <f>'35. týždeň'!V14+'36. týždeň'!V14+'37. týždeň 2008'!V13+'38. týždeň'!V13+'39. týždeň 2008'!V14+'40. týždeň 2008'!V14</f>
        <v>497</v>
      </c>
      <c r="W14" s="77">
        <f>'35. týždeň'!W14+'36. týždeň'!W14+'37. týždeň 2008'!W13+'38. týždeň'!W13+'39. týždeň 2008'!W14+'40. týždeň 2008'!W14</f>
        <v>0</v>
      </c>
      <c r="X14" s="77">
        <f>'35. týždeň'!X14+'36. týždeň'!X14+'37. týždeň 2008'!X13+'38. týždeň'!X13+'39. týždeň 2008'!X14+'40. týždeň 2008'!X14</f>
        <v>10</v>
      </c>
      <c r="Y14" s="77">
        <f>'35. týždeň'!Y14+'36. týždeň'!Y14+'37. týždeň 2008'!Y13+'38. týždeň'!Y13+'39. týždeň 2008'!Y14+'40. týždeň 2008'!Y14</f>
        <v>0</v>
      </c>
      <c r="Z14" s="77">
        <f>'35. týždeň'!Z14+'36. týždeň'!Z14+'37. týždeň 2008'!Z13+'38. týždeň'!Z13+'39. týždeň 2008'!Z14+'40. týždeň 2008'!Z14</f>
        <v>0</v>
      </c>
      <c r="AA14" s="77">
        <f>'35. týždeň'!AA14+'36. týždeň'!AA14+'37. týždeň 2008'!AA13+'38. týždeň'!AA13+'39. týždeň 2008'!AA14+'40. týždeň 2008'!AA14</f>
        <v>0</v>
      </c>
      <c r="AB14" s="77">
        <f>'35. týždeň'!AB14+'36. týždeň'!AB14+'37. týždeň 2008'!AB13+'38. týždeň'!AB13+'39. týždeň 2008'!AB14+'40. týždeň 2008'!AB14</f>
        <v>3</v>
      </c>
      <c r="AC14" s="77">
        <f>'35. týždeň'!AC14+'36. týždeň'!AC14+'37. týždeň 2008'!AC13+'38. týždeň'!AC13+'39. týždeň 2008'!AC14+'40. týždeň 2008'!AC14</f>
        <v>33</v>
      </c>
      <c r="AD14" s="77">
        <f>'35. týždeň'!AD14+'36. týždeň'!AD14+'37. týždeň 2008'!AD13+'38. týždeň'!AD13+'39. týždeň 2008'!AD14+'40. týždeň 2008'!AD14</f>
        <v>0</v>
      </c>
      <c r="AE14" s="77">
        <f>'35. týždeň'!AE14+'36. týždeň'!AE14+'37. týždeň 2008'!AE13+'38. týždeň'!AE13+'39. týždeň 2008'!AE14+'40. týždeň 2008'!AE14</f>
        <v>20</v>
      </c>
      <c r="AF14" s="77">
        <f>'35. týždeň'!AF14+'36. týždeň'!AF14+'37. týždeň 2008'!AF13+'38. týždeň'!AF13+'39. týždeň 2008'!AF14+'40. týždeň 2008'!AF14</f>
        <v>13</v>
      </c>
      <c r="AG14" s="78">
        <f>'35. týždeň'!AG14+'36. týždeň'!AG14+'37. týždeň 2008'!AG13+'38. týždeň'!AG13+'39. týždeň 2008'!AG14+'40. týždeň 2008'!AG14</f>
        <v>0</v>
      </c>
      <c r="AH14" s="75">
        <f>'35. týždeň'!AH14+'36. týždeň'!AH14+'37. týždeň 2008'!AH13+'38. týždeň'!AH13+'39. týždeň 2008'!AH14+'40. týždeň 2008'!AH14</f>
        <v>0</v>
      </c>
      <c r="AI14" s="34"/>
    </row>
    <row r="15" spans="1:34" s="35" customFormat="1" ht="49.5" customHeight="1" thickBot="1" thickTop="1">
      <c r="A15" s="71" t="s">
        <v>26</v>
      </c>
      <c r="B15" s="76">
        <f>'35. týždeň'!B15+'36. týždeň'!B15+'37. týždeň 2008'!B14+'38. týždeň'!B14+'39. týždeň 2008'!B15+'40. týždeň 2008'!B15</f>
        <v>707</v>
      </c>
      <c r="C15" s="77">
        <f>'35. týždeň'!C15+'36. týždeň'!C15+'37. týždeň 2008'!C14+'38. týždeň'!C14+'39. týždeň 2008'!C15+'40. týždeň 2008'!C15</f>
        <v>444</v>
      </c>
      <c r="D15" s="77">
        <f>'35. týždeň'!D15+'36. týždeň'!D15+'37. týždeň 2008'!D14+'38. týždeň'!D14+'39. týždeň 2008'!D15+'40. týždeň 2008'!D15</f>
        <v>149</v>
      </c>
      <c r="E15" s="77">
        <f>'35. týždeň'!E15+'36. týždeň'!E15+'37. týždeň 2008'!E14+'38. týždeň'!E14+'39. týždeň 2008'!E15+'40. týždeň 2008'!E15</f>
        <v>21</v>
      </c>
      <c r="F15" s="77">
        <f>'35. týždeň'!F15+'36. týždeň'!F15+'37. týždeň 2008'!F14+'38. týždeň'!F14+'39. týždeň 2008'!F15+'40. týždeň 2008'!F15</f>
        <v>3</v>
      </c>
      <c r="G15" s="77">
        <f>'35. týždeň'!G15+'36. týždeň'!G15+'37. týždeň 2008'!G14+'38. týždeň'!G14+'39. týždeň 2008'!G15+'40. týždeň 2008'!G15</f>
        <v>28</v>
      </c>
      <c r="H15" s="77">
        <f>'35. týždeň'!H15+'36. týždeň'!H15+'37. týždeň 2008'!H14+'38. týždeň'!H14+'39. týždeň 2008'!H15+'40. týždeň 2008'!H15</f>
        <v>2</v>
      </c>
      <c r="I15" s="77">
        <f>'35. týždeň'!I15+'36. týždeň'!I15+'37. týždeň 2008'!I14+'38. týždeň'!I14+'39. týždeň 2008'!I15+'40. týždeň 2008'!I15</f>
        <v>5</v>
      </c>
      <c r="J15" s="77">
        <f>'35. týždeň'!J15+'36. týždeň'!J15+'37. týždeň 2008'!J14+'38. týždeň'!J14+'39. týždeň 2008'!J15+'40. týždeň 2008'!J15</f>
        <v>11</v>
      </c>
      <c r="K15" s="77">
        <f>'35. týždeň'!K15+'36. týždeň'!K15+'37. týždeň 2008'!K14+'38. týždeň'!K14+'39. týždeň 2008'!K15+'40. týždeň 2008'!K15</f>
        <v>2</v>
      </c>
      <c r="L15" s="77">
        <f>'35. týždeň'!L15+'36. týždeň'!L15+'37. týždeň 2008'!L14+'38. týždeň'!L14+'39. týždeň 2008'!L15+'40. týždeň 2008'!L15</f>
        <v>39157</v>
      </c>
      <c r="M15" s="77">
        <f>'35. týždeň'!M15+'36. týždeň'!M15+'37. týždeň 2008'!M14+'38. týždeň'!M14+'39. týždeň 2008'!M15+'40. týždeň 2008'!M15</f>
        <v>10116</v>
      </c>
      <c r="N15" s="77">
        <f>'35. týždeň'!N15+'36. týždeň'!N15+'37. týždeň 2008'!N14+'38. týždeň'!N14+'39. týždeň 2008'!N15+'40. týždeň 2008'!N15</f>
        <v>4453</v>
      </c>
      <c r="O15" s="77">
        <f>'35. týždeň'!O15+'36. týždeň'!O15+'37. týždeň 2008'!O14+'38. týždeň'!O14+'39. týždeň 2008'!O15+'40. týždeň 2008'!O15</f>
        <v>415</v>
      </c>
      <c r="P15" s="77">
        <f>'35. týždeň'!P15+'36. týždeň'!P15+'37. týždeň 2008'!P14+'38. týždeň'!P14+'39. týždeň 2008'!P15+'40. týždeň 2008'!P15</f>
        <v>898</v>
      </c>
      <c r="Q15" s="77">
        <f>'35. týždeň'!Q15+'36. týždeň'!Q15+'37. týždeň 2008'!Q14+'38. týždeň'!Q14+'39. týždeň 2008'!Q15+'40. týždeň 2008'!Q15</f>
        <v>1193</v>
      </c>
      <c r="R15" s="77">
        <f>'35. týždeň'!R15+'36. týždeň'!R15+'37. týždeň 2008'!R14+'38. týždeň'!R14+'39. týždeň 2008'!R15+'40. týždeň 2008'!R15</f>
        <v>1749</v>
      </c>
      <c r="S15" s="77">
        <f>'35. týždeň'!S15+'36. týždeň'!S15+'37. týždeň 2008'!S14+'38. týždeň'!S14+'39. týždeň 2008'!S15+'40. týždeň 2008'!S15</f>
        <v>775</v>
      </c>
      <c r="T15" s="77">
        <f>'35. týždeň'!T15+'36. týždeň'!T15+'37. týždeň 2008'!T14+'38. týždeň'!T14+'39. týždeň 2008'!T15+'40. týždeň 2008'!T15</f>
        <v>314</v>
      </c>
      <c r="U15" s="77">
        <f>'35. týždeň'!U15+'36. týždeň'!U15+'37. týždeň 2008'!U14+'38. týždeň'!U14+'39. týždeň 2008'!U15+'40. týždeň 2008'!U15</f>
        <v>31</v>
      </c>
      <c r="V15" s="77">
        <f>'35. týždeň'!V15+'36. týždeň'!V15+'37. týždeň 2008'!V14+'38. týždeň'!V14+'39. týždeň 2008'!V15+'40. týždeň 2008'!V15</f>
        <v>10</v>
      </c>
      <c r="W15" s="77">
        <f>'35. týždeň'!W15+'36. týždeň'!W15+'37. týždeň 2008'!W14+'38. týždeň'!W14+'39. týždeň 2008'!W15+'40. týždeň 2008'!W15</f>
        <v>0</v>
      </c>
      <c r="X15" s="77">
        <f>'35. týždeň'!X15+'36. týždeň'!X15+'37. týždeň 2008'!X14+'38. týždeň'!X14+'39. týždeň 2008'!X15+'40. týždeň 2008'!X15</f>
        <v>0</v>
      </c>
      <c r="Y15" s="77">
        <f>'35. týždeň'!Y15+'36. týždeň'!Y15+'37. týždeň 2008'!Y14+'38. týždeň'!Y14+'39. týždeň 2008'!Y15+'40. týždeň 2008'!Y15</f>
        <v>0</v>
      </c>
      <c r="Z15" s="77">
        <f>'35. týždeň'!Z15+'36. týždeň'!Z15+'37. týždeň 2008'!Z14+'38. týždeň'!Z14+'39. týždeň 2008'!Z15+'40. týždeň 2008'!Z15</f>
        <v>0</v>
      </c>
      <c r="AA15" s="77">
        <f>'35. týždeň'!AA15+'36. týždeň'!AA15+'37. týždeň 2008'!AA14+'38. týždeň'!AA14+'39. týždeň 2008'!AA15+'40. týždeň 2008'!AA15</f>
        <v>0</v>
      </c>
      <c r="AB15" s="77">
        <f>'35. týždeň'!AB15+'36. týždeň'!AB15+'37. týždeň 2008'!AB14+'38. týždeň'!AB14+'39. týždeň 2008'!AB15+'40. týždeň 2008'!AB15</f>
        <v>6</v>
      </c>
      <c r="AC15" s="77">
        <f>'35. týždeň'!AC15+'36. týždeň'!AC15+'37. týždeň 2008'!AC14+'38. týždeň'!AC14+'39. týždeň 2008'!AC15+'40. týždeň 2008'!AC15</f>
        <v>468</v>
      </c>
      <c r="AD15" s="77">
        <f>'35. týždeň'!AD15+'36. týždeň'!AD15+'37. týždeň 2008'!AD14+'38. týždeň'!AD14+'39. týždeň 2008'!AD15+'40. týždeň 2008'!AD15</f>
        <v>0</v>
      </c>
      <c r="AE15" s="77">
        <f>'35. týždeň'!AE15+'36. týždeň'!AE15+'37. týždeň 2008'!AE14+'38. týždeň'!AE14+'39. týždeň 2008'!AE15+'40. týždeň 2008'!AE15</f>
        <v>8</v>
      </c>
      <c r="AF15" s="77">
        <f>'35. týždeň'!AF15+'36. týždeň'!AF15+'37. týždeň 2008'!AF14+'38. týždeň'!AF14+'39. týždeň 2008'!AF15+'40. týždeň 2008'!AF15</f>
        <v>15</v>
      </c>
      <c r="AG15" s="78">
        <f>'35. týždeň'!AG15+'36. týždeň'!AG15+'37. týždeň 2008'!AG14+'38. týždeň'!AG14+'39. týždeň 2008'!AG15+'40. týždeň 2008'!AG15</f>
        <v>14</v>
      </c>
      <c r="AH15" s="75">
        <f>'35. týždeň'!AH15+'36. týždeň'!AH15+'37. týždeň 2008'!AH14+'38. týždeň'!AH14+'39. týždeň 2008'!AH15+'40. týždeň 2008'!AH15</f>
        <v>0</v>
      </c>
    </row>
    <row r="16" spans="1:34" s="35" customFormat="1" ht="49.5" customHeight="1" thickBot="1" thickTop="1">
      <c r="A16" s="70" t="s">
        <v>27</v>
      </c>
      <c r="B16" s="80">
        <f>'35. týždeň'!B16+'36. týždeň'!B16+'37. týždeň 2008'!B15+'38. týždeň'!B15+'39. týždeň 2008'!B16+'40. týždeň 2008'!B16</f>
        <v>968</v>
      </c>
      <c r="C16" s="81">
        <f>'35. týždeň'!C16+'36. týždeň'!C16+'37. týždeň 2008'!C15+'38. týždeň'!C15+'39. týždeň 2008'!C16+'40. týždeň 2008'!C16</f>
        <v>358</v>
      </c>
      <c r="D16" s="81">
        <f>'35. týždeň'!D16+'36. týždeň'!D16+'37. týždeň 2008'!D15+'38. týždeň'!D15+'39. týždeň 2008'!D16+'40. týždeň 2008'!D16</f>
        <v>176</v>
      </c>
      <c r="E16" s="81">
        <f>'35. týždeň'!E16+'36. týždeň'!E16+'37. týždeň 2008'!E15+'38. týždeň'!E15+'39. týždeň 2008'!E16+'40. týždeň 2008'!E16</f>
        <v>38</v>
      </c>
      <c r="F16" s="81">
        <f>'35. týždeň'!F16+'36. týždeň'!F16+'37. týždeň 2008'!F15+'38. týždeň'!F15+'39. týždeň 2008'!F16+'40. týždeň 2008'!F16</f>
        <v>3</v>
      </c>
      <c r="G16" s="81">
        <f>'35. týždeň'!G16+'36. týždeň'!G16+'37. týždeň 2008'!G15+'38. týždeň'!G15+'39. týždeň 2008'!G16+'40. týždeň 2008'!G16</f>
        <v>17</v>
      </c>
      <c r="H16" s="81">
        <f>'35. týždeň'!H16+'36. týždeň'!H16+'37. týždeň 2008'!H15+'38. týždeň'!H15+'39. týždeň 2008'!H16+'40. týždeň 2008'!H16</f>
        <v>10</v>
      </c>
      <c r="I16" s="81">
        <f>'35. týždeň'!I16+'36. týždeň'!I16+'37. týždeň 2008'!I15+'38. týždeň'!I15+'39. týždeň 2008'!I16+'40. týždeň 2008'!I16</f>
        <v>4</v>
      </c>
      <c r="J16" s="81">
        <f>'35. týždeň'!J16+'36. týždeň'!J16+'37. týždeň 2008'!J15+'38. týždeň'!J15+'39. týždeň 2008'!J16+'40. týždeň 2008'!J16</f>
        <v>9</v>
      </c>
      <c r="K16" s="81">
        <f>'35. týždeň'!K16+'36. týždeň'!K16+'37. týždeň 2008'!K15+'38. týždeň'!K15+'39. týždeň 2008'!K16+'40. týždeň 2008'!K16</f>
        <v>0</v>
      </c>
      <c r="L16" s="81">
        <f>'35. týždeň'!L16+'36. týždeň'!L16+'37. týždeň 2008'!L15+'38. týždeň'!L15+'39. týždeň 2008'!L16+'40. týždeň 2008'!L16</f>
        <v>59149</v>
      </c>
      <c r="M16" s="81">
        <f>'35. týždeň'!M16+'36. týždeň'!M16+'37. týždeň 2008'!M15+'38. týždeň'!M15+'39. týždeň 2008'!M16+'40. týždeň 2008'!M16</f>
        <v>2156</v>
      </c>
      <c r="N16" s="81">
        <f>'35. týždeň'!N16+'36. týždeň'!N16+'37. týždeň 2008'!N15+'38. týždeň'!N15+'39. týždeň 2008'!N16+'40. týždeň 2008'!N16</f>
        <v>9800</v>
      </c>
      <c r="O16" s="81">
        <f>'35. týždeň'!O16+'36. týždeň'!O16+'37. týždeň 2008'!O15+'38. týždeň'!O15+'39. týždeň 2008'!O16+'40. týždeň 2008'!O16</f>
        <v>243</v>
      </c>
      <c r="P16" s="81">
        <f>'35. týždeň'!P16+'36. týždeň'!P16+'37. týždeň 2008'!P15+'38. týždeň'!P15+'39. týždeň 2008'!P16+'40. týždeň 2008'!P16</f>
        <v>1415</v>
      </c>
      <c r="Q16" s="81">
        <f>'35. týždeň'!Q16+'36. týždeň'!Q16+'37. týždeň 2008'!Q15+'38. týždeň'!Q15+'39. týždeň 2008'!Q16+'40. týždeň 2008'!Q16</f>
        <v>2591</v>
      </c>
      <c r="R16" s="81">
        <f>'35. týždeň'!R16+'36. týždeň'!R16+'37. týždeň 2008'!R15+'38. týždeň'!R15+'39. týždeň 2008'!R16+'40. týždeň 2008'!R16</f>
        <v>3589</v>
      </c>
      <c r="S16" s="81">
        <f>'35. týždeň'!S16+'36. týždeň'!S16+'37. týždeň 2008'!S15+'38. týždeň'!S15+'39. týždeň 2008'!S16+'40. týždeň 2008'!S16</f>
        <v>3008</v>
      </c>
      <c r="T16" s="81">
        <f>'35. týždeň'!T16+'36. týždeň'!T16+'37. týždeň 2008'!T15+'38. týždeň'!T15+'39. týždeň 2008'!T16+'40. týždeň 2008'!T16</f>
        <v>13763</v>
      </c>
      <c r="U16" s="81">
        <f>'35. týždeň'!U16+'36. týždeň'!U16+'37. týždeň 2008'!U15+'38. týždeň'!U15+'39. týždeň 2008'!U16+'40. týždeň 2008'!U16</f>
        <v>572</v>
      </c>
      <c r="V16" s="81">
        <f>'35. týždeň'!V16+'36. týždeň'!V16+'37. týždeň 2008'!V15+'38. týždeň'!V15+'39. týždeň 2008'!V16+'40. týždeň 2008'!V16</f>
        <v>999</v>
      </c>
      <c r="W16" s="81">
        <f>'35. týždeň'!W16+'36. týždeň'!W16+'37. týždeň 2008'!W15+'38. týždeň'!W15+'39. týždeň 2008'!W16+'40. týždeň 2008'!W16</f>
        <v>0</v>
      </c>
      <c r="X16" s="81">
        <f>'35. týždeň'!X16+'36. týždeň'!X16+'37. týždeň 2008'!X15+'38. týždeň'!X15+'39. týždeň 2008'!X16+'40. týždeň 2008'!X16</f>
        <v>0</v>
      </c>
      <c r="Y16" s="81">
        <f>'35. týždeň'!Y16+'36. týždeň'!Y16+'37. týždeň 2008'!Y15+'38. týždeň'!Y15+'39. týždeň 2008'!Y16+'40. týždeň 2008'!Y16</f>
        <v>0</v>
      </c>
      <c r="Z16" s="81">
        <f>'35. týždeň'!Z16+'36. týždeň'!Z16+'37. týždeň 2008'!Z15+'38. týždeň'!Z15+'39. týždeň 2008'!Z16+'40. týždeň 2008'!Z16</f>
        <v>0</v>
      </c>
      <c r="AA16" s="81">
        <f>'35. týždeň'!AA16+'36. týždeň'!AA16+'37. týždeň 2008'!AA15+'38. týždeň'!AA15+'39. týždeň 2008'!AA16+'40. týždeň 2008'!AA16</f>
        <v>0</v>
      </c>
      <c r="AB16" s="81">
        <f>'35. týždeň'!AB16+'36. týždeň'!AB16+'37. týždeň 2008'!AB15+'38. týždeň'!AB15+'39. týždeň 2008'!AB16+'40. týždeň 2008'!AB16</f>
        <v>66</v>
      </c>
      <c r="AC16" s="81">
        <f>'35. týždeň'!AC16+'36. týždeň'!AC16+'37. týždeň 2008'!AC15+'38. týždeň'!AC15+'39. týždeň 2008'!AC16+'40. týždeň 2008'!AC16</f>
        <v>2087</v>
      </c>
      <c r="AD16" s="81">
        <f>'35. týždeň'!AD16+'36. týždeň'!AD16+'37. týždeň 2008'!AD15+'38. týždeň'!AD15+'39. týždeň 2008'!AD16+'40. týždeň 2008'!AD16</f>
        <v>0</v>
      </c>
      <c r="AE16" s="81">
        <f>'35. týždeň'!AE16+'36. týždeň'!AE16+'37. týždeň 2008'!AE15+'38. týždeň'!AE15+'39. týždeň 2008'!AE16+'40. týždeň 2008'!AE16</f>
        <v>47</v>
      </c>
      <c r="AF16" s="81">
        <f>'35. týždeň'!AF16+'36. týždeň'!AF16+'37. týždeň 2008'!AF15+'38. týždeň'!AF15+'39. týždeň 2008'!AF16+'40. týždeň 2008'!AF16</f>
        <v>4</v>
      </c>
      <c r="AG16" s="82">
        <f>'35. týždeň'!AG16+'36. týždeň'!AG16+'37. týždeň 2008'!AG15+'38. týždeň'!AG15+'39. týždeň 2008'!AG16+'40. týždeň 2008'!AG16</f>
        <v>0</v>
      </c>
      <c r="AH16" s="83">
        <f>'35. týždeň'!AH16+'36. týždeň'!AH16+'37. týždeň 2008'!AH15+'38. týždeň'!AH15+'39. týždeň 2008'!AH16+'40. týždeň 2008'!AH16</f>
        <v>0</v>
      </c>
    </row>
    <row r="17" spans="1:34" s="35" customFormat="1" ht="76.5" customHeight="1" thickBot="1" thickTop="1">
      <c r="A17" s="84" t="s">
        <v>3</v>
      </c>
      <c r="B17" s="85">
        <f aca="true" t="shared" si="0" ref="B17:I17">SUM(B9:B16)</f>
        <v>6407</v>
      </c>
      <c r="C17" s="86">
        <f t="shared" si="0"/>
        <v>2913</v>
      </c>
      <c r="D17" s="86">
        <f t="shared" si="0"/>
        <v>1178</v>
      </c>
      <c r="E17" s="86">
        <f t="shared" si="0"/>
        <v>218</v>
      </c>
      <c r="F17" s="86">
        <f t="shared" si="0"/>
        <v>24</v>
      </c>
      <c r="G17" s="86">
        <f t="shared" si="0"/>
        <v>102</v>
      </c>
      <c r="H17" s="86">
        <f t="shared" si="0"/>
        <v>57</v>
      </c>
      <c r="I17" s="86">
        <f t="shared" si="0"/>
        <v>37</v>
      </c>
      <c r="J17" s="86">
        <f aca="true" t="shared" si="1" ref="J17:V17">SUM(J9:J16)</f>
        <v>57</v>
      </c>
      <c r="K17" s="86">
        <f t="shared" si="1"/>
        <v>23</v>
      </c>
      <c r="L17" s="86">
        <f t="shared" si="1"/>
        <v>300374</v>
      </c>
      <c r="M17" s="86">
        <f t="shared" si="1"/>
        <v>38730</v>
      </c>
      <c r="N17" s="86">
        <f t="shared" si="1"/>
        <v>33145</v>
      </c>
      <c r="O17" s="86">
        <f t="shared" si="1"/>
        <v>2147</v>
      </c>
      <c r="P17" s="86">
        <f t="shared" si="1"/>
        <v>8459</v>
      </c>
      <c r="Q17" s="86">
        <f t="shared" si="1"/>
        <v>15138</v>
      </c>
      <c r="R17" s="86">
        <f t="shared" si="1"/>
        <v>18539</v>
      </c>
      <c r="S17" s="86">
        <f t="shared" si="1"/>
        <v>14391</v>
      </c>
      <c r="T17" s="86">
        <f t="shared" si="1"/>
        <v>25277</v>
      </c>
      <c r="U17" s="86">
        <f t="shared" si="1"/>
        <v>1269</v>
      </c>
      <c r="V17" s="86">
        <f t="shared" si="1"/>
        <v>2338</v>
      </c>
      <c r="W17" s="86">
        <f aca="true" t="shared" si="2" ref="W17:AB17">SUM(W9:W16)</f>
        <v>0</v>
      </c>
      <c r="X17" s="86">
        <f t="shared" si="2"/>
        <v>97</v>
      </c>
      <c r="Y17" s="86">
        <f t="shared" si="2"/>
        <v>0</v>
      </c>
      <c r="Z17" s="86">
        <f t="shared" si="2"/>
        <v>0</v>
      </c>
      <c r="AA17" s="86">
        <f t="shared" si="2"/>
        <v>0</v>
      </c>
      <c r="AB17" s="86">
        <f t="shared" si="2"/>
        <v>115</v>
      </c>
      <c r="AC17" s="86">
        <f aca="true" t="shared" si="3" ref="AC17:AH17">SUM(AC9:AC16)</f>
        <v>3484</v>
      </c>
      <c r="AD17" s="86">
        <f t="shared" si="3"/>
        <v>97</v>
      </c>
      <c r="AE17" s="86">
        <f t="shared" si="3"/>
        <v>80</v>
      </c>
      <c r="AF17" s="86">
        <f t="shared" si="3"/>
        <v>76</v>
      </c>
      <c r="AG17" s="86">
        <f t="shared" si="3"/>
        <v>45</v>
      </c>
      <c r="AH17" s="87">
        <f t="shared" si="3"/>
        <v>1</v>
      </c>
    </row>
    <row r="18" spans="1:34" ht="13.5" thickTop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ht="12.75">
      <c r="A19" s="68"/>
      <c r="B19" s="88" t="s">
        <v>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5" ht="14.25">
      <c r="A20" s="68"/>
      <c r="B20" s="68" t="s">
        <v>9</v>
      </c>
      <c r="C20" s="68"/>
      <c r="D20" s="68"/>
      <c r="E20" s="68"/>
      <c r="F20" s="68"/>
      <c r="G20" s="68"/>
      <c r="H20" s="68"/>
      <c r="I20" s="68"/>
      <c r="J20" s="68"/>
      <c r="K20" s="68" t="s">
        <v>12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"/>
    </row>
    <row r="21" spans="1:35" ht="14.25">
      <c r="A21" s="68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 t="s">
        <v>10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"/>
    </row>
    <row r="22" spans="1:35" ht="14.25">
      <c r="A22" s="68"/>
      <c r="B22" s="68" t="s">
        <v>11</v>
      </c>
      <c r="C22" s="68"/>
      <c r="D22" s="68"/>
      <c r="E22" s="68"/>
      <c r="F22" s="68"/>
      <c r="G22" s="68"/>
      <c r="H22" s="68"/>
      <c r="I22" s="68"/>
      <c r="J22" s="68"/>
      <c r="K22" s="68" t="s">
        <v>19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"/>
    </row>
    <row r="23" spans="1:35" ht="14.25">
      <c r="A23" s="68"/>
      <c r="B23" s="68" t="s">
        <v>18</v>
      </c>
      <c r="C23" s="68"/>
      <c r="D23" s="68"/>
      <c r="E23" s="68"/>
      <c r="F23" s="68"/>
      <c r="G23" s="68"/>
      <c r="H23" s="68"/>
      <c r="I23" s="68"/>
      <c r="J23" s="68"/>
      <c r="K23" s="68" t="s">
        <v>17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"/>
    </row>
  </sheetData>
  <mergeCells count="12">
    <mergeCell ref="E7:G7"/>
    <mergeCell ref="D7:D8"/>
    <mergeCell ref="A3:AH3"/>
    <mergeCell ref="A4:AH4"/>
    <mergeCell ref="H7:K7"/>
    <mergeCell ref="A7:A8"/>
    <mergeCell ref="B7:B8"/>
    <mergeCell ref="C7:C8"/>
    <mergeCell ref="AB7:AH7"/>
    <mergeCell ref="W7:AA7"/>
    <mergeCell ref="L7:S7"/>
    <mergeCell ref="T7:V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9" r:id="rId1"/>
  <headerFooter alignWithMargins="0">
    <oddHeader>&amp;L&amp;"Arial CE,Tučná kurzíva"&amp;14Tabuľka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vrablova</cp:lastModifiedBy>
  <cp:lastPrinted>2008-10-01T16:20:12Z</cp:lastPrinted>
  <dcterms:created xsi:type="dcterms:W3CDTF">1997-01-24T11:07:25Z</dcterms:created>
  <dcterms:modified xsi:type="dcterms:W3CDTF">2008-10-06T14:35:15Z</dcterms:modified>
  <cp:category/>
  <cp:version/>
  <cp:contentType/>
  <cp:contentStatus/>
</cp:coreProperties>
</file>