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1"/>
  </bookViews>
  <sheets>
    <sheet name="príjmy" sheetId="1" r:id="rId1"/>
    <sheet name="výdavky" sheetId="2" r:id="rId2"/>
  </sheets>
  <definedNames>
    <definedName name="_xlnm.Print_Area" localSheetId="1">'výdavky'!$A$1:$J$170</definedName>
  </definedNames>
  <calcPr fullCalcOnLoad="1"/>
</workbook>
</file>

<file path=xl/sharedStrings.xml><?xml version="1.0" encoding="utf-8"?>
<sst xmlns="http://schemas.openxmlformats.org/spreadsheetml/2006/main" count="476" uniqueCount="251">
  <si>
    <t>1.</t>
  </si>
  <si>
    <t>200 N e d a ň o v é   p r í j m y</t>
  </si>
  <si>
    <t>210 Príjmy z podnikania a z vlastníctva majetku</t>
  </si>
  <si>
    <t>230 Kapitálové príjmy</t>
  </si>
  <si>
    <t>300 G r a n t y   a   t r a n s f e r y</t>
  </si>
  <si>
    <t>VÝDAVKY CELKOM</t>
  </si>
  <si>
    <t>600 B e ž n é   v ý d a v k y</t>
  </si>
  <si>
    <t>610 Mzdy, platy, služobné príjmy a ostatné osobné vyrovnania</t>
  </si>
  <si>
    <t>620 Poistné a príspevok do poisťovní</t>
  </si>
  <si>
    <t>630 Tovary a služby</t>
  </si>
  <si>
    <t>640 Bežné transfery</t>
  </si>
  <si>
    <t>650 Splácanie úrokov a ostatné platby súvisiace s úvermi</t>
  </si>
  <si>
    <t xml:space="preserve">700 K a p i t á l o v é   v ý d a v k y </t>
  </si>
  <si>
    <t>710 Obstarávanie kapitálových aktív</t>
  </si>
  <si>
    <t>720 Kapitálové transfery</t>
  </si>
  <si>
    <t>820 Splácanie istín</t>
  </si>
  <si>
    <t>FINANČNÉ OPERÁCIE</t>
  </si>
  <si>
    <t>800 V ý d a v k o v é   o p e r á c i e</t>
  </si>
  <si>
    <t>810 Úvery, pôž.,návrat.finanč.výpomoci, ostat.výdav.operácie</t>
  </si>
  <si>
    <t>220 Administratívne poplatky a iné poplatky a platby</t>
  </si>
  <si>
    <t>P r í j m o v é   o p e r á c i e</t>
  </si>
  <si>
    <t xml:space="preserve">400 P r í j m y   z   t r a n s a k c i í   s   f i n a n č n ý m i                                                                           a k t í v a m i   a   f i n a n č n ý m i   p a s í v a m i </t>
  </si>
  <si>
    <t>440 Z predaja privatizovaného majetku FNM SR a SPF</t>
  </si>
  <si>
    <r>
      <t xml:space="preserve">211 </t>
    </r>
    <r>
      <rPr>
        <sz val="9"/>
        <rFont val="Arial Narrow"/>
        <family val="2"/>
      </rPr>
      <t>Príjmy z podnikania</t>
    </r>
  </si>
  <si>
    <r>
      <t>212</t>
    </r>
    <r>
      <rPr>
        <sz val="9"/>
        <rFont val="Arial Narrow"/>
        <family val="2"/>
      </rPr>
      <t xml:space="preserve"> Príjmy z vlastníctva</t>
    </r>
  </si>
  <si>
    <r>
      <t>231</t>
    </r>
    <r>
      <rPr>
        <sz val="9"/>
        <rFont val="Arial Narrow"/>
        <family val="2"/>
      </rPr>
      <t xml:space="preserve"> Príjem z predaja kapitálových aktív</t>
    </r>
  </si>
  <si>
    <r>
      <t>233</t>
    </r>
    <r>
      <rPr>
        <sz val="9"/>
        <rFont val="Arial Narrow"/>
        <family val="2"/>
      </rPr>
      <t xml:space="preserve"> Príjem z predaja pozemkov a nehmotných aktív</t>
    </r>
  </si>
  <si>
    <r>
      <t>290 Iné nedaňové príjmy</t>
    </r>
    <r>
      <rPr>
        <sz val="9"/>
        <rFont val="Arial Narrow"/>
        <family val="2"/>
      </rPr>
      <t>:</t>
    </r>
  </si>
  <si>
    <r>
      <t>310 Tuzemské bežné granty a transfery</t>
    </r>
    <r>
      <rPr>
        <sz val="9"/>
        <rFont val="Arial Narrow"/>
        <family val="2"/>
      </rPr>
      <t>:</t>
    </r>
  </si>
  <si>
    <r>
      <t>312</t>
    </r>
    <r>
      <rPr>
        <sz val="9"/>
        <rFont val="Arial Narrow"/>
        <family val="2"/>
      </rPr>
      <t xml:space="preserve"> Transfery v rámci verejnej správy</t>
    </r>
  </si>
  <si>
    <r>
      <t>322</t>
    </r>
    <r>
      <rPr>
        <sz val="9"/>
        <rFont val="Arial Narrow"/>
        <family val="2"/>
      </rPr>
      <t xml:space="preserve"> Transfery v rámci verejnej správy</t>
    </r>
  </si>
  <si>
    <t xml:space="preserve">240 Úroky z tuzem.úverov, pôžičiek, návrat.fin.výpom.,vkladov </t>
  </si>
  <si>
    <r>
      <t>154</t>
    </r>
    <r>
      <rPr>
        <sz val="9"/>
        <rFont val="Arial Narrow"/>
        <family val="2"/>
      </rPr>
      <t xml:space="preserve"> Poistné na zdravotné poisťovne</t>
    </r>
  </si>
  <si>
    <r>
      <t xml:space="preserve">211003 </t>
    </r>
    <r>
      <rPr>
        <sz val="9"/>
        <rFont val="Arial Narrow"/>
        <family val="2"/>
      </rPr>
      <t>Dividendy</t>
    </r>
  </si>
  <si>
    <r>
      <t xml:space="preserve">221 </t>
    </r>
    <r>
      <rPr>
        <sz val="9"/>
        <rFont val="Arial Narrow"/>
        <family val="2"/>
      </rPr>
      <t>Administratívne poplatky</t>
    </r>
  </si>
  <si>
    <t>450 Z ostatných fínančných operácií</t>
  </si>
  <si>
    <r>
      <t>150</t>
    </r>
    <r>
      <rPr>
        <b/>
        <i/>
        <sz val="9"/>
        <rFont val="Arial Narrow"/>
        <family val="2"/>
      </rPr>
      <t xml:space="preserve"> Poistné</t>
    </r>
  </si>
  <si>
    <t>PRÍJMY CELKOM vrátane fin. príjmových operácií</t>
  </si>
  <si>
    <t>340 Zahraničné transfery</t>
  </si>
  <si>
    <t>410 Zo splátok tuz.úverov,pôžičiek a návrat.fin.výpomocí</t>
  </si>
  <si>
    <t>420 Zo splátok zahr.úverov, pôžičiek a návrat.fin.výpomocí</t>
  </si>
  <si>
    <t>430 Z predaja majetkových účastí</t>
  </si>
  <si>
    <r>
      <t xml:space="preserve">453 </t>
    </r>
    <r>
      <rPr>
        <i/>
        <sz val="9"/>
        <rFont val="Arial Narrow"/>
        <family val="2"/>
      </rPr>
      <t>Zostatok prostriedkov z predchádzajúcich rokov</t>
    </r>
  </si>
  <si>
    <t>500 P r i j a t é   ú v e r y, p ô ž i č k y ...</t>
  </si>
  <si>
    <t>Zdroj</t>
  </si>
  <si>
    <t>Príjmy podľa ekonomickej klasifikácie</t>
  </si>
  <si>
    <t>Kód</t>
  </si>
  <si>
    <t>NÁVRH</t>
  </si>
  <si>
    <t>Poznámka</t>
  </si>
  <si>
    <t>medzirezort.</t>
  </si>
  <si>
    <t xml:space="preserve">Kód </t>
  </si>
  <si>
    <t>programu</t>
  </si>
  <si>
    <t xml:space="preserve">Výdavky podľa </t>
  </si>
  <si>
    <t>kód</t>
  </si>
  <si>
    <t>Poznámky</t>
  </si>
  <si>
    <t>funkčnej</t>
  </si>
  <si>
    <t>Inves.akcia</t>
  </si>
  <si>
    <t>ekon. klasifikácie</t>
  </si>
  <si>
    <t>04.2.1.8</t>
  </si>
  <si>
    <t>Položky/podpoložky</t>
  </si>
  <si>
    <t xml:space="preserve">NÁVRH </t>
  </si>
  <si>
    <t>položky/podpoložky</t>
  </si>
  <si>
    <r>
      <t xml:space="preserve">Druh rozpočtu: </t>
    </r>
    <r>
      <rPr>
        <b/>
        <sz val="9"/>
        <rFont val="Arial Narrow"/>
        <family val="2"/>
      </rPr>
      <t>9</t>
    </r>
  </si>
  <si>
    <t>4.</t>
  </si>
  <si>
    <t>5.</t>
  </si>
  <si>
    <t>6.</t>
  </si>
  <si>
    <t>Strana:  3</t>
  </si>
  <si>
    <t>Strana:  4</t>
  </si>
  <si>
    <t>721001 až  721009</t>
  </si>
  <si>
    <t>633 Materiál</t>
  </si>
  <si>
    <t>633001 Interiérové vybavenie</t>
  </si>
  <si>
    <t>633002 Výpočtovná technika</t>
  </si>
  <si>
    <t>633003 Telekomunikačná technika</t>
  </si>
  <si>
    <t>633009 Knihy časopisy...</t>
  </si>
  <si>
    <t>633010 Pracovné odevy...</t>
  </si>
  <si>
    <t>633013 Softvér a licencie</t>
  </si>
  <si>
    <t>633016 Reprezentačné</t>
  </si>
  <si>
    <t>634 Dopravné</t>
  </si>
  <si>
    <t>634003 Poistné</t>
  </si>
  <si>
    <t>635 Rutinná a štandardná údržba</t>
  </si>
  <si>
    <t>636 Nájomné za nájom</t>
  </si>
  <si>
    <t>637001 Školenia, kurzy....</t>
  </si>
  <si>
    <t>637004 Všeobecné služby</t>
  </si>
  <si>
    <t>637005 Špeciálne služby</t>
  </si>
  <si>
    <t>637007 Cestovné náhrady</t>
  </si>
  <si>
    <t>637009 Náhrada mzdy a platu</t>
  </si>
  <si>
    <t>637010 Na úlohy výskumu a vývoja</t>
  </si>
  <si>
    <t>637011 Štúdie, expertízy , posudky</t>
  </si>
  <si>
    <t>637013 Naturálne mzdy</t>
  </si>
  <si>
    <t xml:space="preserve">637014 Stravovanie </t>
  </si>
  <si>
    <t>637015 Poistné</t>
  </si>
  <si>
    <t xml:space="preserve">637024 Vyrovnanie kurz. rozdielov </t>
  </si>
  <si>
    <t>637026 Odmeny a príspevky</t>
  </si>
  <si>
    <t>637031 Pokuty a penále</t>
  </si>
  <si>
    <t>637034 Zdravotníckym zariadeniam</t>
  </si>
  <si>
    <t>637035 Dane</t>
  </si>
  <si>
    <t>637016 Prídel do soc. fondu</t>
  </si>
  <si>
    <t>642012 Na odstupné</t>
  </si>
  <si>
    <t>642013 Na odchodné</t>
  </si>
  <si>
    <t>642014 Jednotlivcovi</t>
  </si>
  <si>
    <t>644004 Príspevkovým org....</t>
  </si>
  <si>
    <t>651003 Subjektu VS</t>
  </si>
  <si>
    <t>653 Ostatné platby........</t>
  </si>
  <si>
    <t>653004 Poistné na zabezpečenie fin. operácií</t>
  </si>
  <si>
    <t>631 Cestovné náhrady</t>
  </si>
  <si>
    <t>719 Ostané kapitálové výdavky</t>
  </si>
  <si>
    <t>719002 Nákup umeleckých diel a zbierok</t>
  </si>
  <si>
    <t>723005 Príspevkovej org....</t>
  </si>
  <si>
    <t>821 Splácanie tuzemskej istiny</t>
  </si>
  <si>
    <t>824 Splácanie finančného prenájmu</t>
  </si>
  <si>
    <t>Strana:  5</t>
  </si>
  <si>
    <t>Strana:  6</t>
  </si>
  <si>
    <t>Daňové príjmy</t>
  </si>
  <si>
    <t>111 Daň z príjmov fyz. osôb</t>
  </si>
  <si>
    <t>112 Daň z príjmov práv. osoby</t>
  </si>
  <si>
    <t>113 Daň z príjmov vyberaná zrážkou</t>
  </si>
  <si>
    <t>Dane z majetku</t>
  </si>
  <si>
    <t>121 Daň z nehnuteľnosti</t>
  </si>
  <si>
    <t>122 Daň z dedičstva a darovania</t>
  </si>
  <si>
    <t>129 Ďalšie dane z majetku</t>
  </si>
  <si>
    <t>Dane za tovary a služby</t>
  </si>
  <si>
    <t>132 Spotrebné dane</t>
  </si>
  <si>
    <t>133 Dane za špecifické služby</t>
  </si>
  <si>
    <t>Dane za používanie tovarov............</t>
  </si>
  <si>
    <t>Dane z medzinárodného obchodu.........</t>
  </si>
  <si>
    <t>152 Poistné na starobné poistenie..</t>
  </si>
  <si>
    <t>157 Poistné do RF solidarity</t>
  </si>
  <si>
    <t>158 Poistné na invalidné poistenie</t>
  </si>
  <si>
    <t>Iné dane</t>
  </si>
  <si>
    <t>212001 Z úhrad za vydobyté nerasty</t>
  </si>
  <si>
    <t>212002 Z prenajatých pozemkov</t>
  </si>
  <si>
    <t>229001 Za vypúšťanie odpadových vôd.</t>
  </si>
  <si>
    <t>229002 Za odber podzemnej vody</t>
  </si>
  <si>
    <t>229005 Za znečisťovanie ovzdušia</t>
  </si>
  <si>
    <t>232 Príjem z predaja hmotných rezerv.</t>
  </si>
  <si>
    <t>233001 Z predaja pozemkov</t>
  </si>
  <si>
    <t>250 Úroky zo zahraničných úverov.................</t>
  </si>
  <si>
    <t>292008 Z výťažkov lotérií.........</t>
  </si>
  <si>
    <t>292 Ostatné príjmy</t>
  </si>
  <si>
    <t>312001 až 011</t>
  </si>
  <si>
    <t>322001 až 008</t>
  </si>
  <si>
    <t>510 Tuzemské úvery..................</t>
  </si>
  <si>
    <t>520 Zahraničné úvery............................</t>
  </si>
  <si>
    <t>Strana: 7</t>
  </si>
  <si>
    <t>719004 Na doplnenie a tvorbu hm. rezerv a mob. rezerv</t>
  </si>
  <si>
    <t>633004 Prevádz. stroje, prístroje, technika a zar.</t>
  </si>
  <si>
    <t>822  Sprácanie istiny krátk. úveru.........</t>
  </si>
  <si>
    <t>229 Ďalšie adm. poplatky</t>
  </si>
  <si>
    <t>642015 Na nemocenské dávky</t>
  </si>
  <si>
    <t>642030 Príplatky a príspevky</t>
  </si>
  <si>
    <t>637019 ROEP</t>
  </si>
  <si>
    <t>3.</t>
  </si>
  <si>
    <t>233002 Z predaja nehmotných aktív</t>
  </si>
  <si>
    <t>nerozpočtovaný</t>
  </si>
  <si>
    <t>642016 až 642029</t>
  </si>
  <si>
    <t>64231 až 642037</t>
  </si>
  <si>
    <t>klasif.odd</t>
  </si>
  <si>
    <t>Strana: 8</t>
  </si>
  <si>
    <t>642001Občianskemu združeniu</t>
  </si>
  <si>
    <t>642004 Cirkevné školy</t>
  </si>
  <si>
    <t>642005 Súkromné školy</t>
  </si>
  <si>
    <t>642006 Na členské príspevky</t>
  </si>
  <si>
    <t>642008 Na príspevok na osobitný účet</t>
  </si>
  <si>
    <t>642009 Nefinančnej právnickej osobe</t>
  </si>
  <si>
    <t>642010 Politickej sprane a polit. hnutiu</t>
  </si>
  <si>
    <t>642002 Neziskovej org. poskytujúcej všeobecne prospešné služby</t>
  </si>
  <si>
    <t>642007 Cirkvi...</t>
  </si>
  <si>
    <r>
      <t xml:space="preserve">341 </t>
    </r>
    <r>
      <rPr>
        <i/>
        <sz val="9"/>
        <rFont val="Arial Narrow"/>
        <family val="2"/>
      </rPr>
      <t>Prostriedky z rozpočtu EU</t>
    </r>
  </si>
  <si>
    <t>položky/podpoložky   kod</t>
  </si>
  <si>
    <t>611Tarifný plat</t>
  </si>
  <si>
    <t>621 VZP</t>
  </si>
  <si>
    <t>622 SZP</t>
  </si>
  <si>
    <t xml:space="preserve">623 Ostatné </t>
  </si>
  <si>
    <t>631001 Tuzemské</t>
  </si>
  <si>
    <t>632001 Energie</t>
  </si>
  <si>
    <t>633200 Ostatné</t>
  </si>
  <si>
    <t>634001Palivo...</t>
  </si>
  <si>
    <t>634002 Servis...</t>
  </si>
  <si>
    <t>635200 Ostatné</t>
  </si>
  <si>
    <t>637200 Ostatné</t>
  </si>
  <si>
    <t>711200 Ostatné</t>
  </si>
  <si>
    <t>713004 Prev. strojov...</t>
  </si>
  <si>
    <t>714001 Osobných automobilov</t>
  </si>
  <si>
    <t>717002 Rekonštrukcia a modernizácia</t>
  </si>
  <si>
    <t>223 001 Poplatky  a platby z nepriemyselného predaja................</t>
  </si>
  <si>
    <t>222 003 Pokuty, penále a iné sankcie</t>
  </si>
  <si>
    <t>636001 Budov, objektov alebo ich častí</t>
  </si>
  <si>
    <t>625001 Na nemoc. poistenie</t>
  </si>
  <si>
    <t>627 Príspevok do doplnkových dôchodkových poisťovní</t>
  </si>
  <si>
    <t>637012 Poplatky a odvody</t>
  </si>
  <si>
    <t>243 Úroky z účtov fin. hospodárenia</t>
  </si>
  <si>
    <t>244 Úroky z termínovaných účtov</t>
  </si>
  <si>
    <t>Zo zmlúv uzatvorených v minulých rokoch</t>
  </si>
  <si>
    <t>641001 až 012</t>
  </si>
  <si>
    <t>641006 Rozpoč. organizáciám</t>
  </si>
  <si>
    <t>637 Služby</t>
  </si>
  <si>
    <t>642 Transfery jednotlivcom a neziskovým právnickým osobám</t>
  </si>
  <si>
    <t xml:space="preserve">641 Transfery v rámci verejnej správy </t>
  </si>
  <si>
    <t>644 Transfery nefinančným subjektom...</t>
  </si>
  <si>
    <t>649005 Odvody do rozpočtu EU</t>
  </si>
  <si>
    <t>652 Splácanie úrokov do zahraničia</t>
  </si>
  <si>
    <t>651 Splácanie úrokov v tuzemsku</t>
  </si>
  <si>
    <t>645 Náklady na likvidáciu a konkurzy</t>
  </si>
  <si>
    <t>646 Náklady spojené s ručením FNM SR</t>
  </si>
  <si>
    <t>647 Transfery do tuzemských fin. inštitúcií</t>
  </si>
  <si>
    <t>649 Transfery do zahraničia</t>
  </si>
  <si>
    <t>711 Nákup pozemkov a nehmotných aktív</t>
  </si>
  <si>
    <t>713 Nákup strojov, prístr.,zariadení techniky a náradia</t>
  </si>
  <si>
    <t>714 Nákup dopravných prostriedkov všetkých druhov</t>
  </si>
  <si>
    <t>717 Realizácia stavieb a ich technického zhodnotenia</t>
  </si>
  <si>
    <t>721 Transfery v rámci verejnej správy</t>
  </si>
  <si>
    <t>722 Transfery jednotlivcom a neziskovým práv. osobám</t>
  </si>
  <si>
    <t>723 Transfery nefinančným subjektom...</t>
  </si>
  <si>
    <r>
      <t xml:space="preserve">814 </t>
    </r>
    <r>
      <rPr>
        <b/>
        <sz val="9"/>
        <rFont val="Arial Narrow"/>
        <family val="2"/>
      </rPr>
      <t>Účasť na majetku</t>
    </r>
  </si>
  <si>
    <r>
      <t xml:space="preserve">815 </t>
    </r>
    <r>
      <rPr>
        <b/>
        <sz val="9"/>
        <rFont val="Arial Narrow"/>
        <family val="2"/>
      </rPr>
      <t>Odplata za postúpenú pohľadávku</t>
    </r>
  </si>
  <si>
    <t>Schvál.</t>
  </si>
  <si>
    <t>2.</t>
  </si>
  <si>
    <t>Vypracoval(a):  Ing. Májeková</t>
  </si>
  <si>
    <t>823 Splácanie istiny dlhod. úveru...........</t>
  </si>
  <si>
    <t>711001nákup pozemkov</t>
  </si>
  <si>
    <t>711003 nákup softvéru</t>
  </si>
  <si>
    <t xml:space="preserve">                                                                         Návrh rozpočtu</t>
  </si>
  <si>
    <t xml:space="preserve">   Slovenského pozemkového fondu na roky 2009  až 2011  zostaveného podľa   "Príručky MF SR"</t>
  </si>
  <si>
    <t>MF-P-2008-01</t>
  </si>
  <si>
    <t>MF-VP-2008-02</t>
  </si>
  <si>
    <t>MF-VP-2009-2010-04</t>
  </si>
  <si>
    <t>Dane z príjmov a kap. majetku</t>
  </si>
  <si>
    <t>123 Dane z fin. a kap. transakcií</t>
  </si>
  <si>
    <t>212003 Z prenáj.budov, priestorov a objektov</t>
  </si>
  <si>
    <t>212008 Z úhrad na využívanie prír. lieč. zdrojov</t>
  </si>
  <si>
    <t>221005 Licencie</t>
  </si>
  <si>
    <r>
      <t xml:space="preserve">314 </t>
    </r>
    <r>
      <rPr>
        <sz val="9"/>
        <rFont val="Arial Narrow"/>
        <family val="2"/>
      </rPr>
      <t>Trasferysubjektom nezaradeným do verejnej správy</t>
    </r>
  </si>
  <si>
    <t>320 Tuzemské kapitálové granty a transfery</t>
  </si>
  <si>
    <t>330 Zahraničné granty</t>
  </si>
  <si>
    <r>
      <t xml:space="preserve">324 </t>
    </r>
    <r>
      <rPr>
        <sz val="9"/>
        <rFont val="Arial Narrow"/>
        <family val="2"/>
      </rPr>
      <t>Transfery subjektom nezaradeným vo verejnej správe</t>
    </r>
  </si>
  <si>
    <t>632  Energie, voda, komunikácie</t>
  </si>
  <si>
    <t>632002 Vodné stočné</t>
  </si>
  <si>
    <t>632003 Poštové a telekom. Služby</t>
  </si>
  <si>
    <t>633006 Všeobecný materiál</t>
  </si>
  <si>
    <t>637002 Konkurzy a súťaže</t>
  </si>
  <si>
    <t>637027 Odmeny zamestnancom mimopracovného pomeru</t>
  </si>
  <si>
    <t>637032 Mylné platby</t>
  </si>
  <si>
    <t>642011 Odborovej organizácii</t>
  </si>
  <si>
    <t>MF-P-2009-2010-04</t>
  </si>
  <si>
    <t>Bratislava 20.12.2008</t>
  </si>
  <si>
    <r>
      <t xml:space="preserve">Názov subjektu verejnej správy: </t>
    </r>
    <r>
      <rPr>
        <b/>
        <sz val="9"/>
        <rFont val="Arial Narrow"/>
        <family val="2"/>
      </rPr>
      <t>Slovenský pozemkový fond, Búdková 36, Bratislava</t>
    </r>
  </si>
  <si>
    <r>
      <t xml:space="preserve">Názov  subjektu verejnej správy: </t>
    </r>
    <r>
      <rPr>
        <b/>
        <sz val="9"/>
        <rFont val="Arial Narrow"/>
        <family val="2"/>
      </rPr>
      <t>Slovenský pozemkový fond, Búdková 36, Bratislava</t>
    </r>
  </si>
  <si>
    <t>v tis. EUR</t>
  </si>
  <si>
    <t xml:space="preserve">   v tis. EUR</t>
  </si>
  <si>
    <t>Strana:  2</t>
  </si>
  <si>
    <t>Strana: 1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</si>
</sst>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4/2&quot;"/>
    <numFmt numFmtId="165" formatCode="&quot;4/3&quot;"/>
    <numFmt numFmtId="166" formatCode="&quot;9/8&quot;"/>
    <numFmt numFmtId="167" formatCode="&quot;6:5&quot;"/>
    <numFmt numFmtId="168" formatCode="&quot;9:6&quot;"/>
    <numFmt numFmtId="169" formatCode="&quot;11:9&quot;"/>
    <numFmt numFmtId="170" formatCode="#,##0.0"/>
    <numFmt numFmtId="171" formatCode="&quot;6 - 5&quot;"/>
    <numFmt numFmtId="172" formatCode="&quot;6 : 5&quot;"/>
    <numFmt numFmtId="173" formatCode="&quot;6 : 3&quot;"/>
    <numFmt numFmtId="174" formatCode="&quot;12 : 6&quot;"/>
    <numFmt numFmtId="175" formatCode="&quot;11 : 6&quot;"/>
    <numFmt numFmtId="176" formatCode="&quot;11 : 9&quot;"/>
    <numFmt numFmtId="177" formatCode="&quot;14 : 10&quot;"/>
    <numFmt numFmtId="178" formatCode="0.0"/>
  </numFmts>
  <fonts count="33">
    <font>
      <sz val="10"/>
      <name val="Arial"/>
      <family val="0"/>
    </font>
    <font>
      <b/>
      <i/>
      <sz val="10"/>
      <color indexed="11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 Narrow"/>
      <family val="2"/>
    </font>
    <font>
      <b/>
      <i/>
      <sz val="10"/>
      <name val="Arial"/>
      <family val="2"/>
    </font>
    <font>
      <sz val="10"/>
      <name val="Arial Narrow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8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3" fontId="7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0" fontId="7" fillId="0" borderId="20" xfId="0" applyFont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13" xfId="0" applyFont="1" applyFill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3" fontId="8" fillId="0" borderId="19" xfId="0" applyNumberFormat="1" applyFont="1" applyBorder="1" applyAlignment="1">
      <alignment horizontal="right"/>
    </xf>
    <xf numFmtId="0" fontId="6" fillId="0" borderId="21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8" fillId="0" borderId="20" xfId="0" applyFont="1" applyBorder="1" applyAlignment="1">
      <alignment/>
    </xf>
    <xf numFmtId="0" fontId="0" fillId="0" borderId="17" xfId="0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0" fillId="0" borderId="10" xfId="0" applyBorder="1" applyAlignment="1">
      <alignment/>
    </xf>
    <xf numFmtId="0" fontId="8" fillId="0" borderId="14" xfId="0" applyFont="1" applyBorder="1" applyAlignment="1">
      <alignment horizontal="left"/>
    </xf>
    <xf numFmtId="0" fontId="0" fillId="0" borderId="21" xfId="0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7" fillId="0" borderId="21" xfId="0" applyFont="1" applyBorder="1" applyAlignment="1">
      <alignment horizontal="left" wrapText="1"/>
    </xf>
    <xf numFmtId="3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20" xfId="0" applyBorder="1" applyAlignment="1">
      <alignment/>
    </xf>
    <xf numFmtId="3" fontId="0" fillId="0" borderId="0" xfId="0" applyNumberFormat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2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right"/>
    </xf>
    <xf numFmtId="0" fontId="8" fillId="0" borderId="2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 wrapText="1"/>
    </xf>
    <xf numFmtId="3" fontId="6" fillId="0" borderId="21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0" fontId="8" fillId="0" borderId="3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7" fillId="0" borderId="2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7" fillId="0" borderId="23" xfId="0" applyFont="1" applyFill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19" xfId="0" applyNumberFormat="1" applyFont="1" applyBorder="1" applyAlignment="1">
      <alignment horizontal="right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8" fillId="0" borderId="3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40" xfId="0" applyBorder="1" applyAlignment="1">
      <alignment/>
    </xf>
    <xf numFmtId="3" fontId="7" fillId="0" borderId="41" xfId="0" applyNumberFormat="1" applyFont="1" applyBorder="1" applyAlignment="1">
      <alignment horizontal="right"/>
    </xf>
    <xf numFmtId="0" fontId="7" fillId="0" borderId="40" xfId="0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0" fontId="7" fillId="0" borderId="35" xfId="0" applyFont="1" applyBorder="1" applyAlignment="1">
      <alignment horizontal="left" wrapText="1"/>
    </xf>
    <xf numFmtId="3" fontId="6" fillId="0" borderId="41" xfId="0" applyNumberFormat="1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3" fontId="6" fillId="0" borderId="24" xfId="0" applyNumberFormat="1" applyFont="1" applyFill="1" applyBorder="1" applyAlignment="1">
      <alignment horizontal="right"/>
    </xf>
    <xf numFmtId="0" fontId="7" fillId="0" borderId="43" xfId="0" applyFont="1" applyBorder="1" applyAlignment="1">
      <alignment horizontal="right"/>
    </xf>
    <xf numFmtId="3" fontId="6" fillId="0" borderId="44" xfId="0" applyNumberFormat="1" applyFont="1" applyBorder="1" applyAlignment="1">
      <alignment horizontal="right"/>
    </xf>
    <xf numFmtId="0" fontId="7" fillId="0" borderId="45" xfId="0" applyFont="1" applyBorder="1" applyAlignment="1">
      <alignment horizontal="right"/>
    </xf>
    <xf numFmtId="3" fontId="6" fillId="0" borderId="46" xfId="0" applyNumberFormat="1" applyFont="1" applyBorder="1" applyAlignment="1">
      <alignment horizontal="right"/>
    </xf>
    <xf numFmtId="3" fontId="8" fillId="0" borderId="46" xfId="0" applyNumberFormat="1" applyFont="1" applyBorder="1" applyAlignment="1">
      <alignment horizontal="right"/>
    </xf>
    <xf numFmtId="3" fontId="7" fillId="0" borderId="46" xfId="0" applyNumberFormat="1" applyFont="1" applyBorder="1" applyAlignment="1">
      <alignment horizontal="right"/>
    </xf>
    <xf numFmtId="0" fontId="7" fillId="0" borderId="47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49" fontId="7" fillId="0" borderId="40" xfId="0" applyNumberFormat="1" applyFont="1" applyBorder="1" applyAlignment="1">
      <alignment horizontal="right"/>
    </xf>
    <xf numFmtId="0" fontId="7" fillId="0" borderId="33" xfId="0" applyFont="1" applyBorder="1" applyAlignment="1">
      <alignment horizontal="left"/>
    </xf>
    <xf numFmtId="0" fontId="8" fillId="0" borderId="40" xfId="0" applyFont="1" applyBorder="1" applyAlignment="1">
      <alignment/>
    </xf>
    <xf numFmtId="3" fontId="7" fillId="0" borderId="40" xfId="0" applyNumberFormat="1" applyFont="1" applyBorder="1" applyAlignment="1">
      <alignment horizontal="right"/>
    </xf>
    <xf numFmtId="3" fontId="8" fillId="0" borderId="48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 horizontal="right"/>
    </xf>
    <xf numFmtId="3" fontId="7" fillId="0" borderId="49" xfId="0" applyNumberFormat="1" applyFont="1" applyBorder="1" applyAlignment="1">
      <alignment horizontal="right"/>
    </xf>
    <xf numFmtId="49" fontId="7" fillId="0" borderId="34" xfId="0" applyNumberFormat="1" applyFont="1" applyBorder="1" applyAlignment="1">
      <alignment horizontal="right"/>
    </xf>
    <xf numFmtId="3" fontId="8" fillId="0" borderId="42" xfId="0" applyNumberFormat="1" applyFont="1" applyBorder="1" applyAlignment="1">
      <alignment horizontal="right"/>
    </xf>
    <xf numFmtId="3" fontId="7" fillId="0" borderId="50" xfId="0" applyNumberFormat="1" applyFont="1" applyBorder="1" applyAlignment="1">
      <alignment horizontal="right"/>
    </xf>
    <xf numFmtId="3" fontId="7" fillId="0" borderId="51" xfId="0" applyNumberFormat="1" applyFont="1" applyBorder="1" applyAlignment="1">
      <alignment horizontal="right"/>
    </xf>
    <xf numFmtId="3" fontId="6" fillId="0" borderId="41" xfId="0" applyNumberFormat="1" applyFont="1" applyFill="1" applyBorder="1" applyAlignment="1">
      <alignment horizontal="right"/>
    </xf>
    <xf numFmtId="0" fontId="7" fillId="0" borderId="41" xfId="0" applyFont="1" applyBorder="1" applyAlignment="1">
      <alignment horizontal="right"/>
    </xf>
    <xf numFmtId="0" fontId="8" fillId="0" borderId="31" xfId="0" applyFont="1" applyBorder="1" applyAlignment="1">
      <alignment horizontal="left"/>
    </xf>
    <xf numFmtId="0" fontId="8" fillId="0" borderId="31" xfId="0" applyFont="1" applyBorder="1" applyAlignment="1">
      <alignment/>
    </xf>
    <xf numFmtId="0" fontId="0" fillId="0" borderId="28" xfId="0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right"/>
    </xf>
    <xf numFmtId="0" fontId="8" fillId="0" borderId="31" xfId="0" applyFont="1" applyBorder="1" applyAlignment="1">
      <alignment horizontal="center"/>
    </xf>
    <xf numFmtId="0" fontId="8" fillId="0" borderId="54" xfId="0" applyFont="1" applyFill="1" applyBorder="1" applyAlignment="1">
      <alignment horizontal="right"/>
    </xf>
    <xf numFmtId="0" fontId="8" fillId="0" borderId="55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right"/>
    </xf>
    <xf numFmtId="0" fontId="8" fillId="0" borderId="54" xfId="0" applyFont="1" applyFill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170" fontId="6" fillId="0" borderId="19" xfId="0" applyNumberFormat="1" applyFont="1" applyFill="1" applyBorder="1" applyAlignment="1">
      <alignment horizontal="right"/>
    </xf>
    <xf numFmtId="170" fontId="7" fillId="0" borderId="19" xfId="0" applyNumberFormat="1" applyFont="1" applyFill="1" applyBorder="1" applyAlignment="1">
      <alignment horizontal="right"/>
    </xf>
    <xf numFmtId="170" fontId="6" fillId="0" borderId="11" xfId="0" applyNumberFormat="1" applyFont="1" applyBorder="1" applyAlignment="1">
      <alignment horizontal="right"/>
    </xf>
    <xf numFmtId="170" fontId="8" fillId="0" borderId="11" xfId="0" applyNumberFormat="1" applyFont="1" applyBorder="1" applyAlignment="1">
      <alignment horizontal="right"/>
    </xf>
    <xf numFmtId="170" fontId="7" fillId="0" borderId="21" xfId="0" applyNumberFormat="1" applyFont="1" applyFill="1" applyBorder="1" applyAlignment="1">
      <alignment horizontal="right"/>
    </xf>
    <xf numFmtId="170" fontId="7" fillId="0" borderId="11" xfId="0" applyNumberFormat="1" applyFont="1" applyFill="1" applyBorder="1" applyAlignment="1">
      <alignment horizontal="right"/>
    </xf>
    <xf numFmtId="170" fontId="0" fillId="0" borderId="11" xfId="0" applyNumberFormat="1" applyBorder="1" applyAlignment="1">
      <alignment/>
    </xf>
    <xf numFmtId="170" fontId="7" fillId="0" borderId="11" xfId="0" applyNumberFormat="1" applyFont="1" applyBorder="1" applyAlignment="1">
      <alignment/>
    </xf>
    <xf numFmtId="170" fontId="7" fillId="0" borderId="19" xfId="0" applyNumberFormat="1" applyFont="1" applyBorder="1" applyAlignment="1">
      <alignment horizontal="right"/>
    </xf>
    <xf numFmtId="170" fontId="9" fillId="0" borderId="19" xfId="0" applyNumberFormat="1" applyFont="1" applyBorder="1" applyAlignment="1">
      <alignment horizontal="right"/>
    </xf>
    <xf numFmtId="170" fontId="8" fillId="0" borderId="11" xfId="0" applyNumberFormat="1" applyFont="1" applyBorder="1" applyAlignment="1">
      <alignment/>
    </xf>
    <xf numFmtId="170" fontId="7" fillId="0" borderId="11" xfId="0" applyNumberFormat="1" applyFont="1" applyBorder="1" applyAlignment="1">
      <alignment horizontal="right"/>
    </xf>
    <xf numFmtId="170" fontId="7" fillId="0" borderId="16" xfId="0" applyNumberFormat="1" applyFont="1" applyFill="1" applyBorder="1" applyAlignment="1">
      <alignment horizontal="right"/>
    </xf>
    <xf numFmtId="170" fontId="6" fillId="0" borderId="10" xfId="0" applyNumberFormat="1" applyFont="1" applyBorder="1" applyAlignment="1">
      <alignment horizontal="right"/>
    </xf>
    <xf numFmtId="170" fontId="7" fillId="0" borderId="10" xfId="0" applyNumberFormat="1" applyFont="1" applyBorder="1" applyAlignment="1">
      <alignment horizontal="right"/>
    </xf>
    <xf numFmtId="170" fontId="7" fillId="0" borderId="10" xfId="0" applyNumberFormat="1" applyFont="1" applyBorder="1" applyAlignment="1">
      <alignment/>
    </xf>
    <xf numFmtId="170" fontId="7" fillId="0" borderId="12" xfId="0" applyNumberFormat="1" applyFont="1" applyBorder="1" applyAlignment="1">
      <alignment/>
    </xf>
    <xf numFmtId="170" fontId="7" fillId="0" borderId="13" xfId="0" applyNumberFormat="1" applyFont="1" applyBorder="1" applyAlignment="1">
      <alignment/>
    </xf>
    <xf numFmtId="170" fontId="7" fillId="0" borderId="12" xfId="0" applyNumberFormat="1" applyFont="1" applyBorder="1" applyAlignment="1">
      <alignment horizontal="right"/>
    </xf>
    <xf numFmtId="170" fontId="7" fillId="0" borderId="13" xfId="0" applyNumberFormat="1" applyFont="1" applyBorder="1" applyAlignment="1">
      <alignment horizontal="right"/>
    </xf>
    <xf numFmtId="170" fontId="6" fillId="0" borderId="12" xfId="0" applyNumberFormat="1" applyFont="1" applyFill="1" applyBorder="1" applyAlignment="1">
      <alignment horizontal="right"/>
    </xf>
    <xf numFmtId="170" fontId="6" fillId="0" borderId="13" xfId="0" applyNumberFormat="1" applyFont="1" applyFill="1" applyBorder="1" applyAlignment="1">
      <alignment horizontal="right"/>
    </xf>
    <xf numFmtId="170" fontId="8" fillId="0" borderId="12" xfId="0" applyNumberFormat="1" applyFont="1" applyBorder="1" applyAlignment="1">
      <alignment/>
    </xf>
    <xf numFmtId="170" fontId="0" fillId="0" borderId="12" xfId="0" applyNumberFormat="1" applyBorder="1" applyAlignment="1">
      <alignment/>
    </xf>
    <xf numFmtId="170" fontId="6" fillId="0" borderId="20" xfId="0" applyNumberFormat="1" applyFont="1" applyFill="1" applyBorder="1" applyAlignment="1">
      <alignment horizontal="right"/>
    </xf>
    <xf numFmtId="170" fontId="6" fillId="0" borderId="15" xfId="0" applyNumberFormat="1" applyFont="1" applyFill="1" applyBorder="1" applyAlignment="1">
      <alignment horizontal="right"/>
    </xf>
    <xf numFmtId="170" fontId="8" fillId="0" borderId="20" xfId="0" applyNumberFormat="1" applyFont="1" applyBorder="1" applyAlignment="1">
      <alignment/>
    </xf>
    <xf numFmtId="170" fontId="7" fillId="0" borderId="20" xfId="0" applyNumberFormat="1" applyFont="1" applyFill="1" applyBorder="1" applyAlignment="1">
      <alignment horizontal="right"/>
    </xf>
    <xf numFmtId="170" fontId="7" fillId="0" borderId="23" xfId="0" applyNumberFormat="1" applyFont="1" applyFill="1" applyBorder="1" applyAlignment="1">
      <alignment horizontal="right"/>
    </xf>
    <xf numFmtId="170" fontId="9" fillId="0" borderId="2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20" xfId="0" applyNumberFormat="1" applyFont="1" applyBorder="1" applyAlignment="1">
      <alignment horizontal="right"/>
    </xf>
    <xf numFmtId="170" fontId="9" fillId="0" borderId="11" xfId="0" applyNumberFormat="1" applyFont="1" applyBorder="1" applyAlignment="1">
      <alignment horizontal="right"/>
    </xf>
    <xf numFmtId="170" fontId="7" fillId="0" borderId="40" xfId="0" applyNumberFormat="1" applyFont="1" applyBorder="1" applyAlignment="1">
      <alignment horizontal="right"/>
    </xf>
    <xf numFmtId="170" fontId="7" fillId="0" borderId="20" xfId="0" applyNumberFormat="1" applyFont="1" applyBorder="1" applyAlignment="1">
      <alignment horizontal="right"/>
    </xf>
    <xf numFmtId="170" fontId="7" fillId="0" borderId="2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8" fillId="0" borderId="40" xfId="0" applyNumberFormat="1" applyFont="1" applyBorder="1" applyAlignment="1">
      <alignment horizontal="right"/>
    </xf>
    <xf numFmtId="170" fontId="6" fillId="0" borderId="40" xfId="0" applyNumberFormat="1" applyFont="1" applyBorder="1" applyAlignment="1">
      <alignment/>
    </xf>
    <xf numFmtId="170" fontId="0" fillId="0" borderId="0" xfId="0" applyNumberFormat="1" applyAlignment="1">
      <alignment/>
    </xf>
    <xf numFmtId="0" fontId="6" fillId="0" borderId="0" xfId="0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70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16" xfId="45" applyFont="1" applyBorder="1" applyAlignment="1">
      <alignment horizontal="center"/>
      <protection/>
    </xf>
    <xf numFmtId="0" fontId="0" fillId="0" borderId="16" xfId="45" applyBorder="1">
      <alignment/>
      <protection/>
    </xf>
    <xf numFmtId="0" fontId="8" fillId="0" borderId="38" xfId="45" applyFont="1" applyBorder="1" applyAlignment="1">
      <alignment horizontal="center"/>
      <protection/>
    </xf>
    <xf numFmtId="0" fontId="8" fillId="0" borderId="11" xfId="0" applyFont="1" applyBorder="1" applyAlignment="1">
      <alignment/>
    </xf>
    <xf numFmtId="0" fontId="6" fillId="0" borderId="17" xfId="0" applyFont="1" applyFill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0" fillId="0" borderId="21" xfId="0" applyBorder="1" applyAlignment="1">
      <alignment horizontal="left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45" applyFont="1">
      <alignment/>
      <protection/>
    </xf>
    <xf numFmtId="0" fontId="0" fillId="0" borderId="0" xfId="45">
      <alignment/>
      <protection/>
    </xf>
    <xf numFmtId="3" fontId="0" fillId="0" borderId="0" xfId="45" applyNumberFormat="1">
      <alignment/>
      <protection/>
    </xf>
    <xf numFmtId="0" fontId="14" fillId="0" borderId="0" xfId="45" applyFont="1" applyAlignment="1">
      <alignment horizontal="right"/>
      <protection/>
    </xf>
    <xf numFmtId="0" fontId="7" fillId="0" borderId="0" xfId="45" applyFont="1" applyAlignment="1">
      <alignment horizontal="left"/>
      <protection/>
    </xf>
    <xf numFmtId="0" fontId="8" fillId="0" borderId="25" xfId="45" applyFont="1" applyFill="1" applyBorder="1" applyAlignment="1">
      <alignment horizontal="right"/>
      <protection/>
    </xf>
    <xf numFmtId="0" fontId="8" fillId="0" borderId="36" xfId="45" applyFont="1" applyFill="1" applyBorder="1" applyAlignment="1">
      <alignment horizontal="center"/>
      <protection/>
    </xf>
    <xf numFmtId="0" fontId="8" fillId="0" borderId="26" xfId="45" applyFont="1" applyFill="1" applyBorder="1" applyAlignment="1">
      <alignment horizontal="right"/>
      <protection/>
    </xf>
    <xf numFmtId="0" fontId="8" fillId="0" borderId="28" xfId="45" applyFont="1" applyFill="1" applyBorder="1" applyAlignment="1">
      <alignment horizontal="center"/>
      <protection/>
    </xf>
    <xf numFmtId="0" fontId="0" fillId="0" borderId="28" xfId="45" applyBorder="1">
      <alignment/>
      <protection/>
    </xf>
    <xf numFmtId="0" fontId="8" fillId="0" borderId="26" xfId="45" applyFont="1" applyBorder="1" applyAlignment="1">
      <alignment horizontal="center"/>
      <protection/>
    </xf>
    <xf numFmtId="0" fontId="8" fillId="0" borderId="26" xfId="45" applyFont="1" applyFill="1" applyBorder="1" applyAlignment="1">
      <alignment horizontal="center"/>
      <protection/>
    </xf>
    <xf numFmtId="0" fontId="8" fillId="0" borderId="37" xfId="45" applyFont="1" applyBorder="1" applyAlignment="1">
      <alignment horizontal="left"/>
      <protection/>
    </xf>
    <xf numFmtId="0" fontId="8" fillId="0" borderId="29" xfId="45" applyFont="1" applyFill="1" applyBorder="1" applyAlignment="1">
      <alignment horizontal="center"/>
      <protection/>
    </xf>
    <xf numFmtId="0" fontId="8" fillId="0" borderId="17" xfId="45" applyFont="1" applyBorder="1" applyAlignment="1">
      <alignment horizontal="center"/>
      <protection/>
    </xf>
    <xf numFmtId="0" fontId="8" fillId="0" borderId="16" xfId="45" applyFont="1" applyFill="1" applyBorder="1" applyAlignment="1">
      <alignment horizontal="center"/>
      <protection/>
    </xf>
    <xf numFmtId="0" fontId="8" fillId="0" borderId="18" xfId="45" applyFont="1" applyFill="1" applyBorder="1" applyAlignment="1">
      <alignment horizontal="center"/>
      <protection/>
    </xf>
    <xf numFmtId="0" fontId="8" fillId="0" borderId="30" xfId="45" applyFont="1" applyFill="1" applyBorder="1" applyAlignment="1">
      <alignment horizontal="right"/>
      <protection/>
    </xf>
    <xf numFmtId="0" fontId="8" fillId="0" borderId="53" xfId="45" applyFont="1" applyFill="1" applyBorder="1" applyAlignment="1">
      <alignment horizontal="center"/>
      <protection/>
    </xf>
    <xf numFmtId="0" fontId="8" fillId="0" borderId="31" xfId="45" applyFont="1" applyBorder="1" applyAlignment="1">
      <alignment horizontal="center"/>
      <protection/>
    </xf>
    <xf numFmtId="0" fontId="8" fillId="0" borderId="52" xfId="45" applyFont="1" applyFill="1" applyBorder="1" applyAlignment="1">
      <alignment horizontal="center"/>
      <protection/>
    </xf>
    <xf numFmtId="0" fontId="8" fillId="0" borderId="34" xfId="45" applyFont="1" applyBorder="1" applyAlignment="1">
      <alignment horizontal="center"/>
      <protection/>
    </xf>
    <xf numFmtId="0" fontId="0" fillId="0" borderId="34" xfId="45" applyBorder="1">
      <alignment/>
      <protection/>
    </xf>
    <xf numFmtId="0" fontId="8" fillId="0" borderId="33" xfId="45" applyFont="1" applyBorder="1" applyAlignment="1">
      <alignment horizontal="center"/>
      <protection/>
    </xf>
    <xf numFmtId="0" fontId="0" fillId="0" borderId="35" xfId="45" applyBorder="1">
      <alignment/>
      <protection/>
    </xf>
    <xf numFmtId="0" fontId="8" fillId="0" borderId="39" xfId="45" applyFont="1" applyBorder="1" applyAlignment="1">
      <alignment horizontal="center"/>
      <protection/>
    </xf>
    <xf numFmtId="0" fontId="7" fillId="0" borderId="43" xfId="45" applyFont="1" applyBorder="1" applyAlignment="1">
      <alignment horizontal="right"/>
      <protection/>
    </xf>
    <xf numFmtId="0" fontId="7" fillId="0" borderId="17" xfId="45" applyFont="1" applyBorder="1" applyAlignment="1">
      <alignment horizontal="right"/>
      <protection/>
    </xf>
    <xf numFmtId="49" fontId="7" fillId="0" borderId="20" xfId="45" applyNumberFormat="1" applyFont="1" applyBorder="1" applyAlignment="1">
      <alignment horizontal="right"/>
      <protection/>
    </xf>
    <xf numFmtId="0" fontId="7" fillId="0" borderId="0" xfId="45" applyFont="1" applyBorder="1" applyAlignment="1">
      <alignment horizontal="left"/>
      <protection/>
    </xf>
    <xf numFmtId="0" fontId="8" fillId="0" borderId="20" xfId="45" applyFont="1" applyBorder="1" applyAlignment="1">
      <alignment/>
      <protection/>
    </xf>
    <xf numFmtId="170" fontId="8" fillId="0" borderId="20" xfId="45" applyNumberFormat="1" applyFont="1" applyBorder="1" applyAlignment="1">
      <alignment horizontal="right"/>
      <protection/>
    </xf>
    <xf numFmtId="3" fontId="8" fillId="0" borderId="49" xfId="45" applyNumberFormat="1" applyFont="1" applyBorder="1" applyAlignment="1">
      <alignment horizontal="right"/>
      <protection/>
    </xf>
    <xf numFmtId="0" fontId="7" fillId="0" borderId="45" xfId="45" applyFont="1" applyBorder="1" applyAlignment="1">
      <alignment horizontal="right"/>
      <protection/>
    </xf>
    <xf numFmtId="0" fontId="7" fillId="0" borderId="13" xfId="45" applyFont="1" applyBorder="1" applyAlignment="1">
      <alignment horizontal="right"/>
      <protection/>
    </xf>
    <xf numFmtId="49" fontId="7" fillId="0" borderId="11" xfId="45" applyNumberFormat="1" applyFont="1" applyBorder="1" applyAlignment="1">
      <alignment horizontal="right"/>
      <protection/>
    </xf>
    <xf numFmtId="0" fontId="7" fillId="0" borderId="14" xfId="45" applyFont="1" applyBorder="1" applyAlignment="1">
      <alignment horizontal="left"/>
      <protection/>
    </xf>
    <xf numFmtId="0" fontId="8" fillId="0" borderId="11" xfId="45" applyFont="1" applyBorder="1" applyAlignment="1">
      <alignment/>
      <protection/>
    </xf>
    <xf numFmtId="170" fontId="9" fillId="0" borderId="11" xfId="45" applyNumberFormat="1" applyFont="1" applyBorder="1" applyAlignment="1">
      <alignment horizontal="right"/>
      <protection/>
    </xf>
    <xf numFmtId="170" fontId="9" fillId="0" borderId="20" xfId="45" applyNumberFormat="1" applyFont="1" applyBorder="1" applyAlignment="1">
      <alignment horizontal="right"/>
      <protection/>
    </xf>
    <xf numFmtId="3" fontId="8" fillId="0" borderId="41" xfId="45" applyNumberFormat="1" applyFont="1" applyBorder="1" applyAlignment="1">
      <alignment horizontal="right"/>
      <protection/>
    </xf>
    <xf numFmtId="170" fontId="7" fillId="0" borderId="11" xfId="45" applyNumberFormat="1" applyFont="1" applyBorder="1" applyAlignment="1">
      <alignment horizontal="right"/>
      <protection/>
    </xf>
    <xf numFmtId="0" fontId="8" fillId="0" borderId="14" xfId="45" applyFont="1" applyBorder="1" applyAlignment="1">
      <alignment horizontal="left"/>
      <protection/>
    </xf>
    <xf numFmtId="170" fontId="8" fillId="0" borderId="11" xfId="45" applyNumberFormat="1" applyFont="1" applyBorder="1" applyAlignment="1">
      <alignment horizontal="right"/>
      <protection/>
    </xf>
    <xf numFmtId="0" fontId="7" fillId="0" borderId="11" xfId="45" applyFont="1" applyBorder="1" applyAlignment="1">
      <alignment horizontal="right"/>
      <protection/>
    </xf>
    <xf numFmtId="0" fontId="8" fillId="0" borderId="21" xfId="45" applyFont="1" applyBorder="1" applyAlignment="1">
      <alignment horizontal="left"/>
      <protection/>
    </xf>
    <xf numFmtId="0" fontId="7" fillId="0" borderId="11" xfId="45" applyFont="1" applyBorder="1" applyAlignment="1">
      <alignment horizontal="left"/>
      <protection/>
    </xf>
    <xf numFmtId="0" fontId="7" fillId="0" borderId="20" xfId="45" applyFont="1" applyBorder="1" applyAlignment="1">
      <alignment horizontal="right"/>
      <protection/>
    </xf>
    <xf numFmtId="0" fontId="6" fillId="0" borderId="23" xfId="45" applyFont="1" applyBorder="1" applyAlignment="1">
      <alignment/>
      <protection/>
    </xf>
    <xf numFmtId="0" fontId="0" fillId="0" borderId="20" xfId="45" applyBorder="1">
      <alignment/>
      <protection/>
    </xf>
    <xf numFmtId="170" fontId="6" fillId="0" borderId="20" xfId="45" applyNumberFormat="1" applyFont="1" applyBorder="1" applyAlignment="1">
      <alignment horizontal="right"/>
      <protection/>
    </xf>
    <xf numFmtId="3" fontId="7" fillId="0" borderId="49" xfId="45" applyNumberFormat="1" applyFont="1" applyBorder="1" applyAlignment="1">
      <alignment horizontal="right"/>
      <protection/>
    </xf>
    <xf numFmtId="0" fontId="0" fillId="0" borderId="11" xfId="45" applyBorder="1">
      <alignment/>
      <protection/>
    </xf>
    <xf numFmtId="170" fontId="7" fillId="0" borderId="20" xfId="45" applyNumberFormat="1" applyFont="1" applyBorder="1" applyAlignment="1">
      <alignment horizontal="right"/>
      <protection/>
    </xf>
    <xf numFmtId="3" fontId="7" fillId="0" borderId="41" xfId="45" applyNumberFormat="1" applyFont="1" applyBorder="1" applyAlignment="1">
      <alignment horizontal="right"/>
      <protection/>
    </xf>
    <xf numFmtId="0" fontId="7" fillId="0" borderId="47" xfId="45" applyFont="1" applyBorder="1" applyAlignment="1">
      <alignment horizontal="right"/>
      <protection/>
    </xf>
    <xf numFmtId="0" fontId="7" fillId="0" borderId="40" xfId="45" applyFont="1" applyBorder="1" applyAlignment="1">
      <alignment horizontal="right"/>
      <protection/>
    </xf>
    <xf numFmtId="49" fontId="7" fillId="0" borderId="40" xfId="45" applyNumberFormat="1" applyFont="1" applyBorder="1" applyAlignment="1">
      <alignment horizontal="right"/>
      <protection/>
    </xf>
    <xf numFmtId="0" fontId="7" fillId="0" borderId="40" xfId="45" applyFont="1" applyBorder="1" applyAlignment="1">
      <alignment horizontal="left"/>
      <protection/>
    </xf>
    <xf numFmtId="0" fontId="0" fillId="0" borderId="40" xfId="45" applyBorder="1">
      <alignment/>
      <protection/>
    </xf>
    <xf numFmtId="170" fontId="7" fillId="0" borderId="40" xfId="45" applyNumberFormat="1" applyFont="1" applyBorder="1" applyAlignment="1">
      <alignment horizontal="right"/>
      <protection/>
    </xf>
    <xf numFmtId="3" fontId="7" fillId="0" borderId="42" xfId="45" applyNumberFormat="1" applyFont="1" applyBorder="1" applyAlignment="1">
      <alignment horizontal="right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40">
      <selection activeCell="J9" sqref="J9"/>
    </sheetView>
  </sheetViews>
  <sheetFormatPr defaultColWidth="9.140625" defaultRowHeight="12.75"/>
  <cols>
    <col min="1" max="1" width="6.28125" style="0" customWidth="1"/>
    <col min="2" max="2" width="5.57421875" style="0" customWidth="1"/>
    <col min="3" max="3" width="43.7109375" style="0" customWidth="1"/>
    <col min="4" max="4" width="10.57421875" style="0" customWidth="1"/>
    <col min="5" max="5" width="11.421875" style="0" customWidth="1"/>
    <col min="6" max="6" width="9.421875" style="0" customWidth="1"/>
    <col min="7" max="7" width="10.57421875" style="0" customWidth="1"/>
    <col min="8" max="8" width="20.00390625" style="0" customWidth="1"/>
  </cols>
  <sheetData>
    <row r="1" spans="1:8" ht="13.5">
      <c r="A1" s="1"/>
      <c r="B1" s="2"/>
      <c r="C1" s="185" t="s">
        <v>221</v>
      </c>
      <c r="D1" s="3"/>
      <c r="E1" s="3"/>
      <c r="F1" s="3"/>
      <c r="G1" s="3"/>
      <c r="H1" s="73" t="s">
        <v>223</v>
      </c>
    </row>
    <row r="2" spans="1:8" ht="13.5">
      <c r="A2" s="5"/>
      <c r="B2" s="3"/>
      <c r="C2" s="79" t="s">
        <v>222</v>
      </c>
      <c r="D2" s="79"/>
      <c r="E2" s="79"/>
      <c r="F2" s="79"/>
      <c r="G2" s="79"/>
      <c r="H2" s="73" t="s">
        <v>243</v>
      </c>
    </row>
    <row r="3" spans="1:8" ht="13.5">
      <c r="A3" s="7"/>
      <c r="B3" s="4"/>
      <c r="D3" s="3"/>
      <c r="E3" s="3"/>
      <c r="F3" s="3"/>
      <c r="G3" s="3"/>
      <c r="H3" s="78"/>
    </row>
    <row r="4" spans="1:8" ht="13.5">
      <c r="A4" s="8"/>
      <c r="B4" s="9"/>
      <c r="C4" s="6"/>
      <c r="D4" s="3"/>
      <c r="E4" s="3"/>
      <c r="F4" s="3"/>
      <c r="G4" s="3"/>
      <c r="H4" s="78"/>
    </row>
    <row r="5" spans="1:8" ht="13.5">
      <c r="A5" s="40"/>
      <c r="B5" s="9"/>
      <c r="C5" s="6"/>
      <c r="D5" s="3"/>
      <c r="E5" s="3"/>
      <c r="F5" s="3"/>
      <c r="G5" s="3"/>
      <c r="H5" s="73" t="s">
        <v>250</v>
      </c>
    </row>
    <row r="6" spans="1:8" ht="13.5">
      <c r="A6" s="47" t="s">
        <v>246</v>
      </c>
      <c r="B6" s="9"/>
      <c r="C6" s="8"/>
      <c r="D6" s="4"/>
      <c r="E6" s="4"/>
      <c r="F6" s="4"/>
      <c r="G6" s="4"/>
      <c r="H6" s="73" t="s">
        <v>247</v>
      </c>
    </row>
    <row r="7" spans="1:8" ht="13.5">
      <c r="A7" s="22" t="s">
        <v>44</v>
      </c>
      <c r="B7" s="81"/>
      <c r="C7" s="53"/>
      <c r="D7" s="58">
        <v>2008</v>
      </c>
      <c r="E7" s="58">
        <v>2009</v>
      </c>
      <c r="F7" s="58">
        <v>2010</v>
      </c>
      <c r="G7" s="53">
        <v>2011</v>
      </c>
      <c r="H7" s="157"/>
    </row>
    <row r="8" spans="1:8" ht="13.5">
      <c r="A8" s="25"/>
      <c r="B8" s="82"/>
      <c r="C8" s="29" t="s">
        <v>45</v>
      </c>
      <c r="D8" s="30"/>
      <c r="E8" s="30"/>
      <c r="F8" s="30"/>
      <c r="G8" s="138"/>
      <c r="H8" s="30"/>
    </row>
    <row r="9" spans="1:8" ht="13.5">
      <c r="A9" s="25"/>
      <c r="B9" s="82"/>
      <c r="C9" s="29" t="s">
        <v>59</v>
      </c>
      <c r="D9" s="57"/>
      <c r="E9" s="57"/>
      <c r="F9" s="60"/>
      <c r="G9" s="140"/>
      <c r="H9" s="58" t="s">
        <v>48</v>
      </c>
    </row>
    <row r="10" spans="1:8" ht="13.5">
      <c r="A10" s="25"/>
      <c r="B10" s="82"/>
      <c r="C10" s="29" t="s">
        <v>46</v>
      </c>
      <c r="D10" s="56"/>
      <c r="E10" s="56"/>
      <c r="F10" s="80" t="s">
        <v>47</v>
      </c>
      <c r="G10" s="62"/>
      <c r="H10" s="62"/>
    </row>
    <row r="11" spans="1:8" ht="13.5">
      <c r="A11" s="25"/>
      <c r="B11" s="82"/>
      <c r="C11" s="29"/>
      <c r="D11" s="103"/>
      <c r="E11" s="103"/>
      <c r="F11" s="105"/>
      <c r="G11" s="141"/>
      <c r="H11" s="30"/>
    </row>
    <row r="12" spans="1:8" ht="13.5">
      <c r="A12" s="102"/>
      <c r="B12" s="89"/>
      <c r="C12" s="99" t="s">
        <v>0</v>
      </c>
      <c r="D12" s="104" t="s">
        <v>216</v>
      </c>
      <c r="E12" s="104" t="s">
        <v>151</v>
      </c>
      <c r="F12" s="104" t="s">
        <v>63</v>
      </c>
      <c r="G12" s="139" t="s">
        <v>64</v>
      </c>
      <c r="H12" s="99" t="s">
        <v>65</v>
      </c>
    </row>
    <row r="13" spans="1:8" ht="13.5">
      <c r="A13" s="32"/>
      <c r="B13" s="246" t="s">
        <v>37</v>
      </c>
      <c r="C13" s="247"/>
      <c r="D13" s="198">
        <f>D36+D97</f>
        <v>19456.715129788223</v>
      </c>
      <c r="E13" s="198">
        <f>E36+E85+E97</f>
        <v>19994.357033791406</v>
      </c>
      <c r="F13" s="198">
        <f>F36+F85+F97</f>
        <v>18715.727278762526</v>
      </c>
      <c r="G13" s="198">
        <f>G36+G85+G97</f>
        <v>15982.871937860982</v>
      </c>
      <c r="H13" s="33"/>
    </row>
    <row r="14" spans="1:8" ht="13.5">
      <c r="A14" s="32"/>
      <c r="B14" s="100">
        <v>100</v>
      </c>
      <c r="C14" s="50" t="s">
        <v>112</v>
      </c>
      <c r="D14" s="199">
        <v>0</v>
      </c>
      <c r="E14" s="199">
        <v>0</v>
      </c>
      <c r="F14" s="199">
        <v>0</v>
      </c>
      <c r="G14" s="205">
        <v>0</v>
      </c>
      <c r="H14" s="33"/>
    </row>
    <row r="15" spans="1:8" ht="13.5">
      <c r="A15" s="32"/>
      <c r="B15" s="100">
        <v>110</v>
      </c>
      <c r="C15" s="50" t="s">
        <v>226</v>
      </c>
      <c r="D15" s="199">
        <v>0</v>
      </c>
      <c r="E15" s="199">
        <v>0</v>
      </c>
      <c r="F15" s="199">
        <v>0</v>
      </c>
      <c r="G15" s="205">
        <v>0</v>
      </c>
      <c r="H15" s="33"/>
    </row>
    <row r="16" spans="1:8" ht="13.5">
      <c r="A16" s="32"/>
      <c r="B16" s="100"/>
      <c r="C16" s="50" t="s">
        <v>113</v>
      </c>
      <c r="D16" s="199">
        <v>0</v>
      </c>
      <c r="E16" s="199">
        <v>0</v>
      </c>
      <c r="F16" s="199">
        <v>0</v>
      </c>
      <c r="G16" s="205">
        <v>0</v>
      </c>
      <c r="H16" s="33"/>
    </row>
    <row r="17" spans="1:8" ht="13.5">
      <c r="A17" s="32"/>
      <c r="B17" s="100"/>
      <c r="C17" s="50" t="s">
        <v>114</v>
      </c>
      <c r="D17" s="199">
        <v>0</v>
      </c>
      <c r="E17" s="199">
        <v>0</v>
      </c>
      <c r="F17" s="199">
        <v>0</v>
      </c>
      <c r="G17" s="205">
        <v>0</v>
      </c>
      <c r="H17" s="33"/>
    </row>
    <row r="18" spans="1:8" ht="13.5">
      <c r="A18" s="32"/>
      <c r="B18" s="100"/>
      <c r="C18" s="50" t="s">
        <v>115</v>
      </c>
      <c r="D18" s="199">
        <v>0</v>
      </c>
      <c r="E18" s="199">
        <v>0</v>
      </c>
      <c r="F18" s="199">
        <v>0</v>
      </c>
      <c r="G18" s="205">
        <v>0</v>
      </c>
      <c r="H18" s="33"/>
    </row>
    <row r="19" spans="1:8" ht="13.5">
      <c r="A19" s="32"/>
      <c r="B19" s="100">
        <v>120</v>
      </c>
      <c r="C19" s="50" t="s">
        <v>116</v>
      </c>
      <c r="D19" s="199">
        <v>0</v>
      </c>
      <c r="E19" s="199">
        <v>0</v>
      </c>
      <c r="F19" s="199">
        <v>0</v>
      </c>
      <c r="G19" s="205">
        <v>0</v>
      </c>
      <c r="H19" s="33"/>
    </row>
    <row r="20" spans="1:8" ht="13.5">
      <c r="A20" s="32"/>
      <c r="B20" s="100"/>
      <c r="C20" s="50" t="s">
        <v>117</v>
      </c>
      <c r="D20" s="199">
        <v>0</v>
      </c>
      <c r="E20" s="199">
        <v>0</v>
      </c>
      <c r="F20" s="199">
        <v>0</v>
      </c>
      <c r="G20" s="205">
        <v>0</v>
      </c>
      <c r="H20" s="33"/>
    </row>
    <row r="21" spans="1:8" ht="13.5">
      <c r="A21" s="32"/>
      <c r="B21" s="100"/>
      <c r="C21" s="50" t="s">
        <v>118</v>
      </c>
      <c r="D21" s="199">
        <v>0</v>
      </c>
      <c r="E21" s="199">
        <v>0</v>
      </c>
      <c r="F21" s="199">
        <v>0</v>
      </c>
      <c r="G21" s="205">
        <v>0</v>
      </c>
      <c r="H21" s="33"/>
    </row>
    <row r="22" spans="1:8" ht="13.5">
      <c r="A22" s="32"/>
      <c r="B22" s="100"/>
      <c r="C22" s="50" t="s">
        <v>227</v>
      </c>
      <c r="D22" s="199">
        <v>0</v>
      </c>
      <c r="E22" s="199">
        <v>0</v>
      </c>
      <c r="F22" s="199">
        <v>0</v>
      </c>
      <c r="G22" s="205">
        <v>0</v>
      </c>
      <c r="H22" s="33"/>
    </row>
    <row r="23" spans="1:8" ht="13.5">
      <c r="A23" s="32"/>
      <c r="B23" s="100"/>
      <c r="C23" s="50" t="s">
        <v>119</v>
      </c>
      <c r="D23" s="199">
        <v>0</v>
      </c>
      <c r="E23" s="199">
        <v>0</v>
      </c>
      <c r="F23" s="199">
        <v>0</v>
      </c>
      <c r="G23" s="205">
        <v>0</v>
      </c>
      <c r="H23" s="33"/>
    </row>
    <row r="24" spans="1:8" ht="13.5">
      <c r="A24" s="32"/>
      <c r="B24" s="100">
        <v>130</v>
      </c>
      <c r="C24" s="50" t="s">
        <v>120</v>
      </c>
      <c r="D24" s="199">
        <v>0</v>
      </c>
      <c r="E24" s="199">
        <v>0</v>
      </c>
      <c r="F24" s="199">
        <v>0</v>
      </c>
      <c r="G24" s="205">
        <v>0</v>
      </c>
      <c r="H24" s="33"/>
    </row>
    <row r="25" spans="1:8" ht="13.5">
      <c r="A25" s="32"/>
      <c r="B25" s="100"/>
      <c r="C25" s="50" t="s">
        <v>121</v>
      </c>
      <c r="D25" s="199">
        <v>0</v>
      </c>
      <c r="E25" s="199">
        <v>0</v>
      </c>
      <c r="F25" s="199">
        <v>0</v>
      </c>
      <c r="G25" s="205">
        <v>0</v>
      </c>
      <c r="H25" s="33"/>
    </row>
    <row r="26" spans="1:8" ht="13.5">
      <c r="A26" s="32"/>
      <c r="B26" s="100"/>
      <c r="C26" s="50" t="s">
        <v>122</v>
      </c>
      <c r="D26" s="199">
        <v>0</v>
      </c>
      <c r="E26" s="199">
        <v>0</v>
      </c>
      <c r="F26" s="199">
        <v>0</v>
      </c>
      <c r="G26" s="205">
        <v>0</v>
      </c>
      <c r="H26" s="33"/>
    </row>
    <row r="27" spans="1:8" ht="13.5">
      <c r="A27" s="32"/>
      <c r="B27" s="100"/>
      <c r="C27" s="50" t="s">
        <v>123</v>
      </c>
      <c r="D27" s="199">
        <v>0</v>
      </c>
      <c r="E27" s="199">
        <v>0</v>
      </c>
      <c r="F27" s="199">
        <v>0</v>
      </c>
      <c r="G27" s="205">
        <v>0</v>
      </c>
      <c r="H27" s="33"/>
    </row>
    <row r="28" spans="1:8" ht="13.5">
      <c r="A28" s="32"/>
      <c r="B28" s="101">
        <v>140</v>
      </c>
      <c r="C28" s="50" t="s">
        <v>124</v>
      </c>
      <c r="D28" s="199">
        <v>0</v>
      </c>
      <c r="E28" s="199">
        <v>0</v>
      </c>
      <c r="F28" s="199">
        <v>0</v>
      </c>
      <c r="G28" s="205">
        <v>0</v>
      </c>
      <c r="H28" s="33"/>
    </row>
    <row r="29" spans="1:8" ht="13.5">
      <c r="A29" s="32"/>
      <c r="B29" s="48" t="s">
        <v>36</v>
      </c>
      <c r="C29" s="49"/>
      <c r="D29" s="199">
        <v>0</v>
      </c>
      <c r="E29" s="199">
        <v>0</v>
      </c>
      <c r="F29" s="199">
        <v>0</v>
      </c>
      <c r="G29" s="205">
        <v>0</v>
      </c>
      <c r="H29" s="33"/>
    </row>
    <row r="30" spans="1:8" ht="13.5">
      <c r="A30" s="32"/>
      <c r="B30" s="100"/>
      <c r="C30" s="50" t="s">
        <v>125</v>
      </c>
      <c r="D30" s="199">
        <v>0</v>
      </c>
      <c r="E30" s="199">
        <v>0</v>
      </c>
      <c r="F30" s="199">
        <v>0</v>
      </c>
      <c r="G30" s="205">
        <v>0</v>
      </c>
      <c r="H30" s="33"/>
    </row>
    <row r="31" spans="1:8" ht="13.5">
      <c r="A31" s="32"/>
      <c r="B31" s="100"/>
      <c r="C31" s="50" t="s">
        <v>32</v>
      </c>
      <c r="D31" s="199">
        <v>0</v>
      </c>
      <c r="E31" s="199">
        <v>0</v>
      </c>
      <c r="F31" s="199">
        <v>0</v>
      </c>
      <c r="G31" s="205">
        <v>0</v>
      </c>
      <c r="H31" s="33"/>
    </row>
    <row r="32" spans="1:8" ht="13.5">
      <c r="A32" s="32"/>
      <c r="B32" s="100"/>
      <c r="C32" s="50" t="s">
        <v>126</v>
      </c>
      <c r="D32" s="199">
        <v>0</v>
      </c>
      <c r="E32" s="199">
        <v>0</v>
      </c>
      <c r="F32" s="199">
        <v>0</v>
      </c>
      <c r="G32" s="205">
        <v>0</v>
      </c>
      <c r="H32" s="33"/>
    </row>
    <row r="33" spans="1:8" ht="13.5">
      <c r="A33" s="32"/>
      <c r="B33" s="101"/>
      <c r="C33" s="50" t="s">
        <v>127</v>
      </c>
      <c r="D33" s="199">
        <v>0</v>
      </c>
      <c r="E33" s="199">
        <v>0</v>
      </c>
      <c r="F33" s="199">
        <v>0</v>
      </c>
      <c r="G33" s="205">
        <v>0</v>
      </c>
      <c r="H33" s="33"/>
    </row>
    <row r="34" spans="1:8" ht="13.5">
      <c r="A34" s="32"/>
      <c r="B34" s="100">
        <v>160</v>
      </c>
      <c r="C34" s="50"/>
      <c r="D34" s="199">
        <v>0</v>
      </c>
      <c r="E34" s="199">
        <v>0</v>
      </c>
      <c r="F34" s="199">
        <v>0</v>
      </c>
      <c r="G34" s="205">
        <v>0</v>
      </c>
      <c r="H34" s="33"/>
    </row>
    <row r="35" spans="1:8" ht="13.5">
      <c r="A35" s="32"/>
      <c r="B35" s="101">
        <v>190</v>
      </c>
      <c r="C35" s="50" t="s">
        <v>128</v>
      </c>
      <c r="D35" s="199">
        <v>0</v>
      </c>
      <c r="E35" s="199">
        <v>0</v>
      </c>
      <c r="F35" s="199">
        <v>0</v>
      </c>
      <c r="G35" s="205">
        <v>0</v>
      </c>
      <c r="H35" s="33"/>
    </row>
    <row r="36" spans="1:8" ht="13.5">
      <c r="A36" s="32"/>
      <c r="B36" s="248" t="s">
        <v>1</v>
      </c>
      <c r="C36" s="249"/>
      <c r="D36" s="200">
        <f>D37+D54+D63+D69+D73</f>
        <v>18958.806346677287</v>
      </c>
      <c r="E36" s="200">
        <f>E37+E54+E63+E69</f>
        <v>19562.836088428598</v>
      </c>
      <c r="F36" s="200">
        <f>F37+F54+F63+F69</f>
        <v>18317.40025227378</v>
      </c>
      <c r="G36" s="200">
        <f>G37+G54+G63+G69</f>
        <v>15617.738830246297</v>
      </c>
      <c r="H36" s="131"/>
    </row>
    <row r="37" spans="1:8" ht="13.5">
      <c r="A37" s="32"/>
      <c r="B37" s="250" t="s">
        <v>2</v>
      </c>
      <c r="C37" s="251"/>
      <c r="D37" s="201">
        <f>D38+D40</f>
        <v>9689.304919338776</v>
      </c>
      <c r="E37" s="201">
        <f>SUM(E39:E40)</f>
        <v>9966.474141937197</v>
      </c>
      <c r="F37" s="201">
        <f>SUM(F39:F40)</f>
        <v>9900.086304189072</v>
      </c>
      <c r="G37" s="201">
        <f>SUM(G39:G40)</f>
        <v>9692.624311226182</v>
      </c>
      <c r="H37" s="132"/>
    </row>
    <row r="38" spans="1:8" ht="13.5">
      <c r="A38" s="32"/>
      <c r="B38" s="11"/>
      <c r="C38" s="12" t="s">
        <v>23</v>
      </c>
      <c r="D38" s="199">
        <f>1000/30.126</f>
        <v>33.19391887406227</v>
      </c>
      <c r="E38" s="199">
        <f>5000/30.126</f>
        <v>165.96959437031134</v>
      </c>
      <c r="F38" s="199">
        <f>3000/30.126</f>
        <v>99.58175662218682</v>
      </c>
      <c r="G38" s="205">
        <v>0</v>
      </c>
      <c r="H38" s="38"/>
    </row>
    <row r="39" spans="1:8" ht="13.5">
      <c r="A39" s="32"/>
      <c r="B39" s="11"/>
      <c r="C39" s="12" t="s">
        <v>33</v>
      </c>
      <c r="D39" s="199">
        <f>1000/30.126</f>
        <v>33.19391887406227</v>
      </c>
      <c r="E39" s="199">
        <f>5000/30.126</f>
        <v>165.96959437031134</v>
      </c>
      <c r="F39" s="199">
        <f>3000/30.126</f>
        <v>99.58175662218682</v>
      </c>
      <c r="G39" s="205">
        <v>0</v>
      </c>
      <c r="H39" s="38"/>
    </row>
    <row r="40" spans="1:8" ht="13.5">
      <c r="A40" s="32"/>
      <c r="B40" s="11"/>
      <c r="C40" s="12" t="s">
        <v>24</v>
      </c>
      <c r="D40" s="203">
        <f>290900/30.126</f>
        <v>9656.111000464714</v>
      </c>
      <c r="E40" s="202">
        <f>E51+E50+E52+E53</f>
        <v>9800.504547566885</v>
      </c>
      <c r="F40" s="202">
        <f>(299250-4000)/30.126</f>
        <v>9800.504547566885</v>
      </c>
      <c r="G40" s="205">
        <f>G50+G51+G52+G53</f>
        <v>9692.624311226182</v>
      </c>
      <c r="H40" s="98"/>
    </row>
    <row r="41" spans="1:8" ht="13.5">
      <c r="A41" s="238"/>
      <c r="B41" s="14"/>
      <c r="C41" s="15"/>
      <c r="D41" s="239"/>
      <c r="E41" s="239"/>
      <c r="F41" s="239"/>
      <c r="G41" s="240"/>
      <c r="H41" s="241"/>
    </row>
    <row r="42" spans="1:8" ht="13.5">
      <c r="A42" s="40"/>
      <c r="H42" s="73" t="s">
        <v>249</v>
      </c>
    </row>
    <row r="43" spans="1:8" ht="13.5">
      <c r="A43" s="47" t="s">
        <v>245</v>
      </c>
      <c r="B43" s="14"/>
      <c r="C43" s="15"/>
      <c r="D43" s="14"/>
      <c r="E43" s="14"/>
      <c r="F43" s="14"/>
      <c r="G43" s="14"/>
      <c r="H43" s="83" t="s">
        <v>248</v>
      </c>
    </row>
    <row r="44" spans="1:8" ht="13.5">
      <c r="A44" s="22" t="s">
        <v>44</v>
      </c>
      <c r="B44" s="81"/>
      <c r="C44" s="53"/>
      <c r="D44" s="58">
        <v>2008</v>
      </c>
      <c r="E44" s="58">
        <v>2009</v>
      </c>
      <c r="F44" s="58">
        <v>2010</v>
      </c>
      <c r="G44" s="53">
        <v>2011</v>
      </c>
      <c r="H44" s="157"/>
    </row>
    <row r="45" spans="1:8" ht="13.5">
      <c r="A45" s="25"/>
      <c r="B45" s="82"/>
      <c r="C45" s="29" t="s">
        <v>45</v>
      </c>
      <c r="D45" s="30"/>
      <c r="E45" s="30"/>
      <c r="F45" s="30"/>
      <c r="G45" s="138"/>
      <c r="H45" s="30"/>
    </row>
    <row r="46" spans="1:8" ht="13.5">
      <c r="A46" s="25"/>
      <c r="B46" s="82"/>
      <c r="C46" s="29" t="s">
        <v>59</v>
      </c>
      <c r="D46" s="57"/>
      <c r="E46" s="57"/>
      <c r="F46" s="60"/>
      <c r="G46" s="140"/>
      <c r="H46" s="58" t="s">
        <v>48</v>
      </c>
    </row>
    <row r="47" spans="1:8" ht="13.5">
      <c r="A47" s="25"/>
      <c r="B47" s="82"/>
      <c r="C47" s="29" t="s">
        <v>46</v>
      </c>
      <c r="D47" s="56"/>
      <c r="E47" s="56"/>
      <c r="F47" s="80" t="s">
        <v>47</v>
      </c>
      <c r="G47" s="62"/>
      <c r="H47" s="62"/>
    </row>
    <row r="48" spans="1:8" ht="13.5">
      <c r="A48" s="25"/>
      <c r="B48" s="82"/>
      <c r="C48" s="29"/>
      <c r="D48" s="103"/>
      <c r="E48" s="103"/>
      <c r="F48" s="105"/>
      <c r="G48" s="141"/>
      <c r="H48" s="30"/>
    </row>
    <row r="49" spans="1:8" ht="13.5">
      <c r="A49" s="31"/>
      <c r="B49" s="23"/>
      <c r="C49" s="89" t="s">
        <v>0</v>
      </c>
      <c r="D49" s="104" t="s">
        <v>216</v>
      </c>
      <c r="E49" s="104" t="s">
        <v>151</v>
      </c>
      <c r="F49" s="104" t="s">
        <v>63</v>
      </c>
      <c r="G49" s="139" t="s">
        <v>64</v>
      </c>
      <c r="H49" s="99" t="s">
        <v>65</v>
      </c>
    </row>
    <row r="50" spans="1:8" ht="13.5">
      <c r="A50" s="32"/>
      <c r="B50" s="11"/>
      <c r="C50" s="125" t="s">
        <v>129</v>
      </c>
      <c r="D50" s="199">
        <v>0</v>
      </c>
      <c r="E50" s="199">
        <v>0</v>
      </c>
      <c r="F50" s="199">
        <v>0</v>
      </c>
      <c r="G50" s="204">
        <v>0</v>
      </c>
      <c r="H50" s="38"/>
    </row>
    <row r="51" spans="1:8" ht="13.5">
      <c r="A51" s="32"/>
      <c r="B51" s="11"/>
      <c r="C51" s="125" t="s">
        <v>130</v>
      </c>
      <c r="D51" s="199">
        <f>280000/30.126</f>
        <v>9294.297284737435</v>
      </c>
      <c r="E51" s="199">
        <f>285450/30.126</f>
        <v>9475.204142601075</v>
      </c>
      <c r="F51" s="199">
        <f>285000/30.126</f>
        <v>9460.266879107747</v>
      </c>
      <c r="G51" s="205">
        <f>285000/30.126</f>
        <v>9460.266879107747</v>
      </c>
      <c r="H51" s="38"/>
    </row>
    <row r="52" spans="1:8" ht="13.5">
      <c r="A52" s="32"/>
      <c r="B52" s="11"/>
      <c r="C52" s="125" t="s">
        <v>228</v>
      </c>
      <c r="D52" s="199">
        <f>10900/30.126</f>
        <v>361.81371572727875</v>
      </c>
      <c r="E52" s="199">
        <f>9800/30.126</f>
        <v>325.30040496581023</v>
      </c>
      <c r="F52" s="199">
        <f>10250/30.126</f>
        <v>340.23766845913826</v>
      </c>
      <c r="G52" s="205">
        <f>7000/30.126</f>
        <v>232.3574321184359</v>
      </c>
      <c r="H52" s="38"/>
    </row>
    <row r="53" spans="1:8" ht="13.5">
      <c r="A53" s="32"/>
      <c r="B53" s="11"/>
      <c r="C53" s="125" t="s">
        <v>229</v>
      </c>
      <c r="D53" s="199">
        <v>0</v>
      </c>
      <c r="E53" s="199">
        <v>0</v>
      </c>
      <c r="F53" s="199">
        <v>0</v>
      </c>
      <c r="G53" s="205">
        <v>0</v>
      </c>
      <c r="H53" s="38"/>
    </row>
    <row r="54" spans="1:8" ht="13.5">
      <c r="A54" s="32"/>
      <c r="B54" s="252" t="s">
        <v>19</v>
      </c>
      <c r="C54" s="252"/>
      <c r="D54" s="201">
        <f>D55+D57+D58+D59</f>
        <v>202.48290513177986</v>
      </c>
      <c r="E54" s="201">
        <f>SUM(E55:E62)</f>
        <v>663.8783774812454</v>
      </c>
      <c r="F54" s="201">
        <f>SUM(F55:F62)</f>
        <v>232.3574321184359</v>
      </c>
      <c r="G54" s="201">
        <f>G55+G56+G57+G58</f>
        <v>66.38783774812454</v>
      </c>
      <c r="H54" s="132"/>
    </row>
    <row r="55" spans="1:8" ht="13.5">
      <c r="A55" s="32"/>
      <c r="B55" s="13"/>
      <c r="C55" s="12" t="s">
        <v>34</v>
      </c>
      <c r="D55" s="206">
        <v>0</v>
      </c>
      <c r="E55" s="206">
        <v>0</v>
      </c>
      <c r="F55" s="206">
        <v>0</v>
      </c>
      <c r="G55" s="205">
        <v>0</v>
      </c>
      <c r="H55" s="51"/>
    </row>
    <row r="56" spans="1:8" ht="13.5">
      <c r="A56" s="32"/>
      <c r="B56" s="13"/>
      <c r="C56" s="125" t="s">
        <v>230</v>
      </c>
      <c r="D56" s="206">
        <v>0</v>
      </c>
      <c r="E56" s="206">
        <v>0</v>
      </c>
      <c r="F56" s="206">
        <v>0</v>
      </c>
      <c r="G56" s="205">
        <v>0</v>
      </c>
      <c r="H56" s="51"/>
    </row>
    <row r="57" spans="1:8" ht="13.5">
      <c r="A57" s="32"/>
      <c r="B57" s="13"/>
      <c r="C57" s="125" t="s">
        <v>185</v>
      </c>
      <c r="D57" s="207">
        <f>3000/30.126</f>
        <v>99.58175662218682</v>
      </c>
      <c r="E57" s="207">
        <f>4500/30.126</f>
        <v>149.3726349332802</v>
      </c>
      <c r="F57" s="207">
        <f>3000/30.126</f>
        <v>99.58175662218682</v>
      </c>
      <c r="G57" s="205">
        <f>1000/30.126</f>
        <v>33.19391887406227</v>
      </c>
      <c r="H57" s="51"/>
    </row>
    <row r="58" spans="1:8" ht="13.5">
      <c r="A58" s="32"/>
      <c r="B58" s="13"/>
      <c r="C58" s="125" t="s">
        <v>184</v>
      </c>
      <c r="D58" s="207">
        <f>3100/30.126</f>
        <v>102.90114850959304</v>
      </c>
      <c r="E58" s="207">
        <f>15500/30.126</f>
        <v>514.5057425479652</v>
      </c>
      <c r="F58" s="207">
        <f>4000/30.126</f>
        <v>132.77567549624908</v>
      </c>
      <c r="G58" s="205">
        <f>1000/30.126</f>
        <v>33.19391887406227</v>
      </c>
      <c r="H58" s="51"/>
    </row>
    <row r="59" spans="1:8" ht="13.5">
      <c r="A59" s="32"/>
      <c r="B59" s="13"/>
      <c r="C59" s="12" t="s">
        <v>147</v>
      </c>
      <c r="D59" s="206">
        <v>0</v>
      </c>
      <c r="E59" s="206">
        <v>0</v>
      </c>
      <c r="F59" s="206">
        <v>0</v>
      </c>
      <c r="G59" s="205">
        <v>0</v>
      </c>
      <c r="H59" s="51"/>
    </row>
    <row r="60" spans="1:8" ht="13.5">
      <c r="A60" s="32"/>
      <c r="B60" s="13"/>
      <c r="C60" s="125" t="s">
        <v>131</v>
      </c>
      <c r="D60" s="206">
        <v>0</v>
      </c>
      <c r="E60" s="206">
        <v>0</v>
      </c>
      <c r="F60" s="206">
        <v>0</v>
      </c>
      <c r="G60" s="205">
        <v>0</v>
      </c>
      <c r="H60" s="51"/>
    </row>
    <row r="61" spans="1:8" ht="13.5">
      <c r="A61" s="32"/>
      <c r="B61" s="13"/>
      <c r="C61" s="125" t="s">
        <v>132</v>
      </c>
      <c r="D61" s="206">
        <v>0</v>
      </c>
      <c r="E61" s="206">
        <v>0</v>
      </c>
      <c r="F61" s="206">
        <v>0</v>
      </c>
      <c r="G61" s="205">
        <v>0</v>
      </c>
      <c r="H61" s="51"/>
    </row>
    <row r="62" spans="1:8" ht="13.5">
      <c r="A62" s="32"/>
      <c r="B62" s="13"/>
      <c r="C62" s="125" t="s">
        <v>133</v>
      </c>
      <c r="D62" s="206">
        <v>0</v>
      </c>
      <c r="E62" s="206">
        <v>0</v>
      </c>
      <c r="F62" s="206">
        <v>0</v>
      </c>
      <c r="G62" s="205">
        <v>0</v>
      </c>
      <c r="H62" s="51"/>
    </row>
    <row r="63" spans="1:8" ht="13.5">
      <c r="A63" s="32"/>
      <c r="B63" s="252" t="s">
        <v>3</v>
      </c>
      <c r="C63" s="252"/>
      <c r="D63" s="201">
        <f>D64+D66</f>
        <v>7822.246564429396</v>
      </c>
      <c r="E63" s="201">
        <f>E64+E65+E66</f>
        <v>7090.221071499701</v>
      </c>
      <c r="F63" s="201">
        <f>F64+F65+F66</f>
        <v>6757.6180043815975</v>
      </c>
      <c r="G63" s="201">
        <f>G64+G65+G66</f>
        <v>5012.281749983403</v>
      </c>
      <c r="H63" s="132"/>
    </row>
    <row r="64" spans="1:8" ht="13.5">
      <c r="A64" s="32"/>
      <c r="B64" s="11"/>
      <c r="C64" s="12" t="s">
        <v>25</v>
      </c>
      <c r="D64" s="199">
        <f>1650/30.126</f>
        <v>54.76996614220275</v>
      </c>
      <c r="E64" s="199">
        <f>5600/30.126</f>
        <v>185.88594569474873</v>
      </c>
      <c r="F64" s="199">
        <f>1580/30.126</f>
        <v>52.44639182101839</v>
      </c>
      <c r="G64" s="205">
        <f>1000/30.126</f>
        <v>33.19391887406227</v>
      </c>
      <c r="H64" s="38"/>
    </row>
    <row r="65" spans="1:8" ht="13.5">
      <c r="A65" s="32"/>
      <c r="B65" s="11"/>
      <c r="C65" s="12" t="s">
        <v>134</v>
      </c>
      <c r="D65" s="199">
        <v>0</v>
      </c>
      <c r="E65" s="199">
        <v>0</v>
      </c>
      <c r="F65" s="199">
        <v>0</v>
      </c>
      <c r="G65" s="205">
        <v>0</v>
      </c>
      <c r="H65" s="38"/>
    </row>
    <row r="66" spans="1:8" ht="13.5">
      <c r="A66" s="32"/>
      <c r="B66" s="11"/>
      <c r="C66" s="12" t="s">
        <v>26</v>
      </c>
      <c r="D66" s="199">
        <f>234003/30.126</f>
        <v>7767.476598287193</v>
      </c>
      <c r="E66" s="199">
        <f>SUM(E67:E68)</f>
        <v>6904.335125804952</v>
      </c>
      <c r="F66" s="199">
        <f>202000/30.126</f>
        <v>6705.171612560579</v>
      </c>
      <c r="G66" s="205">
        <f>150000/30.126</f>
        <v>4979.08783110934</v>
      </c>
      <c r="H66" s="38"/>
    </row>
    <row r="67" spans="1:8" ht="13.5">
      <c r="A67" s="32"/>
      <c r="B67" s="11"/>
      <c r="C67" s="125" t="s">
        <v>135</v>
      </c>
      <c r="D67" s="199">
        <f>234003/30.126</f>
        <v>7767.476598287193</v>
      </c>
      <c r="E67" s="199">
        <f>208000/30.126</f>
        <v>6904.335125804952</v>
      </c>
      <c r="F67" s="199">
        <f>200000/30.126</f>
        <v>6638.783774812454</v>
      </c>
      <c r="G67" s="205">
        <f>150000/30.126</f>
        <v>4979.08783110934</v>
      </c>
      <c r="H67" s="38"/>
    </row>
    <row r="68" spans="1:8" ht="14.25" customHeight="1">
      <c r="A68" s="32"/>
      <c r="B68" s="11"/>
      <c r="C68" s="125" t="s">
        <v>152</v>
      </c>
      <c r="D68" s="199">
        <v>0</v>
      </c>
      <c r="E68" s="199">
        <v>0</v>
      </c>
      <c r="F68" s="199">
        <v>0</v>
      </c>
      <c r="G68" s="205">
        <v>0</v>
      </c>
      <c r="H68" s="38"/>
    </row>
    <row r="69" spans="1:8" ht="13.5">
      <c r="A69" s="32"/>
      <c r="B69" s="250" t="s">
        <v>31</v>
      </c>
      <c r="C69" s="256"/>
      <c r="D69" s="201">
        <f>37500/30.126</f>
        <v>1244.771957777335</v>
      </c>
      <c r="E69" s="201">
        <f>SUM(E70:E71)</f>
        <v>1842.262497510456</v>
      </c>
      <c r="F69" s="201">
        <f>SUM(F70:F71)</f>
        <v>1427.3385115846775</v>
      </c>
      <c r="G69" s="208">
        <f>SUM(G70:G71)</f>
        <v>846.4449312885879</v>
      </c>
      <c r="H69" s="132"/>
    </row>
    <row r="70" spans="1:8" ht="13.5">
      <c r="A70" s="32"/>
      <c r="B70" s="13"/>
      <c r="C70" s="84" t="s">
        <v>190</v>
      </c>
      <c r="D70" s="201">
        <f>500/30.126</f>
        <v>16.596959437031135</v>
      </c>
      <c r="E70" s="201">
        <f>500/30.126</f>
        <v>16.596959437031135</v>
      </c>
      <c r="F70" s="201">
        <f>500/30.126</f>
        <v>16.596959437031135</v>
      </c>
      <c r="G70" s="208">
        <f>500/30.126</f>
        <v>16.596959437031135</v>
      </c>
      <c r="H70" s="132"/>
    </row>
    <row r="71" spans="1:8" ht="13.5">
      <c r="A71" s="32"/>
      <c r="B71" s="13"/>
      <c r="C71" s="84" t="s">
        <v>191</v>
      </c>
      <c r="D71" s="201">
        <f>37000/30.126</f>
        <v>1228.174998340304</v>
      </c>
      <c r="E71" s="201">
        <f>55000/30.126</f>
        <v>1825.6655380734248</v>
      </c>
      <c r="F71" s="201">
        <f>42500/30.126</f>
        <v>1410.7415521476464</v>
      </c>
      <c r="G71" s="208">
        <f>25000/30.126</f>
        <v>829.8479718515567</v>
      </c>
      <c r="H71" s="132"/>
    </row>
    <row r="72" spans="1:8" ht="13.5">
      <c r="A72" s="32"/>
      <c r="B72" s="10" t="s">
        <v>136</v>
      </c>
      <c r="C72" s="87"/>
      <c r="D72" s="209">
        <v>0</v>
      </c>
      <c r="E72" s="209">
        <v>0</v>
      </c>
      <c r="F72" s="209">
        <v>0</v>
      </c>
      <c r="G72" s="205">
        <v>0</v>
      </c>
      <c r="H72" s="132"/>
    </row>
    <row r="73" spans="1:8" ht="13.5">
      <c r="A73" s="32"/>
      <c r="B73" s="252" t="s">
        <v>27</v>
      </c>
      <c r="C73" s="252"/>
      <c r="D73" s="209">
        <v>0</v>
      </c>
      <c r="E73" s="210">
        <v>0</v>
      </c>
      <c r="F73" s="210">
        <v>0</v>
      </c>
      <c r="G73" s="205">
        <v>0</v>
      </c>
      <c r="H73" s="132"/>
    </row>
    <row r="74" spans="1:8" ht="13.5">
      <c r="A74" s="32"/>
      <c r="B74" s="10"/>
      <c r="C74" s="12" t="s">
        <v>138</v>
      </c>
      <c r="D74" s="209">
        <v>0</v>
      </c>
      <c r="E74" s="209">
        <v>0</v>
      </c>
      <c r="F74" s="209">
        <v>0</v>
      </c>
      <c r="G74" s="205">
        <v>0</v>
      </c>
      <c r="H74" s="132" t="s">
        <v>153</v>
      </c>
    </row>
    <row r="75" spans="1:8" ht="13.5">
      <c r="A75" s="32"/>
      <c r="B75" s="10"/>
      <c r="C75" s="125" t="s">
        <v>137</v>
      </c>
      <c r="D75" s="209">
        <v>0</v>
      </c>
      <c r="E75" s="209">
        <v>0</v>
      </c>
      <c r="F75" s="209">
        <v>0</v>
      </c>
      <c r="G75" s="205">
        <v>0</v>
      </c>
      <c r="H75" s="132"/>
    </row>
    <row r="76" spans="1:8" ht="13.5">
      <c r="A76" s="40"/>
      <c r="H76" s="73" t="s">
        <v>66</v>
      </c>
    </row>
    <row r="77" spans="1:8" ht="13.5">
      <c r="A77" s="47" t="s">
        <v>245</v>
      </c>
      <c r="B77" s="14"/>
      <c r="C77" s="15"/>
      <c r="D77" s="14"/>
      <c r="E77" s="14"/>
      <c r="F77" s="14"/>
      <c r="G77" s="14"/>
      <c r="H77" s="83" t="s">
        <v>248</v>
      </c>
    </row>
    <row r="78" spans="1:8" ht="13.5">
      <c r="A78" s="53" t="s">
        <v>44</v>
      </c>
      <c r="B78" s="23"/>
      <c r="C78" s="24"/>
      <c r="D78" s="186">
        <v>2008</v>
      </c>
      <c r="E78" s="58">
        <v>2009</v>
      </c>
      <c r="F78" s="58">
        <v>2010</v>
      </c>
      <c r="G78" s="53">
        <v>2011</v>
      </c>
      <c r="H78" s="157"/>
    </row>
    <row r="79" spans="1:8" ht="13.5">
      <c r="A79" s="25"/>
      <c r="B79" s="26"/>
      <c r="C79" s="27" t="s">
        <v>45</v>
      </c>
      <c r="D79" s="112"/>
      <c r="E79" s="30"/>
      <c r="F79" s="30"/>
      <c r="G79" s="138"/>
      <c r="H79" s="30"/>
    </row>
    <row r="80" spans="1:8" ht="13.5">
      <c r="A80" s="25"/>
      <c r="B80" s="26"/>
      <c r="C80" s="29" t="s">
        <v>61</v>
      </c>
      <c r="D80" s="57"/>
      <c r="E80" s="57"/>
      <c r="F80" s="60"/>
      <c r="G80" s="140"/>
      <c r="H80" s="58" t="s">
        <v>48</v>
      </c>
    </row>
    <row r="81" spans="1:8" ht="13.5">
      <c r="A81" s="25"/>
      <c r="B81" s="26"/>
      <c r="C81" s="29" t="s">
        <v>46</v>
      </c>
      <c r="D81" s="56"/>
      <c r="E81" s="56"/>
      <c r="F81" s="80" t="s">
        <v>60</v>
      </c>
      <c r="G81" s="62"/>
      <c r="H81" s="62"/>
    </row>
    <row r="82" spans="1:8" ht="13.5">
      <c r="A82" s="25"/>
      <c r="B82" s="26"/>
      <c r="C82" s="29"/>
      <c r="D82" s="103"/>
      <c r="E82" s="103"/>
      <c r="F82" s="105"/>
      <c r="G82" s="141"/>
      <c r="H82" s="30"/>
    </row>
    <row r="83" spans="1:8" ht="13.5">
      <c r="A83" s="31"/>
      <c r="B83" s="23"/>
      <c r="C83" s="89" t="s">
        <v>0</v>
      </c>
      <c r="D83" s="104" t="s">
        <v>216</v>
      </c>
      <c r="E83" s="104" t="s">
        <v>151</v>
      </c>
      <c r="F83" s="142" t="s">
        <v>63</v>
      </c>
      <c r="G83" s="139" t="s">
        <v>64</v>
      </c>
      <c r="H83" s="99" t="s">
        <v>65</v>
      </c>
    </row>
    <row r="84" spans="1:8" ht="13.5">
      <c r="A84" s="34"/>
      <c r="B84" s="257" t="s">
        <v>4</v>
      </c>
      <c r="C84" s="258"/>
      <c r="D84" s="200">
        <f>D85</f>
        <v>0</v>
      </c>
      <c r="E84" s="200">
        <f>E85</f>
        <v>0</v>
      </c>
      <c r="F84" s="211">
        <f>F85</f>
        <v>0</v>
      </c>
      <c r="G84" s="211">
        <f>G85</f>
        <v>0</v>
      </c>
      <c r="H84" s="35"/>
    </row>
    <row r="85" spans="1:8" ht="13.5">
      <c r="A85" s="34"/>
      <c r="B85" s="245" t="s">
        <v>28</v>
      </c>
      <c r="C85" s="245"/>
      <c r="D85" s="209">
        <f>SUM(D86:D90)</f>
        <v>0</v>
      </c>
      <c r="E85" s="209">
        <f>SUM(E86:E90)</f>
        <v>0</v>
      </c>
      <c r="F85" s="212">
        <f>SUM(F86:F90)</f>
        <v>0</v>
      </c>
      <c r="G85" s="205">
        <v>0</v>
      </c>
      <c r="H85" s="36"/>
    </row>
    <row r="86" spans="1:8" ht="13.5">
      <c r="A86" s="34"/>
      <c r="B86" s="11"/>
      <c r="C86" s="12" t="s">
        <v>29</v>
      </c>
      <c r="D86" s="209">
        <v>0</v>
      </c>
      <c r="E86" s="209">
        <v>0</v>
      </c>
      <c r="F86" s="212">
        <v>0</v>
      </c>
      <c r="G86" s="205">
        <v>0</v>
      </c>
      <c r="H86" s="37"/>
    </row>
    <row r="87" spans="1:8" ht="13.5">
      <c r="A87" s="34"/>
      <c r="B87" s="11"/>
      <c r="C87" s="125" t="s">
        <v>139</v>
      </c>
      <c r="D87" s="209">
        <v>0</v>
      </c>
      <c r="E87" s="209">
        <v>0</v>
      </c>
      <c r="F87" s="212">
        <v>0</v>
      </c>
      <c r="G87" s="205">
        <v>0</v>
      </c>
      <c r="H87" s="37"/>
    </row>
    <row r="88" spans="1:8" ht="13.5">
      <c r="A88" s="34"/>
      <c r="B88" s="11"/>
      <c r="C88" s="12" t="s">
        <v>231</v>
      </c>
      <c r="D88" s="209">
        <v>0</v>
      </c>
      <c r="E88" s="209">
        <v>0</v>
      </c>
      <c r="F88" s="212">
        <v>0</v>
      </c>
      <c r="G88" s="205">
        <v>0</v>
      </c>
      <c r="H88" s="37"/>
    </row>
    <row r="89" spans="1:8" ht="13.5">
      <c r="A89" s="34"/>
      <c r="B89" s="245" t="s">
        <v>232</v>
      </c>
      <c r="C89" s="245"/>
      <c r="D89" s="209">
        <v>0</v>
      </c>
      <c r="E89" s="209">
        <v>0</v>
      </c>
      <c r="F89" s="212">
        <v>0</v>
      </c>
      <c r="G89" s="205">
        <v>0</v>
      </c>
      <c r="H89" s="37"/>
    </row>
    <row r="90" spans="1:8" ht="13.5">
      <c r="A90" s="34"/>
      <c r="B90" s="11"/>
      <c r="C90" s="12" t="s">
        <v>30</v>
      </c>
      <c r="D90" s="205">
        <v>0</v>
      </c>
      <c r="E90" s="205">
        <v>0</v>
      </c>
      <c r="F90" s="213">
        <v>0</v>
      </c>
      <c r="G90" s="205">
        <v>0</v>
      </c>
      <c r="H90" s="11"/>
    </row>
    <row r="91" spans="1:8" ht="13.5">
      <c r="A91" s="34"/>
      <c r="B91" s="11"/>
      <c r="C91" s="125" t="s">
        <v>140</v>
      </c>
      <c r="D91" s="205">
        <v>0</v>
      </c>
      <c r="E91" s="205">
        <v>0</v>
      </c>
      <c r="F91" s="213">
        <v>0</v>
      </c>
      <c r="G91" s="205">
        <v>0</v>
      </c>
      <c r="H91" s="11"/>
    </row>
    <row r="92" spans="1:8" ht="13.5">
      <c r="A92" s="34"/>
      <c r="B92" s="11"/>
      <c r="C92" s="12" t="s">
        <v>234</v>
      </c>
      <c r="D92" s="205">
        <v>0</v>
      </c>
      <c r="E92" s="205">
        <v>0</v>
      </c>
      <c r="F92" s="213">
        <v>0</v>
      </c>
      <c r="G92" s="205">
        <v>0</v>
      </c>
      <c r="H92" s="11"/>
    </row>
    <row r="93" spans="1:8" ht="13.5">
      <c r="A93" s="34"/>
      <c r="B93" s="245" t="s">
        <v>233</v>
      </c>
      <c r="C93" s="245"/>
      <c r="D93" s="214">
        <v>0</v>
      </c>
      <c r="E93" s="214">
        <v>0</v>
      </c>
      <c r="F93" s="215">
        <v>0</v>
      </c>
      <c r="G93" s="205">
        <v>0</v>
      </c>
      <c r="H93" s="16"/>
    </row>
    <row r="94" spans="1:8" ht="13.5">
      <c r="A94" s="34"/>
      <c r="B94" s="245" t="s">
        <v>38</v>
      </c>
      <c r="C94" s="245"/>
      <c r="D94" s="205">
        <v>0</v>
      </c>
      <c r="E94" s="205">
        <v>0</v>
      </c>
      <c r="F94" s="213">
        <v>0</v>
      </c>
      <c r="G94" s="205">
        <v>0</v>
      </c>
      <c r="H94" s="11"/>
    </row>
    <row r="95" spans="1:8" ht="13.5">
      <c r="A95" s="34"/>
      <c r="B95" s="109"/>
      <c r="C95" s="110" t="s">
        <v>167</v>
      </c>
      <c r="D95" s="214">
        <v>0</v>
      </c>
      <c r="E95" s="214">
        <v>0</v>
      </c>
      <c r="F95" s="215">
        <v>0</v>
      </c>
      <c r="G95" s="205">
        <v>0</v>
      </c>
      <c r="H95" s="16"/>
    </row>
    <row r="96" spans="1:8" ht="13.5">
      <c r="A96" s="34"/>
      <c r="B96" s="17" t="s">
        <v>16</v>
      </c>
      <c r="C96" s="18"/>
      <c r="D96" s="216"/>
      <c r="E96" s="216"/>
      <c r="F96" s="217"/>
      <c r="G96" s="204"/>
      <c r="H96" s="41"/>
    </row>
    <row r="97" spans="1:8" ht="13.5">
      <c r="A97" s="34"/>
      <c r="B97" s="17" t="s">
        <v>20</v>
      </c>
      <c r="C97" s="18"/>
      <c r="D97" s="218">
        <f>D99</f>
        <v>497.90878311093405</v>
      </c>
      <c r="E97" s="218">
        <f>E99</f>
        <v>431.5209453628095</v>
      </c>
      <c r="F97" s="219">
        <f>F99</f>
        <v>398.32702648874726</v>
      </c>
      <c r="G97" s="220">
        <f>11000/30.126</f>
        <v>365.133107614685</v>
      </c>
      <c r="H97" s="43"/>
    </row>
    <row r="98" spans="1:8" ht="13.5">
      <c r="A98" s="34"/>
      <c r="B98" s="253" t="s">
        <v>21</v>
      </c>
      <c r="C98" s="254"/>
      <c r="D98" s="216"/>
      <c r="E98" s="216"/>
      <c r="F98" s="217"/>
      <c r="G98" s="221"/>
      <c r="H98" s="144"/>
    </row>
    <row r="99" spans="1:8" ht="13.5">
      <c r="A99" s="34"/>
      <c r="B99" s="255"/>
      <c r="C99" s="255"/>
      <c r="D99" s="222">
        <f>SUM(D103:D106)</f>
        <v>497.90878311093405</v>
      </c>
      <c r="E99" s="222">
        <f>SUM(E100:E109)</f>
        <v>431.5209453628095</v>
      </c>
      <c r="F99" s="223">
        <f>SUM(F103:F106)</f>
        <v>398.32702648874726</v>
      </c>
      <c r="G99" s="224">
        <f>11000/30.126</f>
        <v>365.133107614685</v>
      </c>
      <c r="H99" s="158"/>
    </row>
    <row r="100" spans="1:8" ht="13.5">
      <c r="A100" s="34"/>
      <c r="B100" s="19" t="s">
        <v>39</v>
      </c>
      <c r="C100" s="18"/>
      <c r="D100" s="225">
        <v>0</v>
      </c>
      <c r="E100" s="203">
        <v>0</v>
      </c>
      <c r="F100" s="226">
        <v>0</v>
      </c>
      <c r="G100" s="227">
        <v>0</v>
      </c>
      <c r="H100" s="45"/>
    </row>
    <row r="101" spans="1:8" ht="13.5">
      <c r="A101" s="34"/>
      <c r="B101" s="19" t="s">
        <v>40</v>
      </c>
      <c r="C101" s="18"/>
      <c r="D101" s="225">
        <v>0</v>
      </c>
      <c r="E101" s="225">
        <v>0</v>
      </c>
      <c r="F101" s="226">
        <v>0</v>
      </c>
      <c r="G101" s="228">
        <v>0</v>
      </c>
      <c r="H101" s="45"/>
    </row>
    <row r="102" spans="1:8" ht="13.5">
      <c r="A102" s="34"/>
      <c r="B102" s="19" t="s">
        <v>41</v>
      </c>
      <c r="C102" s="18"/>
      <c r="D102" s="225">
        <v>0</v>
      </c>
      <c r="E102" s="225">
        <v>0</v>
      </c>
      <c r="F102" s="226">
        <v>0</v>
      </c>
      <c r="G102" s="228">
        <v>0</v>
      </c>
      <c r="H102" s="45"/>
    </row>
    <row r="103" spans="1:8" ht="13.5">
      <c r="A103" s="34"/>
      <c r="B103" s="19" t="s">
        <v>22</v>
      </c>
      <c r="C103" s="18"/>
      <c r="D103" s="209">
        <v>0</v>
      </c>
      <c r="E103" s="212">
        <v>0</v>
      </c>
      <c r="F103" s="212">
        <v>0</v>
      </c>
      <c r="G103" s="228">
        <v>0</v>
      </c>
      <c r="H103" s="37"/>
    </row>
    <row r="104" spans="1:8" ht="13.5">
      <c r="A104" s="34"/>
      <c r="B104" s="19">
        <v>441</v>
      </c>
      <c r="C104" s="18" t="s">
        <v>192</v>
      </c>
      <c r="D104" s="209">
        <f>15000/30.126</f>
        <v>497.90878311093405</v>
      </c>
      <c r="E104" s="212">
        <f>13000/30.126</f>
        <v>431.5209453628095</v>
      </c>
      <c r="F104" s="212">
        <f>12000/30.126</f>
        <v>398.32702648874726</v>
      </c>
      <c r="G104" s="205">
        <f>11000/30.126</f>
        <v>365.133107614685</v>
      </c>
      <c r="H104" s="37"/>
    </row>
    <row r="105" spans="1:8" ht="13.5">
      <c r="A105" s="34"/>
      <c r="B105" s="19" t="s">
        <v>35</v>
      </c>
      <c r="C105" s="18"/>
      <c r="D105" s="209">
        <v>0</v>
      </c>
      <c r="E105" s="209">
        <v>0</v>
      </c>
      <c r="F105" s="212">
        <v>0</v>
      </c>
      <c r="G105" s="205">
        <v>0</v>
      </c>
      <c r="H105" s="37"/>
    </row>
    <row r="106" spans="1:8" ht="13.5">
      <c r="A106" s="34"/>
      <c r="B106" s="54"/>
      <c r="C106" s="19" t="s">
        <v>42</v>
      </c>
      <c r="D106" s="209">
        <v>0</v>
      </c>
      <c r="E106" s="209">
        <v>0</v>
      </c>
      <c r="F106" s="212">
        <v>0</v>
      </c>
      <c r="G106" s="205">
        <v>0</v>
      </c>
      <c r="H106" s="37"/>
    </row>
    <row r="107" spans="1:8" ht="13.5">
      <c r="A107" s="34"/>
      <c r="B107" s="74" t="s">
        <v>43</v>
      </c>
      <c r="C107" s="75"/>
      <c r="D107" s="209">
        <v>0</v>
      </c>
      <c r="E107" s="209">
        <v>0</v>
      </c>
      <c r="F107" s="212">
        <v>0</v>
      </c>
      <c r="G107" s="205">
        <v>0</v>
      </c>
      <c r="H107" s="37"/>
    </row>
    <row r="108" spans="1:8" ht="13.5">
      <c r="A108" s="34"/>
      <c r="B108" s="54"/>
      <c r="C108" s="90" t="s">
        <v>141</v>
      </c>
      <c r="D108" s="209">
        <v>0</v>
      </c>
      <c r="E108" s="209">
        <v>0</v>
      </c>
      <c r="F108" s="212">
        <v>0</v>
      </c>
      <c r="G108" s="205">
        <v>0</v>
      </c>
      <c r="H108" s="37"/>
    </row>
    <row r="109" spans="1:8" ht="13.5">
      <c r="A109" s="34"/>
      <c r="B109" s="54"/>
      <c r="C109" s="13" t="s">
        <v>142</v>
      </c>
      <c r="D109" s="209">
        <v>0</v>
      </c>
      <c r="E109" s="209">
        <v>0</v>
      </c>
      <c r="F109" s="212">
        <v>0</v>
      </c>
      <c r="G109" s="205">
        <v>0</v>
      </c>
      <c r="H109" s="37"/>
    </row>
    <row r="136" ht="12.75" customHeight="1"/>
  </sheetData>
  <sheetProtection/>
  <mergeCells count="13">
    <mergeCell ref="B98:C99"/>
    <mergeCell ref="B63:C63"/>
    <mergeCell ref="B69:C69"/>
    <mergeCell ref="B73:C73"/>
    <mergeCell ref="B84:C84"/>
    <mergeCell ref="B85:C85"/>
    <mergeCell ref="B89:C89"/>
    <mergeCell ref="B93:C93"/>
    <mergeCell ref="B94:C94"/>
    <mergeCell ref="B13:C13"/>
    <mergeCell ref="B36:C36"/>
    <mergeCell ref="B37:C37"/>
    <mergeCell ref="B54:C54"/>
  </mergeCells>
  <printOptions horizontalCentered="1" verticalCentered="1"/>
  <pageMargins left="0.1968503937007874" right="0" top="0.3937007874015748" bottom="0.3937007874015748" header="0.5118110236220472" footer="0.5118110236220472"/>
  <pageSetup horizontalDpi="300" verticalDpi="300" orientation="landscape" paperSize="9" r:id="rId1"/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="110" zoomScaleNormal="110" zoomScalePageLayoutView="0" workbookViewId="0" topLeftCell="A35">
      <selection activeCell="A35" sqref="A35:J69"/>
    </sheetView>
  </sheetViews>
  <sheetFormatPr defaultColWidth="9.140625" defaultRowHeight="12.75"/>
  <cols>
    <col min="1" max="1" width="3.8515625" style="0" customWidth="1"/>
    <col min="2" max="2" width="8.8515625" style="0" customWidth="1"/>
    <col min="3" max="3" width="8.00390625" style="0" customWidth="1"/>
    <col min="4" max="4" width="42.8515625" style="0" customWidth="1"/>
    <col min="5" max="5" width="10.140625" style="0" customWidth="1"/>
    <col min="6" max="6" width="7.7109375" style="0" customWidth="1"/>
    <col min="7" max="7" width="9.57421875" style="0" customWidth="1"/>
    <col min="8" max="8" width="8.00390625" style="0" customWidth="1"/>
    <col min="9" max="9" width="9.28125" style="0" customWidth="1"/>
    <col min="10" max="10" width="14.00390625" style="0" customWidth="1"/>
  </cols>
  <sheetData>
    <row r="1" spans="1:10" ht="13.5">
      <c r="A1" s="40"/>
      <c r="J1" s="73" t="s">
        <v>224</v>
      </c>
    </row>
    <row r="2" spans="1:10" ht="13.5">
      <c r="A2" s="47" t="s">
        <v>246</v>
      </c>
      <c r="J2" s="73" t="s">
        <v>225</v>
      </c>
    </row>
    <row r="3" spans="1:10" ht="14.25" thickBot="1">
      <c r="A3" s="40" t="s">
        <v>62</v>
      </c>
      <c r="G3" s="73" t="s">
        <v>247</v>
      </c>
      <c r="J3" s="73" t="s">
        <v>67</v>
      </c>
    </row>
    <row r="4" spans="1:10" ht="13.5">
      <c r="A4" s="113"/>
      <c r="B4" s="187" t="s">
        <v>50</v>
      </c>
      <c r="C4" s="190"/>
      <c r="D4" s="189" t="s">
        <v>52</v>
      </c>
      <c r="E4" s="182"/>
      <c r="F4" s="117">
        <v>2008</v>
      </c>
      <c r="G4" s="117">
        <v>2009</v>
      </c>
      <c r="H4" s="133">
        <v>2010</v>
      </c>
      <c r="I4" s="117">
        <v>2011</v>
      </c>
      <c r="J4" s="145"/>
    </row>
    <row r="5" spans="1:10" ht="13.5">
      <c r="A5" s="118" t="s">
        <v>44</v>
      </c>
      <c r="B5" s="134" t="s">
        <v>51</v>
      </c>
      <c r="C5" s="29" t="s">
        <v>55</v>
      </c>
      <c r="D5" s="183" t="s">
        <v>57</v>
      </c>
      <c r="E5" s="183" t="s">
        <v>56</v>
      </c>
      <c r="F5" s="28"/>
      <c r="G5" s="28"/>
      <c r="H5" s="134"/>
      <c r="I5" s="138"/>
      <c r="J5" s="146" t="s">
        <v>54</v>
      </c>
    </row>
    <row r="6" spans="1:10" ht="14.25" thickBot="1">
      <c r="A6" s="119"/>
      <c r="B6" s="188" t="s">
        <v>49</v>
      </c>
      <c r="C6" s="191" t="s">
        <v>156</v>
      </c>
      <c r="D6" s="184" t="s">
        <v>168</v>
      </c>
      <c r="E6" s="184" t="s">
        <v>53</v>
      </c>
      <c r="F6" s="123" t="s">
        <v>215</v>
      </c>
      <c r="G6" s="147"/>
      <c r="H6" s="150" t="s">
        <v>60</v>
      </c>
      <c r="I6" s="148"/>
      <c r="J6" s="149"/>
    </row>
    <row r="7" spans="1:10" ht="13.5">
      <c r="A7" s="159">
        <v>45</v>
      </c>
      <c r="B7" s="66"/>
      <c r="C7" s="71" t="s">
        <v>58</v>
      </c>
      <c r="D7" s="106" t="s">
        <v>5</v>
      </c>
      <c r="E7" s="106"/>
      <c r="F7" s="229">
        <f>F8+F122+G154</f>
        <v>19456.71512978822</v>
      </c>
      <c r="G7" s="229">
        <f>G8+G122+H154</f>
        <v>19994.357033791406</v>
      </c>
      <c r="H7" s="229">
        <f>H8+H122+I154</f>
        <v>18715.72727876253</v>
      </c>
      <c r="I7" s="229">
        <f>I8+I122+J154</f>
        <v>15982.881398127862</v>
      </c>
      <c r="J7" s="160"/>
    </row>
    <row r="8" spans="1:10" ht="13.5">
      <c r="A8" s="161">
        <v>45</v>
      </c>
      <c r="B8" s="64"/>
      <c r="C8" s="70" t="s">
        <v>58</v>
      </c>
      <c r="D8" s="92" t="s">
        <v>6</v>
      </c>
      <c r="E8" s="77"/>
      <c r="F8" s="200">
        <f>F9+F11+F17+F79+F116</f>
        <v>18510.688441877446</v>
      </c>
      <c r="G8" s="200">
        <f>G9+G11+G17+G79+G116</f>
        <v>18416.51729403173</v>
      </c>
      <c r="H8" s="200">
        <f>H9+H11+H17+H79+H116</f>
        <v>17761.40211113324</v>
      </c>
      <c r="I8" s="200">
        <f>I9+I11+I17+I79+I116</f>
        <v>13758.88883356569</v>
      </c>
      <c r="J8" s="162"/>
    </row>
    <row r="9" spans="1:11" ht="13.5">
      <c r="A9" s="161">
        <v>45</v>
      </c>
      <c r="B9" s="64"/>
      <c r="C9" s="70" t="s">
        <v>58</v>
      </c>
      <c r="D9" s="93" t="s">
        <v>7</v>
      </c>
      <c r="E9" s="76"/>
      <c r="F9" s="201">
        <f>104223/30.126</f>
        <v>3459.569806811392</v>
      </c>
      <c r="G9" s="201">
        <f>117708/30.126</f>
        <v>3907.1898028281216</v>
      </c>
      <c r="H9" s="201">
        <f>122500/30.126</f>
        <v>4066.2550620726283</v>
      </c>
      <c r="I9" s="200">
        <f>127000/30.126</f>
        <v>4215.627697005908</v>
      </c>
      <c r="J9" s="163"/>
      <c r="K9" s="61"/>
    </row>
    <row r="10" spans="1:10" ht="13.5">
      <c r="A10" s="161">
        <v>45</v>
      </c>
      <c r="B10" s="64"/>
      <c r="C10" s="70" t="s">
        <v>58</v>
      </c>
      <c r="D10" s="95" t="s">
        <v>169</v>
      </c>
      <c r="E10" s="76"/>
      <c r="F10" s="201">
        <f>104223/30.126</f>
        <v>3459.569806811392</v>
      </c>
      <c r="G10" s="201">
        <f>117708/30.126</f>
        <v>3907.1898028281216</v>
      </c>
      <c r="H10" s="201">
        <f>122500/30.126</f>
        <v>4066.2550620726283</v>
      </c>
      <c r="I10" s="200">
        <f>127000/30.126</f>
        <v>4215.627697005908</v>
      </c>
      <c r="J10" s="163"/>
    </row>
    <row r="11" spans="1:10" ht="13.5">
      <c r="A11" s="161">
        <v>45</v>
      </c>
      <c r="B11" s="64"/>
      <c r="C11" s="70" t="s">
        <v>58</v>
      </c>
      <c r="D11" s="93" t="s">
        <v>8</v>
      </c>
      <c r="E11" s="76"/>
      <c r="F11" s="201">
        <f>SUM(F12:F16)</f>
        <v>1324.4373630750845</v>
      </c>
      <c r="G11" s="201">
        <f>SUM(G12:G16)</f>
        <v>1375.323640709022</v>
      </c>
      <c r="H11" s="201">
        <f>SUM(H12:H16)</f>
        <v>1351.9883157405563</v>
      </c>
      <c r="I11" s="201">
        <f>SUM(I12:I16)</f>
        <v>1354.3118900617408</v>
      </c>
      <c r="J11" s="163"/>
    </row>
    <row r="12" spans="1:10" ht="13.5">
      <c r="A12" s="161">
        <v>45</v>
      </c>
      <c r="B12" s="64"/>
      <c r="C12" s="70" t="s">
        <v>58</v>
      </c>
      <c r="D12" s="95" t="s">
        <v>170</v>
      </c>
      <c r="E12" s="76"/>
      <c r="F12" s="230">
        <f>6000/30.126</f>
        <v>199.16351324437363</v>
      </c>
      <c r="G12" s="230">
        <f>7030/30.126</f>
        <v>233.35324968465775</v>
      </c>
      <c r="H12" s="230">
        <f>6180/30.126</f>
        <v>205.13841864170485</v>
      </c>
      <c r="I12" s="209">
        <f>7000/30.126</f>
        <v>232.3574321184359</v>
      </c>
      <c r="J12" s="163"/>
    </row>
    <row r="13" spans="1:10" ht="13.5">
      <c r="A13" s="161">
        <v>45</v>
      </c>
      <c r="B13" s="64"/>
      <c r="C13" s="70" t="s">
        <v>58</v>
      </c>
      <c r="D13" s="95" t="s">
        <v>171</v>
      </c>
      <c r="E13" s="76"/>
      <c r="F13" s="230">
        <f>3800/30.126</f>
        <v>126.13689172143663</v>
      </c>
      <c r="G13" s="230">
        <f>4000/30.126</f>
        <v>132.77567549624908</v>
      </c>
      <c r="H13" s="230">
        <f>3900/30.126</f>
        <v>129.45628360884285</v>
      </c>
      <c r="I13" s="209">
        <f>3900/30.126</f>
        <v>129.45628360884285</v>
      </c>
      <c r="J13" s="163"/>
    </row>
    <row r="14" spans="1:10" ht="13.5">
      <c r="A14" s="161">
        <v>45</v>
      </c>
      <c r="B14" s="64"/>
      <c r="C14" s="70" t="s">
        <v>58</v>
      </c>
      <c r="D14" s="95" t="s">
        <v>172</v>
      </c>
      <c r="E14" s="76"/>
      <c r="F14" s="230">
        <f>2800/30.126</f>
        <v>92.94297284737436</v>
      </c>
      <c r="G14" s="230">
        <f>2500/30.126</f>
        <v>82.98479718515567</v>
      </c>
      <c r="H14" s="230">
        <f>2950/30.126</f>
        <v>97.9220606784837</v>
      </c>
      <c r="I14" s="209">
        <f>2200/30.126</f>
        <v>73.02662152293699</v>
      </c>
      <c r="J14" s="163"/>
    </row>
    <row r="15" spans="1:10" ht="13.5">
      <c r="A15" s="161">
        <v>45</v>
      </c>
      <c r="B15" s="64"/>
      <c r="C15" s="70" t="s">
        <v>58</v>
      </c>
      <c r="D15" s="127" t="s">
        <v>187</v>
      </c>
      <c r="E15" s="76"/>
      <c r="F15" s="230">
        <f>25000/30.126</f>
        <v>829.8479718515567</v>
      </c>
      <c r="G15" s="230">
        <f>25900/30.126</f>
        <v>859.7224988382128</v>
      </c>
      <c r="H15" s="230">
        <f>25200/30.126</f>
        <v>836.4867556263692</v>
      </c>
      <c r="I15" s="209">
        <f>25000/30.126</f>
        <v>829.8479718515567</v>
      </c>
      <c r="J15" s="163"/>
    </row>
    <row r="16" spans="1:10" ht="13.5">
      <c r="A16" s="161">
        <v>45</v>
      </c>
      <c r="B16" s="34"/>
      <c r="C16" s="70" t="s">
        <v>58</v>
      </c>
      <c r="D16" s="94" t="s">
        <v>188</v>
      </c>
      <c r="E16" s="54"/>
      <c r="F16" s="209">
        <f>2300/30.126</f>
        <v>76.34601341034322</v>
      </c>
      <c r="G16" s="209">
        <f>2003/30.126</f>
        <v>66.48741950474673</v>
      </c>
      <c r="H16" s="209">
        <f>2500/30.126</f>
        <v>82.98479718515567</v>
      </c>
      <c r="I16" s="209">
        <f>2700/30.126</f>
        <v>89.62358095996812</v>
      </c>
      <c r="J16" s="164"/>
    </row>
    <row r="17" spans="1:10" ht="13.5">
      <c r="A17" s="161">
        <v>45</v>
      </c>
      <c r="B17" s="64"/>
      <c r="C17" s="70" t="s">
        <v>58</v>
      </c>
      <c r="D17" s="93" t="s">
        <v>9</v>
      </c>
      <c r="E17" s="76"/>
      <c r="F17" s="201">
        <f>F18+F20+F24+F41+F45+F47+F49</f>
        <v>5804.288654318529</v>
      </c>
      <c r="G17" s="201">
        <f>G18+G20+G24+G41+G45+G47+G49</f>
        <v>6573.05981544181</v>
      </c>
      <c r="H17" s="201">
        <f>H18+H20+H24+H41+H45+H47+H49</f>
        <v>6018.72137024497</v>
      </c>
      <c r="I17" s="201">
        <f>I18+I20+I24+I41+I45+I47+I49</f>
        <v>6846.753136825334</v>
      </c>
      <c r="J17" s="164"/>
    </row>
    <row r="18" spans="1:11" ht="13.5">
      <c r="A18" s="161">
        <v>45</v>
      </c>
      <c r="B18" s="64"/>
      <c r="C18" s="70" t="s">
        <v>58</v>
      </c>
      <c r="D18" s="13" t="s">
        <v>104</v>
      </c>
      <c r="E18" s="76"/>
      <c r="F18" s="201">
        <f>2000/30.126</f>
        <v>66.38783774812454</v>
      </c>
      <c r="G18" s="201">
        <f>2500/30.126</f>
        <v>82.98479718515567</v>
      </c>
      <c r="H18" s="201">
        <f>2500/30.126</f>
        <v>82.98479718515567</v>
      </c>
      <c r="I18" s="201">
        <f>3000/30.126</f>
        <v>99.58175662218682</v>
      </c>
      <c r="J18" s="163"/>
      <c r="K18" s="88"/>
    </row>
    <row r="19" spans="1:10" ht="13.5">
      <c r="A19" s="161">
        <v>45</v>
      </c>
      <c r="B19" s="65"/>
      <c r="C19" s="70" t="s">
        <v>58</v>
      </c>
      <c r="D19" s="125" t="s">
        <v>173</v>
      </c>
      <c r="E19" s="54"/>
      <c r="F19" s="230">
        <f>2000/30.126</f>
        <v>66.38783774812454</v>
      </c>
      <c r="G19" s="230">
        <f>2500/30.126</f>
        <v>82.98479718515567</v>
      </c>
      <c r="H19" s="230">
        <f>2500/30.126</f>
        <v>82.98479718515567</v>
      </c>
      <c r="I19" s="209">
        <f>3000/30.126</f>
        <v>99.58175662218682</v>
      </c>
      <c r="J19" s="163"/>
    </row>
    <row r="20" spans="1:10" ht="13.5">
      <c r="A20" s="161">
        <v>45</v>
      </c>
      <c r="B20" s="65"/>
      <c r="C20" s="70" t="s">
        <v>58</v>
      </c>
      <c r="D20" s="86" t="s">
        <v>235</v>
      </c>
      <c r="E20" s="76"/>
      <c r="F20" s="201">
        <f>SUM(F21:F23)</f>
        <v>564.2966208590585</v>
      </c>
      <c r="G20" s="201">
        <f>SUM(G21:G23)</f>
        <v>647.2814180442143</v>
      </c>
      <c r="H20" s="201">
        <f>SUM(H21:H23)</f>
        <v>630.6844586071832</v>
      </c>
      <c r="I20" s="201">
        <f>SUM(I21:I23)</f>
        <v>726.9468233419637</v>
      </c>
      <c r="J20" s="163"/>
    </row>
    <row r="21" spans="1:10" ht="13.5">
      <c r="A21" s="161">
        <v>45</v>
      </c>
      <c r="B21" s="65"/>
      <c r="C21" s="70" t="s">
        <v>58</v>
      </c>
      <c r="D21" s="126" t="s">
        <v>174</v>
      </c>
      <c r="E21" s="76"/>
      <c r="F21" s="230">
        <f>9400/30.126</f>
        <v>312.0228374161853</v>
      </c>
      <c r="G21" s="230">
        <f>11400/30.126</f>
        <v>378.4106751643099</v>
      </c>
      <c r="H21" s="230">
        <f>10000/30.126</f>
        <v>331.9391887406227</v>
      </c>
      <c r="I21" s="209">
        <f>13400/30.126</f>
        <v>444.79851291243443</v>
      </c>
      <c r="J21" s="163"/>
    </row>
    <row r="22" spans="1:10" ht="13.5">
      <c r="A22" s="161">
        <v>45</v>
      </c>
      <c r="B22" s="65"/>
      <c r="C22" s="70" t="s">
        <v>58</v>
      </c>
      <c r="D22" s="126" t="s">
        <v>236</v>
      </c>
      <c r="E22" s="76"/>
      <c r="F22" s="230">
        <f>1200/30.126</f>
        <v>39.83270264887472</v>
      </c>
      <c r="G22" s="230">
        <f>1400/30.126</f>
        <v>46.47148642368718</v>
      </c>
      <c r="H22" s="230">
        <f>2000/30.126</f>
        <v>66.38783774812454</v>
      </c>
      <c r="I22" s="209">
        <f>1500/30.126</f>
        <v>49.79087831109341</v>
      </c>
      <c r="J22" s="163"/>
    </row>
    <row r="23" spans="1:10" ht="13.5">
      <c r="A23" s="161">
        <v>45</v>
      </c>
      <c r="B23" s="65"/>
      <c r="C23" s="70" t="s">
        <v>58</v>
      </c>
      <c r="D23" s="126" t="s">
        <v>237</v>
      </c>
      <c r="E23" s="76"/>
      <c r="F23" s="230">
        <f>6400/30.126</f>
        <v>212.44108079399854</v>
      </c>
      <c r="G23" s="230">
        <f>6700/30.126</f>
        <v>222.39925645621722</v>
      </c>
      <c r="H23" s="230">
        <f>7000/30.126</f>
        <v>232.3574321184359</v>
      </c>
      <c r="I23" s="209">
        <f>7000/30.126</f>
        <v>232.3574321184359</v>
      </c>
      <c r="J23" s="163"/>
    </row>
    <row r="24" spans="1:11" ht="13.5">
      <c r="A24" s="161">
        <v>45</v>
      </c>
      <c r="B24" s="65"/>
      <c r="C24" s="70" t="s">
        <v>58</v>
      </c>
      <c r="D24" s="86" t="s">
        <v>69</v>
      </c>
      <c r="E24" s="76"/>
      <c r="F24" s="201">
        <f>SUM(F25:F34)</f>
        <v>787.6916948814977</v>
      </c>
      <c r="G24" s="201">
        <f>SUM(G25:G34)</f>
        <v>701.5534754033062</v>
      </c>
      <c r="H24" s="201">
        <f>SUM(H25:H34)</f>
        <v>750.1825665538073</v>
      </c>
      <c r="I24" s="201">
        <f>SUM(I25:I34)</f>
        <v>769.4350395007634</v>
      </c>
      <c r="J24" s="163"/>
      <c r="K24" s="108"/>
    </row>
    <row r="25" spans="1:10" ht="13.5">
      <c r="A25" s="161">
        <v>45</v>
      </c>
      <c r="B25" s="65"/>
      <c r="C25" s="70" t="s">
        <v>58</v>
      </c>
      <c r="D25" s="126" t="s">
        <v>70</v>
      </c>
      <c r="E25" s="76"/>
      <c r="F25" s="209">
        <f>2500/30.126</f>
        <v>82.98479718515567</v>
      </c>
      <c r="G25" s="209">
        <f>2505/30.126</f>
        <v>83.15076677952598</v>
      </c>
      <c r="H25" s="209">
        <f>2500/30.126</f>
        <v>82.98479718515567</v>
      </c>
      <c r="I25" s="209">
        <f>2700/30.126</f>
        <v>89.62358095996812</v>
      </c>
      <c r="J25" s="163"/>
    </row>
    <row r="26" spans="1:10" ht="13.5">
      <c r="A26" s="161">
        <v>45</v>
      </c>
      <c r="B26" s="65"/>
      <c r="C26" s="70" t="s">
        <v>58</v>
      </c>
      <c r="D26" s="126" t="s">
        <v>71</v>
      </c>
      <c r="E26" s="76"/>
      <c r="F26" s="209">
        <f>3300/30.126</f>
        <v>109.5399322844055</v>
      </c>
      <c r="G26" s="209">
        <f>2000/30.126</f>
        <v>66.38783774812454</v>
      </c>
      <c r="H26" s="209">
        <f>2500/30.126</f>
        <v>82.98479718515567</v>
      </c>
      <c r="I26" s="209">
        <f>2400/30.126</f>
        <v>79.66540529774944</v>
      </c>
      <c r="J26" s="163"/>
    </row>
    <row r="27" spans="1:10" ht="13.5">
      <c r="A27" s="161">
        <v>45</v>
      </c>
      <c r="B27" s="65"/>
      <c r="C27" s="70" t="s">
        <v>58</v>
      </c>
      <c r="D27" s="126" t="s">
        <v>72</v>
      </c>
      <c r="E27" s="76"/>
      <c r="F27" s="209">
        <f>800/30.126</f>
        <v>26.555135099249817</v>
      </c>
      <c r="G27" s="209">
        <f>500/30.126</f>
        <v>16.596959437031135</v>
      </c>
      <c r="H27" s="209">
        <f>700/30.126</f>
        <v>23.23574321184359</v>
      </c>
      <c r="I27" s="209">
        <f>700/30.126</f>
        <v>23.23574321184359</v>
      </c>
      <c r="J27" s="163"/>
    </row>
    <row r="28" spans="1:10" ht="13.5">
      <c r="A28" s="161">
        <v>45</v>
      </c>
      <c r="B28" s="65"/>
      <c r="C28" s="70" t="s">
        <v>58</v>
      </c>
      <c r="D28" s="126" t="s">
        <v>145</v>
      </c>
      <c r="E28" s="76"/>
      <c r="F28" s="209">
        <f>1000/30.126</f>
        <v>33.19391887406227</v>
      </c>
      <c r="G28" s="209">
        <f>500/30.126</f>
        <v>16.596959437031135</v>
      </c>
      <c r="H28" s="209">
        <f>1000/30.126</f>
        <v>33.19391887406227</v>
      </c>
      <c r="I28" s="209">
        <f>1000/30.126</f>
        <v>33.19391887406227</v>
      </c>
      <c r="J28" s="163"/>
    </row>
    <row r="29" spans="1:10" ht="13.5">
      <c r="A29" s="161">
        <v>45</v>
      </c>
      <c r="B29" s="65"/>
      <c r="C29" s="70" t="s">
        <v>58</v>
      </c>
      <c r="D29" s="126" t="s">
        <v>238</v>
      </c>
      <c r="E29" s="76"/>
      <c r="F29" s="209">
        <f>7000/30.126</f>
        <v>232.3574321184359</v>
      </c>
      <c r="G29" s="209">
        <f>7000/30.126</f>
        <v>232.3574321184359</v>
      </c>
      <c r="H29" s="209">
        <f>7000/30.126</f>
        <v>232.3574321184359</v>
      </c>
      <c r="I29" s="209">
        <f>8000/30.126</f>
        <v>265.55135099249816</v>
      </c>
      <c r="J29" s="163"/>
    </row>
    <row r="30" spans="1:10" ht="13.5">
      <c r="A30" s="161">
        <v>45</v>
      </c>
      <c r="B30" s="65"/>
      <c r="C30" s="70" t="s">
        <v>58</v>
      </c>
      <c r="D30" s="126" t="s">
        <v>73</v>
      </c>
      <c r="E30" s="76"/>
      <c r="F30" s="209">
        <f>1000/30.126</f>
        <v>33.19391887406227</v>
      </c>
      <c r="G30" s="209">
        <f>1050/30.126</f>
        <v>34.85361481776538</v>
      </c>
      <c r="H30" s="209">
        <f>1000/30.126</f>
        <v>33.19391887406227</v>
      </c>
      <c r="I30" s="209">
        <f>1200/30.126</f>
        <v>39.83270264887472</v>
      </c>
      <c r="J30" s="163"/>
    </row>
    <row r="31" spans="1:10" ht="13.5">
      <c r="A31" s="161">
        <v>45</v>
      </c>
      <c r="B31" s="65"/>
      <c r="C31" s="70" t="s">
        <v>58</v>
      </c>
      <c r="D31" s="126" t="s">
        <v>74</v>
      </c>
      <c r="E31" s="76"/>
      <c r="F31" s="209">
        <f>20/30.126</f>
        <v>0.6638783774812455</v>
      </c>
      <c r="G31" s="209">
        <f>30/30.126</f>
        <v>0.9958175662218681</v>
      </c>
      <c r="H31" s="209">
        <f>20/30.126</f>
        <v>0.6638783774812455</v>
      </c>
      <c r="I31" s="209">
        <f>30/30.126</f>
        <v>0.9958175662218681</v>
      </c>
      <c r="J31" s="163"/>
    </row>
    <row r="32" spans="1:10" ht="13.5">
      <c r="A32" s="161">
        <v>45</v>
      </c>
      <c r="B32" s="65"/>
      <c r="C32" s="70" t="s">
        <v>58</v>
      </c>
      <c r="D32" s="126" t="s">
        <v>75</v>
      </c>
      <c r="E32" s="76"/>
      <c r="F32" s="209">
        <f>2000/30.126</f>
        <v>66.38783774812454</v>
      </c>
      <c r="G32" s="209">
        <f>1500/30.126</f>
        <v>49.79087831109341</v>
      </c>
      <c r="H32" s="209">
        <f>2000/30.126</f>
        <v>66.38783774812454</v>
      </c>
      <c r="I32" s="209">
        <f>1000/30.126</f>
        <v>33.19391887406227</v>
      </c>
      <c r="J32" s="163"/>
    </row>
    <row r="33" spans="1:10" ht="13.5">
      <c r="A33" s="161">
        <v>45</v>
      </c>
      <c r="B33" s="65"/>
      <c r="C33" s="70" t="s">
        <v>58</v>
      </c>
      <c r="D33" s="126" t="s">
        <v>76</v>
      </c>
      <c r="E33" s="76"/>
      <c r="F33" s="209">
        <f>330/30.126</f>
        <v>10.953993228440549</v>
      </c>
      <c r="G33" s="209">
        <f>250/30.126</f>
        <v>8.298479718515567</v>
      </c>
      <c r="H33" s="209">
        <f>350/30.126</f>
        <v>11.617871605921795</v>
      </c>
      <c r="I33" s="209">
        <f>350/30.126</f>
        <v>11.617871605921795</v>
      </c>
      <c r="J33" s="163"/>
    </row>
    <row r="34" spans="1:10" ht="14.25" thickBot="1">
      <c r="A34" s="165">
        <v>45</v>
      </c>
      <c r="B34" s="166"/>
      <c r="C34" s="167" t="s">
        <v>58</v>
      </c>
      <c r="D34" s="168" t="s">
        <v>175</v>
      </c>
      <c r="E34" s="169"/>
      <c r="F34" s="231">
        <f>5780/30.126</f>
        <v>191.8608510920799</v>
      </c>
      <c r="G34" s="231">
        <f>5800/30.126</f>
        <v>192.52472946956118</v>
      </c>
      <c r="H34" s="231">
        <f>5530/30.126</f>
        <v>183.56237137356436</v>
      </c>
      <c r="I34" s="231">
        <f>5800/30.126</f>
        <v>192.52472946956118</v>
      </c>
      <c r="J34" s="171"/>
    </row>
    <row r="35" spans="1:10" ht="13.5">
      <c r="A35" s="259"/>
      <c r="B35" s="260"/>
      <c r="C35" s="260"/>
      <c r="D35" s="260"/>
      <c r="E35" s="260"/>
      <c r="F35" s="260"/>
      <c r="G35" s="260"/>
      <c r="H35" s="260"/>
      <c r="I35" s="261"/>
      <c r="J35" s="262" t="s">
        <v>224</v>
      </c>
    </row>
    <row r="36" spans="1:10" ht="13.5">
      <c r="A36" s="263" t="s">
        <v>246</v>
      </c>
      <c r="B36" s="260"/>
      <c r="C36" s="260"/>
      <c r="D36" s="260"/>
      <c r="E36" s="260"/>
      <c r="F36" s="260"/>
      <c r="G36" s="260"/>
      <c r="H36" s="260"/>
      <c r="I36" s="260"/>
      <c r="J36" s="262" t="s">
        <v>225</v>
      </c>
    </row>
    <row r="37" spans="1:10" ht="14.25" thickBot="1">
      <c r="A37" s="259" t="s">
        <v>62</v>
      </c>
      <c r="B37" s="260"/>
      <c r="C37" s="260"/>
      <c r="D37" s="260"/>
      <c r="E37" s="260"/>
      <c r="F37" s="260"/>
      <c r="G37" s="262" t="s">
        <v>247</v>
      </c>
      <c r="H37" s="260"/>
      <c r="I37" s="260"/>
      <c r="J37" s="262" t="s">
        <v>110</v>
      </c>
    </row>
    <row r="38" spans="1:10" ht="13.5">
      <c r="A38" s="264"/>
      <c r="B38" s="265" t="s">
        <v>50</v>
      </c>
      <c r="C38" s="266"/>
      <c r="D38" s="267" t="s">
        <v>52</v>
      </c>
      <c r="E38" s="268"/>
      <c r="F38" s="269">
        <v>2008</v>
      </c>
      <c r="G38" s="269">
        <v>2009</v>
      </c>
      <c r="H38" s="269">
        <v>2010</v>
      </c>
      <c r="I38" s="270">
        <v>2011</v>
      </c>
      <c r="J38" s="271"/>
    </row>
    <row r="39" spans="1:10" ht="13.5">
      <c r="A39" s="272" t="s">
        <v>44</v>
      </c>
      <c r="B39" s="273" t="s">
        <v>51</v>
      </c>
      <c r="C39" s="274" t="s">
        <v>55</v>
      </c>
      <c r="D39" s="275" t="s">
        <v>57</v>
      </c>
      <c r="E39" s="275" t="s">
        <v>56</v>
      </c>
      <c r="F39" s="242"/>
      <c r="G39" s="242"/>
      <c r="H39" s="242"/>
      <c r="I39" s="243"/>
      <c r="J39" s="244" t="s">
        <v>54</v>
      </c>
    </row>
    <row r="40" spans="1:10" ht="14.25" thickBot="1">
      <c r="A40" s="276"/>
      <c r="B40" s="277" t="s">
        <v>49</v>
      </c>
      <c r="C40" s="278" t="s">
        <v>156</v>
      </c>
      <c r="D40" s="279" t="s">
        <v>61</v>
      </c>
      <c r="E40" s="279" t="s">
        <v>53</v>
      </c>
      <c r="F40" s="280"/>
      <c r="G40" s="281"/>
      <c r="H40" s="282" t="s">
        <v>60</v>
      </c>
      <c r="I40" s="283"/>
      <c r="J40" s="284"/>
    </row>
    <row r="41" spans="1:10" ht="13.5">
      <c r="A41" s="285">
        <v>45</v>
      </c>
      <c r="B41" s="286"/>
      <c r="C41" s="287" t="s">
        <v>58</v>
      </c>
      <c r="D41" s="288" t="s">
        <v>77</v>
      </c>
      <c r="E41" s="289"/>
      <c r="F41" s="290">
        <v>229.03804023102967</v>
      </c>
      <c r="G41" s="290">
        <v>215.76047268140474</v>
      </c>
      <c r="H41" s="290">
        <v>185.8859456947487</v>
      </c>
      <c r="I41" s="290">
        <v>232.35743211843587</v>
      </c>
      <c r="J41" s="291"/>
    </row>
    <row r="42" spans="1:10" ht="13.5">
      <c r="A42" s="292">
        <v>45</v>
      </c>
      <c r="B42" s="293"/>
      <c r="C42" s="294" t="s">
        <v>58</v>
      </c>
      <c r="D42" s="295" t="s">
        <v>176</v>
      </c>
      <c r="E42" s="296"/>
      <c r="F42" s="297">
        <v>156.01141870809266</v>
      </c>
      <c r="G42" s="297">
        <v>162.65020248290512</v>
      </c>
      <c r="H42" s="297">
        <v>132.77567549624908</v>
      </c>
      <c r="I42" s="298">
        <v>165.96959437031134</v>
      </c>
      <c r="J42" s="299"/>
    </row>
    <row r="43" spans="1:10" ht="13.5">
      <c r="A43" s="292">
        <v>45</v>
      </c>
      <c r="B43" s="293"/>
      <c r="C43" s="294" t="s">
        <v>58</v>
      </c>
      <c r="D43" s="295" t="s">
        <v>177</v>
      </c>
      <c r="E43" s="296"/>
      <c r="F43" s="297">
        <v>49.79087831109341</v>
      </c>
      <c r="G43" s="297">
        <v>23.23574321184359</v>
      </c>
      <c r="H43" s="297">
        <v>33.19391887406227</v>
      </c>
      <c r="I43" s="298">
        <v>33.19391887406227</v>
      </c>
      <c r="J43" s="299"/>
    </row>
    <row r="44" spans="1:10" ht="13.5">
      <c r="A44" s="292">
        <v>45</v>
      </c>
      <c r="B44" s="293"/>
      <c r="C44" s="294" t="s">
        <v>58</v>
      </c>
      <c r="D44" s="295" t="s">
        <v>78</v>
      </c>
      <c r="E44" s="296"/>
      <c r="F44" s="300">
        <v>23.23574321184359</v>
      </c>
      <c r="G44" s="300">
        <v>29.874526986656043</v>
      </c>
      <c r="H44" s="300">
        <v>19.91635132443736</v>
      </c>
      <c r="I44" s="298">
        <v>33.19391887406227</v>
      </c>
      <c r="J44" s="299"/>
    </row>
    <row r="45" spans="1:10" ht="13.5">
      <c r="A45" s="292">
        <v>45</v>
      </c>
      <c r="B45" s="293"/>
      <c r="C45" s="294" t="s">
        <v>58</v>
      </c>
      <c r="D45" s="301" t="s">
        <v>79</v>
      </c>
      <c r="E45" s="296"/>
      <c r="F45" s="302">
        <v>265.55135099249816</v>
      </c>
      <c r="G45" s="302">
        <v>282.1483104295293</v>
      </c>
      <c r="H45" s="302">
        <v>282.1483104295293</v>
      </c>
      <c r="I45" s="290">
        <v>597.5</v>
      </c>
      <c r="J45" s="299"/>
    </row>
    <row r="46" spans="1:10" ht="13.5">
      <c r="A46" s="292">
        <v>45</v>
      </c>
      <c r="B46" s="293"/>
      <c r="C46" s="294" t="s">
        <v>58</v>
      </c>
      <c r="D46" s="295" t="s">
        <v>178</v>
      </c>
      <c r="E46" s="296"/>
      <c r="F46" s="297">
        <v>265.55135099249816</v>
      </c>
      <c r="G46" s="297">
        <v>282.1</v>
      </c>
      <c r="H46" s="297">
        <v>282.1483104295293</v>
      </c>
      <c r="I46" s="298">
        <v>597.5</v>
      </c>
      <c r="J46" s="299"/>
    </row>
    <row r="47" spans="1:10" ht="13.5">
      <c r="A47" s="292">
        <v>45</v>
      </c>
      <c r="B47" s="303"/>
      <c r="C47" s="294" t="s">
        <v>58</v>
      </c>
      <c r="D47" s="304" t="s">
        <v>80</v>
      </c>
      <c r="E47" s="296"/>
      <c r="F47" s="302">
        <v>165.96959437031134</v>
      </c>
      <c r="G47" s="302">
        <v>132.77567549624908</v>
      </c>
      <c r="H47" s="302">
        <v>165.96959437031134</v>
      </c>
      <c r="I47" s="290">
        <v>132.77567549624908</v>
      </c>
      <c r="J47" s="299"/>
    </row>
    <row r="48" spans="1:10" ht="13.5">
      <c r="A48" s="292">
        <v>45</v>
      </c>
      <c r="B48" s="303"/>
      <c r="C48" s="294" t="s">
        <v>58</v>
      </c>
      <c r="D48" s="305" t="s">
        <v>186</v>
      </c>
      <c r="E48" s="296"/>
      <c r="F48" s="297">
        <v>165.96959437031134</v>
      </c>
      <c r="G48" s="297">
        <v>132.77567549624908</v>
      </c>
      <c r="H48" s="297">
        <v>165.96959437031134</v>
      </c>
      <c r="I48" s="298">
        <v>132.77567549624908</v>
      </c>
      <c r="J48" s="299"/>
    </row>
    <row r="49" spans="1:12" ht="13.5">
      <c r="A49" s="285">
        <v>45</v>
      </c>
      <c r="B49" s="306"/>
      <c r="C49" s="287" t="s">
        <v>58</v>
      </c>
      <c r="D49" s="307" t="s">
        <v>195</v>
      </c>
      <c r="E49" s="308"/>
      <c r="F49" s="309">
        <v>3725.353515236008</v>
      </c>
      <c r="G49" s="309">
        <v>4510.555666201951</v>
      </c>
      <c r="H49" s="309">
        <v>3920.865697404235</v>
      </c>
      <c r="I49" s="309">
        <v>4288.156409745735</v>
      </c>
      <c r="J49" s="310"/>
      <c r="L49" s="237"/>
    </row>
    <row r="50" spans="1:10" ht="13.5">
      <c r="A50" s="292">
        <v>45</v>
      </c>
      <c r="B50" s="293"/>
      <c r="C50" s="294" t="s">
        <v>58</v>
      </c>
      <c r="D50" s="295" t="s">
        <v>81</v>
      </c>
      <c r="E50" s="311"/>
      <c r="F50" s="300">
        <v>38.17300670517161</v>
      </c>
      <c r="G50" s="300">
        <v>43.15209453628095</v>
      </c>
      <c r="H50" s="300">
        <v>39.83270264887472</v>
      </c>
      <c r="I50" s="312">
        <v>46.47148642368718</v>
      </c>
      <c r="J50" s="313"/>
    </row>
    <row r="51" spans="1:10" ht="13.5">
      <c r="A51" s="292"/>
      <c r="B51" s="293"/>
      <c r="C51" s="287" t="s">
        <v>58</v>
      </c>
      <c r="D51" s="295" t="s">
        <v>239</v>
      </c>
      <c r="E51" s="311"/>
      <c r="F51" s="300">
        <v>0</v>
      </c>
      <c r="G51" s="300">
        <v>149.3726349332802</v>
      </c>
      <c r="H51" s="300">
        <v>0</v>
      </c>
      <c r="I51" s="312">
        <v>149.3726349332802</v>
      </c>
      <c r="J51" s="313"/>
    </row>
    <row r="52" spans="1:10" ht="13.5">
      <c r="A52" s="292">
        <v>45</v>
      </c>
      <c r="B52" s="293"/>
      <c r="C52" s="294" t="s">
        <v>58</v>
      </c>
      <c r="D52" s="295" t="s">
        <v>82</v>
      </c>
      <c r="E52" s="311"/>
      <c r="F52" s="300">
        <v>175.92777003253002</v>
      </c>
      <c r="G52" s="300">
        <v>149.3726349332802</v>
      </c>
      <c r="H52" s="300">
        <v>199.16351324437363</v>
      </c>
      <c r="I52" s="312">
        <v>165.96959437031134</v>
      </c>
      <c r="J52" s="313"/>
    </row>
    <row r="53" spans="1:10" ht="13.5">
      <c r="A53" s="292">
        <v>45</v>
      </c>
      <c r="B53" s="293"/>
      <c r="C53" s="294" t="s">
        <v>58</v>
      </c>
      <c r="D53" s="295" t="s">
        <v>83</v>
      </c>
      <c r="E53" s="311"/>
      <c r="F53" s="300">
        <v>995.8175662218681</v>
      </c>
      <c r="G53" s="300">
        <v>1005.7757418840868</v>
      </c>
      <c r="H53" s="300">
        <v>995.8175662218681</v>
      </c>
      <c r="I53" s="312">
        <v>995.8175662218681</v>
      </c>
      <c r="J53" s="313"/>
    </row>
    <row r="54" spans="1:10" ht="13.5">
      <c r="A54" s="292">
        <v>45</v>
      </c>
      <c r="B54" s="293"/>
      <c r="C54" s="294" t="s">
        <v>58</v>
      </c>
      <c r="D54" s="295" t="s">
        <v>84</v>
      </c>
      <c r="E54" s="311"/>
      <c r="F54" s="300">
        <v>16.596959437031135</v>
      </c>
      <c r="G54" s="300">
        <v>24.895439155546704</v>
      </c>
      <c r="H54" s="300">
        <v>26.555135099249817</v>
      </c>
      <c r="I54" s="312">
        <v>33.19391887406227</v>
      </c>
      <c r="J54" s="313"/>
    </row>
    <row r="55" spans="1:10" ht="13.5">
      <c r="A55" s="292">
        <v>45</v>
      </c>
      <c r="B55" s="293"/>
      <c r="C55" s="294" t="s">
        <v>58</v>
      </c>
      <c r="D55" s="295" t="s">
        <v>85</v>
      </c>
      <c r="E55" s="311"/>
      <c r="F55" s="300">
        <v>0</v>
      </c>
      <c r="G55" s="300">
        <v>0</v>
      </c>
      <c r="H55" s="300">
        <v>0</v>
      </c>
      <c r="I55" s="312">
        <v>0</v>
      </c>
      <c r="J55" s="313"/>
    </row>
    <row r="56" spans="1:10" ht="13.5">
      <c r="A56" s="292">
        <v>45</v>
      </c>
      <c r="B56" s="293"/>
      <c r="C56" s="294" t="s">
        <v>58</v>
      </c>
      <c r="D56" s="295" t="s">
        <v>86</v>
      </c>
      <c r="E56" s="311"/>
      <c r="F56" s="300">
        <v>0</v>
      </c>
      <c r="G56" s="300">
        <v>0</v>
      </c>
      <c r="H56" s="300">
        <v>0</v>
      </c>
      <c r="I56" s="312">
        <v>0</v>
      </c>
      <c r="J56" s="313"/>
    </row>
    <row r="57" spans="1:10" ht="13.5">
      <c r="A57" s="292">
        <v>45</v>
      </c>
      <c r="B57" s="293"/>
      <c r="C57" s="294" t="s">
        <v>58</v>
      </c>
      <c r="D57" s="295" t="s">
        <v>87</v>
      </c>
      <c r="E57" s="311"/>
      <c r="F57" s="300">
        <v>232.3574321184359</v>
      </c>
      <c r="G57" s="300">
        <v>497.90878311093405</v>
      </c>
      <c r="H57" s="300">
        <v>232.3574321184359</v>
      </c>
      <c r="I57" s="312">
        <v>265.55135099249816</v>
      </c>
      <c r="J57" s="313"/>
    </row>
    <row r="58" spans="1:10" ht="13.5">
      <c r="A58" s="292">
        <v>45</v>
      </c>
      <c r="B58" s="293"/>
      <c r="C58" s="294" t="s">
        <v>58</v>
      </c>
      <c r="D58" s="295" t="s">
        <v>189</v>
      </c>
      <c r="E58" s="311"/>
      <c r="F58" s="300">
        <v>99.58175662218682</v>
      </c>
      <c r="G58" s="300">
        <v>663.8783774812454</v>
      </c>
      <c r="H58" s="300">
        <v>99.58175662218682</v>
      </c>
      <c r="I58" s="312">
        <v>730.26621522937</v>
      </c>
      <c r="J58" s="313"/>
    </row>
    <row r="59" spans="1:10" ht="13.5">
      <c r="A59" s="292">
        <v>45</v>
      </c>
      <c r="B59" s="293"/>
      <c r="C59" s="294" t="s">
        <v>58</v>
      </c>
      <c r="D59" s="295" t="s">
        <v>88</v>
      </c>
      <c r="E59" s="311"/>
      <c r="F59" s="300">
        <v>0</v>
      </c>
      <c r="G59" s="300">
        <v>0</v>
      </c>
      <c r="H59" s="300">
        <v>0</v>
      </c>
      <c r="I59" s="312">
        <v>0</v>
      </c>
      <c r="J59" s="313"/>
    </row>
    <row r="60" spans="1:10" ht="13.5">
      <c r="A60" s="292">
        <v>45</v>
      </c>
      <c r="B60" s="293"/>
      <c r="C60" s="294" t="s">
        <v>58</v>
      </c>
      <c r="D60" s="295" t="s">
        <v>89</v>
      </c>
      <c r="E60" s="311"/>
      <c r="F60" s="300">
        <v>199.16351324437363</v>
      </c>
      <c r="G60" s="300">
        <v>199.16351324437363</v>
      </c>
      <c r="H60" s="300">
        <v>199.16351324437363</v>
      </c>
      <c r="I60" s="312">
        <v>199.16351324437363</v>
      </c>
      <c r="J60" s="313"/>
    </row>
    <row r="61" spans="1:10" ht="13.5">
      <c r="A61" s="292">
        <v>45</v>
      </c>
      <c r="B61" s="293"/>
      <c r="C61" s="294" t="s">
        <v>58</v>
      </c>
      <c r="D61" s="295" t="s">
        <v>90</v>
      </c>
      <c r="E61" s="311"/>
      <c r="F61" s="300">
        <v>6.638783774812454</v>
      </c>
      <c r="G61" s="300">
        <v>0.6638783774812455</v>
      </c>
      <c r="H61" s="300">
        <v>9.95817566221868</v>
      </c>
      <c r="I61" s="312">
        <v>0.6638783774812455</v>
      </c>
      <c r="J61" s="313"/>
    </row>
    <row r="62" spans="1:10" ht="13.5">
      <c r="A62" s="292">
        <v>45</v>
      </c>
      <c r="B62" s="293"/>
      <c r="C62" s="294" t="s">
        <v>58</v>
      </c>
      <c r="D62" s="295" t="s">
        <v>96</v>
      </c>
      <c r="E62" s="311"/>
      <c r="F62" s="300">
        <v>43.815972913762195</v>
      </c>
      <c r="G62" s="300">
        <v>36.513310761468496</v>
      </c>
      <c r="H62" s="300">
        <v>46.47148642368718</v>
      </c>
      <c r="I62" s="312">
        <v>46.47148642368718</v>
      </c>
      <c r="J62" s="313"/>
    </row>
    <row r="63" spans="1:10" ht="13.5">
      <c r="A63" s="292">
        <v>45</v>
      </c>
      <c r="B63" s="293"/>
      <c r="C63" s="294" t="s">
        <v>58</v>
      </c>
      <c r="D63" s="295" t="s">
        <v>150</v>
      </c>
      <c r="E63" s="311"/>
      <c r="F63" s="300">
        <v>829.8479718515567</v>
      </c>
      <c r="G63" s="300">
        <v>829.8479718515567</v>
      </c>
      <c r="H63" s="300">
        <v>829.8479718515567</v>
      </c>
      <c r="I63" s="312">
        <v>829.8479718515567</v>
      </c>
      <c r="J63" s="313"/>
    </row>
    <row r="64" spans="1:10" ht="13.5">
      <c r="A64" s="292">
        <v>45</v>
      </c>
      <c r="B64" s="293"/>
      <c r="C64" s="294" t="s">
        <v>58</v>
      </c>
      <c r="D64" s="295" t="s">
        <v>91</v>
      </c>
      <c r="E64" s="311"/>
      <c r="F64" s="300">
        <v>1.6596959437031136</v>
      </c>
      <c r="G64" s="300">
        <v>0.49790878311093406</v>
      </c>
      <c r="H64" s="300">
        <v>1.6596959437031136</v>
      </c>
      <c r="I64" s="312">
        <v>0.49790878311093406</v>
      </c>
      <c r="J64" s="313"/>
    </row>
    <row r="65" spans="1:10" ht="13.5">
      <c r="A65" s="292">
        <v>45</v>
      </c>
      <c r="B65" s="293"/>
      <c r="C65" s="294" t="s">
        <v>58</v>
      </c>
      <c r="D65" s="295" t="s">
        <v>92</v>
      </c>
      <c r="E65" s="311"/>
      <c r="F65" s="300">
        <v>82.98479718515567</v>
      </c>
      <c r="G65" s="300">
        <v>0</v>
      </c>
      <c r="H65" s="300">
        <v>0</v>
      </c>
      <c r="I65" s="312">
        <v>0</v>
      </c>
      <c r="J65" s="313"/>
    </row>
    <row r="66" spans="1:10" ht="13.5">
      <c r="A66" s="292">
        <v>45</v>
      </c>
      <c r="B66" s="293"/>
      <c r="C66" s="294" t="s">
        <v>58</v>
      </c>
      <c r="D66" s="295" t="s">
        <v>240</v>
      </c>
      <c r="E66" s="311"/>
      <c r="F66" s="300">
        <v>0</v>
      </c>
      <c r="G66" s="300">
        <v>172.6083781451238</v>
      </c>
      <c r="H66" s="300">
        <v>79.66540529774944</v>
      </c>
      <c r="I66" s="312">
        <v>182.5665538073425</v>
      </c>
      <c r="J66" s="313"/>
    </row>
    <row r="67" spans="1:10" ht="13.5">
      <c r="A67" s="292">
        <v>45</v>
      </c>
      <c r="B67" s="293"/>
      <c r="C67" s="294" t="s">
        <v>58</v>
      </c>
      <c r="D67" s="295" t="s">
        <v>93</v>
      </c>
      <c r="E67" s="311"/>
      <c r="F67" s="300">
        <v>90.95133771493062</v>
      </c>
      <c r="G67" s="300">
        <v>73.02662152293699</v>
      </c>
      <c r="H67" s="300">
        <v>99.58175662218682</v>
      </c>
      <c r="I67" s="312">
        <v>99.58175662218682</v>
      </c>
      <c r="J67" s="313"/>
    </row>
    <row r="68" spans="1:10" ht="13.5">
      <c r="A68" s="292">
        <v>45</v>
      </c>
      <c r="B68" s="303"/>
      <c r="C68" s="294" t="s">
        <v>58</v>
      </c>
      <c r="D68" s="305" t="s">
        <v>241</v>
      </c>
      <c r="E68" s="311"/>
      <c r="F68" s="300">
        <v>0</v>
      </c>
      <c r="G68" s="300">
        <v>0</v>
      </c>
      <c r="H68" s="300">
        <v>0</v>
      </c>
      <c r="I68" s="300">
        <v>0</v>
      </c>
      <c r="J68" s="313"/>
    </row>
    <row r="69" spans="1:10" ht="14.25" thickBot="1">
      <c r="A69" s="314">
        <v>45</v>
      </c>
      <c r="B69" s="315"/>
      <c r="C69" s="316" t="s">
        <v>58</v>
      </c>
      <c r="D69" s="317" t="s">
        <v>94</v>
      </c>
      <c r="E69" s="318"/>
      <c r="F69" s="319">
        <v>0</v>
      </c>
      <c r="G69" s="319">
        <v>0</v>
      </c>
      <c r="H69" s="319">
        <v>0</v>
      </c>
      <c r="I69" s="319">
        <v>0</v>
      </c>
      <c r="J69" s="320"/>
    </row>
    <row r="70" ht="13.5" customHeight="1">
      <c r="J70" s="73" t="s">
        <v>224</v>
      </c>
    </row>
    <row r="71" spans="1:10" ht="13.5" customHeight="1">
      <c r="A71" s="40"/>
      <c r="J71" s="73" t="s">
        <v>225</v>
      </c>
    </row>
    <row r="72" spans="1:10" ht="13.5" customHeight="1">
      <c r="A72" s="47" t="s">
        <v>246</v>
      </c>
      <c r="J72" s="73" t="s">
        <v>111</v>
      </c>
    </row>
    <row r="73" spans="1:10" ht="13.5" customHeight="1" thickBot="1">
      <c r="A73" s="40" t="s">
        <v>62</v>
      </c>
      <c r="J73" s="73" t="s">
        <v>247</v>
      </c>
    </row>
    <row r="74" spans="1:10" ht="13.5" customHeight="1">
      <c r="A74" s="113"/>
      <c r="B74" s="114" t="s">
        <v>50</v>
      </c>
      <c r="C74" s="115"/>
      <c r="D74" s="114" t="s">
        <v>52</v>
      </c>
      <c r="E74" s="182"/>
      <c r="F74" s="117">
        <v>2008</v>
      </c>
      <c r="G74" s="117">
        <v>2009</v>
      </c>
      <c r="H74" s="117">
        <v>2010</v>
      </c>
      <c r="I74" s="114">
        <v>2011</v>
      </c>
      <c r="J74" s="145"/>
    </row>
    <row r="75" spans="1:10" ht="13.5" customHeight="1">
      <c r="A75" s="118" t="s">
        <v>44</v>
      </c>
      <c r="B75" s="28" t="s">
        <v>51</v>
      </c>
      <c r="C75" s="63" t="s">
        <v>55</v>
      </c>
      <c r="D75" s="29" t="s">
        <v>57</v>
      </c>
      <c r="E75" s="183" t="s">
        <v>56</v>
      </c>
      <c r="F75" s="28"/>
      <c r="G75" s="28"/>
      <c r="H75" s="28"/>
      <c r="I75" s="138"/>
      <c r="J75" s="146" t="s">
        <v>54</v>
      </c>
    </row>
    <row r="76" spans="1:10" ht="13.5" customHeight="1" thickBot="1">
      <c r="A76" s="119"/>
      <c r="B76" s="120" t="s">
        <v>49</v>
      </c>
      <c r="C76" s="121" t="s">
        <v>156</v>
      </c>
      <c r="D76" s="120" t="s">
        <v>61</v>
      </c>
      <c r="E76" s="184" t="s">
        <v>53</v>
      </c>
      <c r="F76" s="123"/>
      <c r="G76" s="147"/>
      <c r="H76" s="123" t="s">
        <v>60</v>
      </c>
      <c r="I76" s="148"/>
      <c r="J76" s="149"/>
    </row>
    <row r="77" spans="1:10" ht="13.5" customHeight="1">
      <c r="A77" s="159">
        <v>45</v>
      </c>
      <c r="B77" s="135"/>
      <c r="C77" s="71" t="s">
        <v>58</v>
      </c>
      <c r="D77" s="136" t="s">
        <v>95</v>
      </c>
      <c r="E77" s="107"/>
      <c r="F77" s="232">
        <f>12500/30.126</f>
        <v>414.92398592577837</v>
      </c>
      <c r="G77" s="232">
        <f>15000/30.126</f>
        <v>497.90878311093405</v>
      </c>
      <c r="H77" s="232">
        <f>15500/30.126</f>
        <v>514.5057425479652</v>
      </c>
      <c r="I77" s="233">
        <f>15350/30.126</f>
        <v>509.52665471685583</v>
      </c>
      <c r="J77" s="173"/>
    </row>
    <row r="78" spans="1:10" ht="13.5" customHeight="1">
      <c r="A78" s="161">
        <v>45</v>
      </c>
      <c r="B78" s="64"/>
      <c r="C78" s="70" t="s">
        <v>58</v>
      </c>
      <c r="D78" s="129" t="s">
        <v>179</v>
      </c>
      <c r="E78" s="54"/>
      <c r="F78" s="209">
        <f>14970/30.126</f>
        <v>496.91296554471216</v>
      </c>
      <c r="G78" s="209">
        <f>5000/30.126</f>
        <v>165.96959437031134</v>
      </c>
      <c r="H78" s="209">
        <f>16470/30.126</f>
        <v>546.7038438558056</v>
      </c>
      <c r="I78" s="205">
        <f>1000/30.126</f>
        <v>33.19391887406227</v>
      </c>
      <c r="J78" s="152"/>
    </row>
    <row r="79" spans="1:10" ht="13.5" customHeight="1">
      <c r="A79" s="161">
        <v>45</v>
      </c>
      <c r="B79" s="64"/>
      <c r="C79" s="70" t="s">
        <v>58</v>
      </c>
      <c r="D79" s="95" t="s">
        <v>10</v>
      </c>
      <c r="E79" s="77"/>
      <c r="F79" s="200">
        <f>F80+F83</f>
        <v>7922.392617672442</v>
      </c>
      <c r="G79" s="200">
        <f>G80+G83+G102+G111+G112+G113+G114</f>
        <v>6560.9440350527775</v>
      </c>
      <c r="H79" s="200">
        <f>H80+H83+H102+H111+H112+H113+H114</f>
        <v>6324.437363075084</v>
      </c>
      <c r="I79" s="200">
        <f>I80+I83+I102+I111+I112+I113+I114</f>
        <v>1342.1961096727077</v>
      </c>
      <c r="J79" s="152"/>
    </row>
    <row r="80" spans="1:10" ht="13.5" customHeight="1">
      <c r="A80" s="161">
        <v>45</v>
      </c>
      <c r="B80" s="44"/>
      <c r="C80" s="70" t="s">
        <v>58</v>
      </c>
      <c r="D80" s="96" t="s">
        <v>197</v>
      </c>
      <c r="E80" s="54"/>
      <c r="F80" s="209">
        <f>200000/30.126</f>
        <v>6638.783774812454</v>
      </c>
      <c r="G80" s="209">
        <f>150000/30.126</f>
        <v>4979.08783110934</v>
      </c>
      <c r="H80" s="209">
        <f>150000/30.126</f>
        <v>4979.08783110934</v>
      </c>
      <c r="I80" s="209">
        <v>0</v>
      </c>
      <c r="J80" s="152"/>
    </row>
    <row r="81" spans="1:10" ht="13.5" customHeight="1">
      <c r="A81" s="161">
        <v>45</v>
      </c>
      <c r="B81" s="44"/>
      <c r="C81" s="70" t="s">
        <v>58</v>
      </c>
      <c r="D81" s="128" t="s">
        <v>193</v>
      </c>
      <c r="E81" s="54"/>
      <c r="F81" s="209">
        <v>0</v>
      </c>
      <c r="G81" s="209">
        <v>0</v>
      </c>
      <c r="H81" s="209">
        <v>0</v>
      </c>
      <c r="I81" s="209">
        <v>0</v>
      </c>
      <c r="J81" s="152"/>
    </row>
    <row r="82" spans="1:10" ht="13.5" customHeight="1">
      <c r="A82" s="161">
        <v>45</v>
      </c>
      <c r="B82" s="44"/>
      <c r="C82" s="70" t="s">
        <v>58</v>
      </c>
      <c r="D82" s="128" t="s">
        <v>194</v>
      </c>
      <c r="E82" s="54"/>
      <c r="F82" s="209">
        <f>200000/30.126</f>
        <v>6638.783774812454</v>
      </c>
      <c r="G82" s="209">
        <f>150000/30.126</f>
        <v>4979.08783110934</v>
      </c>
      <c r="H82" s="209">
        <f>150000/30.126</f>
        <v>4979.08783110934</v>
      </c>
      <c r="I82" s="209">
        <v>0</v>
      </c>
      <c r="J82" s="152"/>
    </row>
    <row r="83" spans="1:10" ht="13.5" customHeight="1">
      <c r="A83" s="161">
        <v>45</v>
      </c>
      <c r="B83" s="34"/>
      <c r="C83" s="70" t="s">
        <v>58</v>
      </c>
      <c r="D83" s="52" t="s">
        <v>196</v>
      </c>
      <c r="E83" s="54"/>
      <c r="F83" s="200">
        <f>38670/30.126</f>
        <v>1283.608842859988</v>
      </c>
      <c r="G83" s="200">
        <f>SUM(G84:G100)</f>
        <v>1317.9645488946423</v>
      </c>
      <c r="H83" s="200">
        <f>SUM(H84:H100)</f>
        <v>1345.3495319657438</v>
      </c>
      <c r="I83" s="200">
        <f>SUM(I84:I100)</f>
        <v>1342.1961096727077</v>
      </c>
      <c r="J83" s="152"/>
    </row>
    <row r="84" spans="1:10" ht="13.5" customHeight="1">
      <c r="A84" s="161">
        <v>45</v>
      </c>
      <c r="B84" s="34"/>
      <c r="C84" s="70" t="s">
        <v>58</v>
      </c>
      <c r="D84" s="97" t="s">
        <v>158</v>
      </c>
      <c r="E84" s="54"/>
      <c r="F84" s="209">
        <v>0</v>
      </c>
      <c r="G84" s="209">
        <v>0</v>
      </c>
      <c r="H84" s="209">
        <v>0</v>
      </c>
      <c r="I84" s="209">
        <v>0</v>
      </c>
      <c r="J84" s="152"/>
    </row>
    <row r="85" spans="1:10" ht="13.5" customHeight="1">
      <c r="A85" s="161">
        <v>45</v>
      </c>
      <c r="B85" s="34"/>
      <c r="C85" s="70" t="s">
        <v>58</v>
      </c>
      <c r="D85" s="97" t="s">
        <v>165</v>
      </c>
      <c r="E85" s="54"/>
      <c r="F85" s="209">
        <v>0</v>
      </c>
      <c r="G85" s="209">
        <v>0</v>
      </c>
      <c r="H85" s="209">
        <v>0</v>
      </c>
      <c r="I85" s="209">
        <v>0</v>
      </c>
      <c r="J85" s="152"/>
    </row>
    <row r="86" spans="1:10" ht="13.5" customHeight="1">
      <c r="A86" s="161">
        <v>45</v>
      </c>
      <c r="B86" s="34"/>
      <c r="C86" s="70" t="s">
        <v>58</v>
      </c>
      <c r="D86" s="97">
        <v>642003</v>
      </c>
      <c r="E86" s="54"/>
      <c r="F86" s="209">
        <v>0</v>
      </c>
      <c r="G86" s="209">
        <v>0</v>
      </c>
      <c r="H86" s="209">
        <v>0</v>
      </c>
      <c r="I86" s="209">
        <v>0</v>
      </c>
      <c r="J86" s="152"/>
    </row>
    <row r="87" spans="1:10" ht="13.5" customHeight="1">
      <c r="A87" s="161">
        <v>45</v>
      </c>
      <c r="B87" s="34"/>
      <c r="C87" s="70" t="s">
        <v>58</v>
      </c>
      <c r="D87" s="97" t="s">
        <v>159</v>
      </c>
      <c r="E87" s="54"/>
      <c r="F87" s="209">
        <v>0</v>
      </c>
      <c r="G87" s="209">
        <v>0</v>
      </c>
      <c r="H87" s="209">
        <v>0</v>
      </c>
      <c r="I87" s="209">
        <v>0</v>
      </c>
      <c r="J87" s="152"/>
    </row>
    <row r="88" spans="1:10" ht="13.5" customHeight="1">
      <c r="A88" s="161">
        <v>45</v>
      </c>
      <c r="B88" s="34"/>
      <c r="C88" s="70" t="s">
        <v>58</v>
      </c>
      <c r="D88" s="97" t="s">
        <v>160</v>
      </c>
      <c r="E88" s="54"/>
      <c r="F88" s="209">
        <v>0</v>
      </c>
      <c r="G88" s="209">
        <v>0</v>
      </c>
      <c r="H88" s="209">
        <v>0</v>
      </c>
      <c r="I88" s="209">
        <v>0</v>
      </c>
      <c r="J88" s="152"/>
    </row>
    <row r="89" spans="1:10" ht="13.5" customHeight="1">
      <c r="A89" s="161">
        <v>45</v>
      </c>
      <c r="B89" s="34"/>
      <c r="C89" s="70" t="s">
        <v>58</v>
      </c>
      <c r="D89" s="97" t="s">
        <v>161</v>
      </c>
      <c r="E89" s="54"/>
      <c r="F89" s="209">
        <f>35/30.126</f>
        <v>1.1617871605921795</v>
      </c>
      <c r="G89" s="209">
        <f>35/30.126</f>
        <v>1.1617871605921795</v>
      </c>
      <c r="H89" s="209">
        <f>35/30.126</f>
        <v>1.1617871605921795</v>
      </c>
      <c r="I89" s="209">
        <f>35/30.126</f>
        <v>1.1617871605921795</v>
      </c>
      <c r="J89" s="152"/>
    </row>
    <row r="90" spans="1:10" ht="13.5" customHeight="1">
      <c r="A90" s="161">
        <v>45</v>
      </c>
      <c r="B90" s="34"/>
      <c r="C90" s="70" t="s">
        <v>58</v>
      </c>
      <c r="D90" s="97" t="s">
        <v>166</v>
      </c>
      <c r="E90" s="54"/>
      <c r="F90" s="209">
        <v>0</v>
      </c>
      <c r="G90" s="209">
        <v>0</v>
      </c>
      <c r="H90" s="209">
        <v>0</v>
      </c>
      <c r="I90" s="209">
        <v>0</v>
      </c>
      <c r="J90" s="152"/>
    </row>
    <row r="91" spans="1:10" ht="13.5" customHeight="1">
      <c r="A91" s="161">
        <v>45</v>
      </c>
      <c r="B91" s="34"/>
      <c r="C91" s="70" t="s">
        <v>58</v>
      </c>
      <c r="D91" s="97" t="s">
        <v>162</v>
      </c>
      <c r="E91" s="54"/>
      <c r="F91" s="209">
        <v>0</v>
      </c>
      <c r="G91" s="209">
        <v>0</v>
      </c>
      <c r="H91" s="209">
        <v>0</v>
      </c>
      <c r="I91" s="209">
        <v>0</v>
      </c>
      <c r="J91" s="152"/>
    </row>
    <row r="92" spans="1:10" ht="13.5" customHeight="1">
      <c r="A92" s="161">
        <v>45</v>
      </c>
      <c r="B92" s="34"/>
      <c r="C92" s="70" t="s">
        <v>58</v>
      </c>
      <c r="D92" s="97" t="s">
        <v>163</v>
      </c>
      <c r="E92" s="54"/>
      <c r="F92" s="209">
        <v>0</v>
      </c>
      <c r="G92" s="209">
        <v>0</v>
      </c>
      <c r="H92" s="209">
        <v>0</v>
      </c>
      <c r="I92" s="209">
        <v>0</v>
      </c>
      <c r="J92" s="152"/>
    </row>
    <row r="93" spans="1:10" ht="13.5" customHeight="1">
      <c r="A93" s="161">
        <v>45</v>
      </c>
      <c r="B93" s="34"/>
      <c r="C93" s="70" t="s">
        <v>58</v>
      </c>
      <c r="D93" s="97" t="s">
        <v>164</v>
      </c>
      <c r="E93" s="54"/>
      <c r="F93" s="209">
        <v>0</v>
      </c>
      <c r="G93" s="209">
        <v>0</v>
      </c>
      <c r="H93" s="209">
        <v>0</v>
      </c>
      <c r="I93" s="209">
        <v>0</v>
      </c>
      <c r="J93" s="152"/>
    </row>
    <row r="94" spans="1:10" ht="13.5" customHeight="1">
      <c r="A94" s="161">
        <v>45</v>
      </c>
      <c r="B94" s="34"/>
      <c r="C94" s="70" t="s">
        <v>58</v>
      </c>
      <c r="D94" s="97" t="s">
        <v>242</v>
      </c>
      <c r="E94" s="54"/>
      <c r="F94" s="209">
        <v>0</v>
      </c>
      <c r="G94" s="209">
        <v>0</v>
      </c>
      <c r="H94" s="209">
        <v>0</v>
      </c>
      <c r="I94" s="209">
        <v>0</v>
      </c>
      <c r="J94" s="152"/>
    </row>
    <row r="95" spans="1:10" ht="13.5" customHeight="1">
      <c r="A95" s="161">
        <v>45</v>
      </c>
      <c r="B95" s="34"/>
      <c r="C95" s="70" t="s">
        <v>58</v>
      </c>
      <c r="D95" s="97" t="s">
        <v>97</v>
      </c>
      <c r="E95" s="54"/>
      <c r="F95" s="203">
        <f>1000/30.126</f>
        <v>33.19391887406227</v>
      </c>
      <c r="G95" s="203">
        <f>2500/30.126</f>
        <v>82.98479718515567</v>
      </c>
      <c r="H95" s="203">
        <v>0</v>
      </c>
      <c r="I95" s="209">
        <f>2800/30.126</f>
        <v>92.94297284737436</v>
      </c>
      <c r="J95" s="152"/>
    </row>
    <row r="96" spans="1:10" ht="13.5" customHeight="1">
      <c r="A96" s="161">
        <v>45</v>
      </c>
      <c r="B96" s="34"/>
      <c r="C96" s="70" t="s">
        <v>58</v>
      </c>
      <c r="D96" s="97" t="s">
        <v>98</v>
      </c>
      <c r="E96" s="54"/>
      <c r="F96" s="203">
        <f>2140/30.126</f>
        <v>71.03498639049326</v>
      </c>
      <c r="G96" s="203">
        <f>1720/30.126</f>
        <v>57.09354046338711</v>
      </c>
      <c r="H96" s="203">
        <f>5000/30.126</f>
        <v>165.96959437031134</v>
      </c>
      <c r="I96" s="209">
        <f>2000/30.126</f>
        <v>66.38783774812454</v>
      </c>
      <c r="J96" s="152"/>
    </row>
    <row r="97" spans="1:10" ht="13.5" customHeight="1">
      <c r="A97" s="161">
        <v>45</v>
      </c>
      <c r="B97" s="34"/>
      <c r="C97" s="70" t="s">
        <v>58</v>
      </c>
      <c r="D97" s="97" t="s">
        <v>99</v>
      </c>
      <c r="E97" s="54"/>
      <c r="F97" s="209">
        <f>35000/30.126</f>
        <v>1161.7871605921794</v>
      </c>
      <c r="G97" s="209">
        <f>35000/30.126</f>
        <v>1161.7871605921794</v>
      </c>
      <c r="H97" s="209">
        <f>35000/30.126</f>
        <v>1161.7871605921794</v>
      </c>
      <c r="I97" s="209">
        <f>35000/30.126</f>
        <v>1161.7871605921794</v>
      </c>
      <c r="J97" s="152"/>
    </row>
    <row r="98" spans="1:10" ht="13.5" customHeight="1">
      <c r="A98" s="161">
        <v>45</v>
      </c>
      <c r="B98" s="34"/>
      <c r="C98" s="70" t="s">
        <v>58</v>
      </c>
      <c r="D98" s="97" t="s">
        <v>148</v>
      </c>
      <c r="E98" s="54"/>
      <c r="F98" s="209">
        <f>95/30.126</f>
        <v>3.1534222930359155</v>
      </c>
      <c r="G98" s="209">
        <f>400/30.126</f>
        <v>13.277567549624909</v>
      </c>
      <c r="H98" s="209">
        <f>295/30.126</f>
        <v>9.79220606784837</v>
      </c>
      <c r="I98" s="209">
        <f>500/30.126</f>
        <v>16.596959437031135</v>
      </c>
      <c r="J98" s="152"/>
    </row>
    <row r="99" spans="1:10" ht="13.5" customHeight="1">
      <c r="A99" s="161">
        <v>45</v>
      </c>
      <c r="B99" s="34"/>
      <c r="C99" s="70" t="s">
        <v>58</v>
      </c>
      <c r="D99" s="97" t="s">
        <v>154</v>
      </c>
      <c r="E99" s="54"/>
      <c r="F99" s="209">
        <v>0</v>
      </c>
      <c r="G99" s="209">
        <v>0</v>
      </c>
      <c r="H99" s="209">
        <v>0</v>
      </c>
      <c r="I99" s="209">
        <v>0</v>
      </c>
      <c r="J99" s="152"/>
    </row>
    <row r="100" spans="1:10" ht="13.5" customHeight="1">
      <c r="A100" s="161">
        <v>45</v>
      </c>
      <c r="B100" s="34"/>
      <c r="C100" s="70" t="s">
        <v>58</v>
      </c>
      <c r="D100" s="97" t="s">
        <v>149</v>
      </c>
      <c r="E100" s="54"/>
      <c r="F100" s="209">
        <f>200/30.126</f>
        <v>6.638783774812454</v>
      </c>
      <c r="G100" s="209">
        <f>50/30.126</f>
        <v>1.6596959437031136</v>
      </c>
      <c r="H100" s="209">
        <f>200/30.126</f>
        <v>6.638783774812454</v>
      </c>
      <c r="I100" s="209">
        <f>100/30.126</f>
        <v>3.319391887406227</v>
      </c>
      <c r="J100" s="152"/>
    </row>
    <row r="101" spans="1:10" ht="13.5" customHeight="1">
      <c r="A101" s="161">
        <v>45</v>
      </c>
      <c r="B101" s="34"/>
      <c r="C101" s="70" t="s">
        <v>58</v>
      </c>
      <c r="D101" s="97" t="s">
        <v>155</v>
      </c>
      <c r="E101" s="54"/>
      <c r="F101" s="209">
        <v>0</v>
      </c>
      <c r="G101" s="209">
        <v>0</v>
      </c>
      <c r="H101" s="209">
        <v>0</v>
      </c>
      <c r="I101" s="209">
        <v>0</v>
      </c>
      <c r="J101" s="152"/>
    </row>
    <row r="102" spans="1:10" ht="13.5" customHeight="1">
      <c r="A102" s="161">
        <v>45</v>
      </c>
      <c r="B102" s="34"/>
      <c r="C102" s="70" t="s">
        <v>58</v>
      </c>
      <c r="D102" s="52" t="s">
        <v>198</v>
      </c>
      <c r="E102" s="54"/>
      <c r="F102" s="209">
        <v>0</v>
      </c>
      <c r="G102" s="209">
        <v>0</v>
      </c>
      <c r="H102" s="209">
        <v>0</v>
      </c>
      <c r="I102" s="209">
        <v>0</v>
      </c>
      <c r="J102" s="152"/>
    </row>
    <row r="103" spans="1:10" ht="13.5" customHeight="1" thickBot="1">
      <c r="A103" s="165">
        <v>45</v>
      </c>
      <c r="B103" s="153"/>
      <c r="C103" s="167" t="s">
        <v>58</v>
      </c>
      <c r="D103" s="155" t="s">
        <v>100</v>
      </c>
      <c r="E103" s="151"/>
      <c r="F103" s="231">
        <v>0</v>
      </c>
      <c r="G103" s="231">
        <v>0</v>
      </c>
      <c r="H103" s="231">
        <v>0</v>
      </c>
      <c r="I103" s="231">
        <v>0</v>
      </c>
      <c r="J103" s="154"/>
    </row>
    <row r="104" ht="13.5" customHeight="1">
      <c r="J104" s="73" t="s">
        <v>224</v>
      </c>
    </row>
    <row r="105" spans="1:10" ht="13.5" customHeight="1">
      <c r="A105" s="40"/>
      <c r="J105" s="73" t="s">
        <v>225</v>
      </c>
    </row>
    <row r="106" spans="1:10" ht="13.5" customHeight="1">
      <c r="A106" s="47" t="s">
        <v>245</v>
      </c>
      <c r="J106" s="73" t="s">
        <v>143</v>
      </c>
    </row>
    <row r="107" spans="1:10" ht="13.5" customHeight="1" thickBot="1">
      <c r="A107" s="40" t="s">
        <v>62</v>
      </c>
      <c r="J107" s="73" t="s">
        <v>247</v>
      </c>
    </row>
    <row r="108" spans="1:10" ht="13.5" customHeight="1">
      <c r="A108" s="192"/>
      <c r="B108" s="195" t="s">
        <v>50</v>
      </c>
      <c r="C108" s="190"/>
      <c r="D108" s="189" t="s">
        <v>52</v>
      </c>
      <c r="E108" s="182"/>
      <c r="F108" s="117">
        <v>2008</v>
      </c>
      <c r="G108" s="117">
        <v>2009</v>
      </c>
      <c r="H108" s="117">
        <v>2010</v>
      </c>
      <c r="I108" s="114">
        <v>2011</v>
      </c>
      <c r="J108" s="145"/>
    </row>
    <row r="109" spans="1:10" ht="13.5" customHeight="1">
      <c r="A109" s="193" t="s">
        <v>44</v>
      </c>
      <c r="B109" s="196" t="s">
        <v>51</v>
      </c>
      <c r="C109" s="29" t="s">
        <v>55</v>
      </c>
      <c r="D109" s="183" t="s">
        <v>57</v>
      </c>
      <c r="E109" s="183" t="s">
        <v>56</v>
      </c>
      <c r="F109" s="28"/>
      <c r="G109" s="28"/>
      <c r="H109" s="28"/>
      <c r="I109" s="138"/>
      <c r="J109" s="146" t="s">
        <v>54</v>
      </c>
    </row>
    <row r="110" spans="1:10" ht="13.5" customHeight="1" thickBot="1">
      <c r="A110" s="194"/>
      <c r="B110" s="197" t="s">
        <v>49</v>
      </c>
      <c r="C110" s="191" t="s">
        <v>156</v>
      </c>
      <c r="D110" s="184" t="s">
        <v>61</v>
      </c>
      <c r="E110" s="184" t="s">
        <v>53</v>
      </c>
      <c r="F110" s="123"/>
      <c r="G110" s="147"/>
      <c r="H110" s="150" t="s">
        <v>60</v>
      </c>
      <c r="I110" s="148"/>
      <c r="J110" s="149"/>
    </row>
    <row r="111" spans="1:10" ht="13.5" customHeight="1">
      <c r="A111" s="159">
        <v>45</v>
      </c>
      <c r="B111" s="44"/>
      <c r="C111" s="71" t="s">
        <v>58</v>
      </c>
      <c r="D111" s="137" t="s">
        <v>202</v>
      </c>
      <c r="E111" s="107"/>
      <c r="F111" s="232">
        <v>0</v>
      </c>
      <c r="G111" s="232">
        <f>7950/30.126</f>
        <v>263.89165504879503</v>
      </c>
      <c r="H111" s="232">
        <v>0</v>
      </c>
      <c r="I111" s="233">
        <v>0</v>
      </c>
      <c r="J111" s="173"/>
    </row>
    <row r="112" spans="1:10" ht="13.5" customHeight="1">
      <c r="A112" s="161">
        <v>45</v>
      </c>
      <c r="B112" s="34"/>
      <c r="C112" s="70" t="s">
        <v>58</v>
      </c>
      <c r="D112" s="52" t="s">
        <v>203</v>
      </c>
      <c r="E112" s="54"/>
      <c r="F112" s="209">
        <v>0</v>
      </c>
      <c r="G112" s="209">
        <v>0</v>
      </c>
      <c r="H112" s="209">
        <v>0</v>
      </c>
      <c r="I112" s="205">
        <v>0</v>
      </c>
      <c r="J112" s="152"/>
    </row>
    <row r="113" spans="1:10" ht="13.5" customHeight="1">
      <c r="A113" s="161">
        <v>45</v>
      </c>
      <c r="B113" s="34"/>
      <c r="C113" s="70" t="s">
        <v>58</v>
      </c>
      <c r="D113" s="52" t="s">
        <v>204</v>
      </c>
      <c r="E113" s="54"/>
      <c r="F113" s="209">
        <v>0</v>
      </c>
      <c r="G113" s="209">
        <v>0</v>
      </c>
      <c r="H113" s="209">
        <v>0</v>
      </c>
      <c r="I113" s="205">
        <v>0</v>
      </c>
      <c r="J113" s="152"/>
    </row>
    <row r="114" spans="1:10" ht="13.5" customHeight="1">
      <c r="A114" s="161">
        <v>45</v>
      </c>
      <c r="B114" s="34"/>
      <c r="C114" s="70" t="s">
        <v>58</v>
      </c>
      <c r="D114" s="52" t="s">
        <v>205</v>
      </c>
      <c r="E114" s="54"/>
      <c r="F114" s="209">
        <v>0</v>
      </c>
      <c r="G114" s="209">
        <v>0</v>
      </c>
      <c r="H114" s="209">
        <v>0</v>
      </c>
      <c r="I114" s="205">
        <v>0</v>
      </c>
      <c r="J114" s="152"/>
    </row>
    <row r="115" spans="1:10" ht="13.5" customHeight="1">
      <c r="A115" s="161">
        <v>45</v>
      </c>
      <c r="B115" s="64"/>
      <c r="C115" s="70" t="s">
        <v>58</v>
      </c>
      <c r="D115" s="130" t="s">
        <v>199</v>
      </c>
      <c r="E115" s="54"/>
      <c r="F115" s="209">
        <v>0</v>
      </c>
      <c r="G115" s="209">
        <v>0</v>
      </c>
      <c r="H115" s="209">
        <v>0</v>
      </c>
      <c r="I115" s="205">
        <v>0</v>
      </c>
      <c r="J115" s="152"/>
    </row>
    <row r="116" spans="1:10" ht="13.5">
      <c r="A116" s="161">
        <v>45</v>
      </c>
      <c r="B116" s="64"/>
      <c r="C116" s="70" t="s">
        <v>58</v>
      </c>
      <c r="D116" s="93" t="s">
        <v>11</v>
      </c>
      <c r="E116" s="76"/>
      <c r="F116" s="200">
        <f>SUM(F117:F119)</f>
        <v>0</v>
      </c>
      <c r="G116" s="200">
        <f>SUM(G117:G119)</f>
        <v>0</v>
      </c>
      <c r="H116" s="200">
        <f>SUM(H117:H119)</f>
        <v>0</v>
      </c>
      <c r="I116" s="234">
        <v>0</v>
      </c>
      <c r="J116" s="156"/>
    </row>
    <row r="117" spans="1:10" ht="13.5">
      <c r="A117" s="161">
        <v>45</v>
      </c>
      <c r="B117" s="34"/>
      <c r="C117" s="70" t="s">
        <v>58</v>
      </c>
      <c r="D117" s="94" t="s">
        <v>201</v>
      </c>
      <c r="E117" s="54"/>
      <c r="F117" s="209">
        <v>0</v>
      </c>
      <c r="G117" s="209">
        <v>0</v>
      </c>
      <c r="H117" s="209">
        <v>0</v>
      </c>
      <c r="I117" s="205">
        <v>0</v>
      </c>
      <c r="J117" s="152"/>
    </row>
    <row r="118" spans="1:10" ht="13.5">
      <c r="A118" s="161">
        <v>45</v>
      </c>
      <c r="B118" s="34"/>
      <c r="C118" s="70" t="s">
        <v>58</v>
      </c>
      <c r="D118" s="129" t="s">
        <v>101</v>
      </c>
      <c r="E118" s="54"/>
      <c r="F118" s="209">
        <v>0</v>
      </c>
      <c r="G118" s="209">
        <v>0</v>
      </c>
      <c r="H118" s="209">
        <v>0</v>
      </c>
      <c r="I118" s="205">
        <v>0</v>
      </c>
      <c r="J118" s="152"/>
    </row>
    <row r="119" spans="1:10" ht="13.5">
      <c r="A119" s="161">
        <v>45</v>
      </c>
      <c r="B119" s="34"/>
      <c r="C119" s="70" t="s">
        <v>58</v>
      </c>
      <c r="D119" s="94" t="s">
        <v>200</v>
      </c>
      <c r="E119" s="54"/>
      <c r="F119" s="209">
        <v>0</v>
      </c>
      <c r="G119" s="209">
        <v>0</v>
      </c>
      <c r="H119" s="209">
        <v>0</v>
      </c>
      <c r="I119" s="205">
        <v>0</v>
      </c>
      <c r="J119" s="152"/>
    </row>
    <row r="120" spans="1:10" ht="13.5">
      <c r="A120" s="161">
        <v>45</v>
      </c>
      <c r="B120" s="64"/>
      <c r="C120" s="70" t="s">
        <v>58</v>
      </c>
      <c r="D120" s="75" t="s">
        <v>102</v>
      </c>
      <c r="E120" s="54"/>
      <c r="F120" s="209">
        <v>0</v>
      </c>
      <c r="G120" s="209">
        <v>0</v>
      </c>
      <c r="H120" s="209">
        <v>0</v>
      </c>
      <c r="I120" s="205">
        <v>0</v>
      </c>
      <c r="J120" s="152"/>
    </row>
    <row r="121" spans="1:10" ht="13.5">
      <c r="A121" s="161">
        <v>45</v>
      </c>
      <c r="B121" s="64"/>
      <c r="C121" s="70" t="s">
        <v>58</v>
      </c>
      <c r="D121" s="127" t="s">
        <v>103</v>
      </c>
      <c r="E121" s="54"/>
      <c r="F121" s="209">
        <v>0</v>
      </c>
      <c r="G121" s="209">
        <v>0</v>
      </c>
      <c r="H121" s="209">
        <v>0</v>
      </c>
      <c r="I121" s="205">
        <v>0</v>
      </c>
      <c r="J121" s="152"/>
    </row>
    <row r="122" spans="1:10" ht="13.5">
      <c r="A122" s="161">
        <v>45</v>
      </c>
      <c r="B122" s="64"/>
      <c r="C122" s="70" t="s">
        <v>58</v>
      </c>
      <c r="D122" s="92" t="s">
        <v>12</v>
      </c>
      <c r="E122" s="77"/>
      <c r="F122" s="200">
        <f>F123+F138</f>
        <v>946.0266879107747</v>
      </c>
      <c r="G122" s="200">
        <f>G123+G138</f>
        <v>1577.839739759676</v>
      </c>
      <c r="H122" s="200">
        <f>H123+H138</f>
        <v>954.3251676292903</v>
      </c>
      <c r="I122" s="200">
        <f>I123+I138</f>
        <v>2223.992564562172</v>
      </c>
      <c r="J122" s="156"/>
    </row>
    <row r="123" spans="1:10" ht="13.5">
      <c r="A123" s="161">
        <v>45</v>
      </c>
      <c r="B123" s="64"/>
      <c r="C123" s="70" t="s">
        <v>58</v>
      </c>
      <c r="D123" s="93" t="s">
        <v>13</v>
      </c>
      <c r="E123" s="76"/>
      <c r="F123" s="201">
        <f>F124+F128+F131+F133+F135</f>
        <v>946.0266879107747</v>
      </c>
      <c r="G123" s="201">
        <f>G124+G128+G131+G133+G135</f>
        <v>1577.839739759676</v>
      </c>
      <c r="H123" s="201">
        <f>H124+H128+H131+H133+H135</f>
        <v>954.3251676292903</v>
      </c>
      <c r="I123" s="201">
        <f>I124+I128+I131+I133+I135</f>
        <v>2223.992564562172</v>
      </c>
      <c r="J123" s="172"/>
    </row>
    <row r="124" spans="1:10" ht="13.5">
      <c r="A124" s="161">
        <v>45</v>
      </c>
      <c r="B124" s="34"/>
      <c r="C124" s="70" t="s">
        <v>58</v>
      </c>
      <c r="D124" s="94" t="s">
        <v>206</v>
      </c>
      <c r="E124" s="54"/>
      <c r="F124" s="209">
        <f>6000/30.126</f>
        <v>199.16351324437363</v>
      </c>
      <c r="G124" s="209">
        <f>SUM(G125:G126)</f>
        <v>232.3574321184359</v>
      </c>
      <c r="H124" s="209">
        <f>6000/30.126</f>
        <v>199.16351324437363</v>
      </c>
      <c r="I124" s="209">
        <f>SUM(I125:I127)</f>
        <v>398.3270264887472</v>
      </c>
      <c r="J124" s="152"/>
    </row>
    <row r="125" spans="1:10" ht="13.5">
      <c r="A125" s="161">
        <v>45</v>
      </c>
      <c r="B125" s="34"/>
      <c r="C125" s="70" t="s">
        <v>58</v>
      </c>
      <c r="D125" s="94" t="s">
        <v>219</v>
      </c>
      <c r="E125" s="54"/>
      <c r="F125" s="209">
        <v>0</v>
      </c>
      <c r="G125" s="209">
        <f>5000/30.126</f>
        <v>165.96959437031134</v>
      </c>
      <c r="H125" s="209">
        <f>5000/30.126</f>
        <v>165.96959437031134</v>
      </c>
      <c r="I125" s="205">
        <f>10000/30.126</f>
        <v>331.9391887406227</v>
      </c>
      <c r="J125" s="152"/>
    </row>
    <row r="126" spans="1:10" ht="13.5">
      <c r="A126" s="161">
        <v>45</v>
      </c>
      <c r="B126" s="34"/>
      <c r="C126" s="70" t="s">
        <v>58</v>
      </c>
      <c r="D126" s="94" t="s">
        <v>220</v>
      </c>
      <c r="E126" s="54"/>
      <c r="F126" s="209">
        <v>0</v>
      </c>
      <c r="G126" s="209">
        <f>2000/30.126</f>
        <v>66.38783774812454</v>
      </c>
      <c r="H126" s="209">
        <f>1000/30.126</f>
        <v>33.19391887406227</v>
      </c>
      <c r="I126" s="205">
        <f>2000/30.126</f>
        <v>66.38783774812454</v>
      </c>
      <c r="J126" s="152"/>
    </row>
    <row r="127" spans="1:10" ht="13.5">
      <c r="A127" s="161">
        <v>45</v>
      </c>
      <c r="B127" s="34"/>
      <c r="C127" s="70" t="s">
        <v>58</v>
      </c>
      <c r="D127" s="129" t="s">
        <v>180</v>
      </c>
      <c r="E127" s="54"/>
      <c r="F127" s="209">
        <f>6000/30.126</f>
        <v>199.16351324437363</v>
      </c>
      <c r="G127" s="209">
        <v>0</v>
      </c>
      <c r="H127" s="209">
        <v>0</v>
      </c>
      <c r="I127" s="205">
        <v>0</v>
      </c>
      <c r="J127" s="152"/>
    </row>
    <row r="128" spans="1:10" ht="13.5">
      <c r="A128" s="161">
        <v>45</v>
      </c>
      <c r="B128" s="34"/>
      <c r="C128" s="70" t="s">
        <v>58</v>
      </c>
      <c r="D128" s="94" t="s">
        <v>207</v>
      </c>
      <c r="E128" s="107"/>
      <c r="F128" s="209">
        <f>10000/30.126</f>
        <v>331.9391887406227</v>
      </c>
      <c r="G128" s="209">
        <f>SUM(G129:G130)</f>
        <v>465.84345747858987</v>
      </c>
      <c r="H128" s="209">
        <f>10250/30.126</f>
        <v>340.23766845913826</v>
      </c>
      <c r="I128" s="205">
        <f>SUM(I129:I130)</f>
        <v>331.9391887406227</v>
      </c>
      <c r="J128" s="152"/>
    </row>
    <row r="129" spans="1:10" ht="13.5">
      <c r="A129" s="161"/>
      <c r="B129" s="34"/>
      <c r="C129" s="70" t="s">
        <v>58</v>
      </c>
      <c r="D129" s="94">
        <v>713002</v>
      </c>
      <c r="E129" s="107"/>
      <c r="F129" s="209"/>
      <c r="G129" s="209">
        <f>12034/30.126</f>
        <v>399.45561973046534</v>
      </c>
      <c r="H129" s="209">
        <f>9000/30.126</f>
        <v>298.7452698665604</v>
      </c>
      <c r="I129" s="205">
        <f>9000/30.126</f>
        <v>298.7452698665604</v>
      </c>
      <c r="J129" s="152"/>
    </row>
    <row r="130" spans="1:10" ht="13.5">
      <c r="A130" s="161">
        <v>45</v>
      </c>
      <c r="B130" s="34"/>
      <c r="C130" s="70" t="s">
        <v>58</v>
      </c>
      <c r="D130" s="129" t="s">
        <v>181</v>
      </c>
      <c r="E130" s="107"/>
      <c r="F130" s="209">
        <f>10000/30.126</f>
        <v>331.9391887406227</v>
      </c>
      <c r="G130" s="209">
        <f>2000/30.126</f>
        <v>66.38783774812454</v>
      </c>
      <c r="H130" s="209">
        <f>1250/30.126</f>
        <v>41.492398592577835</v>
      </c>
      <c r="I130" s="205">
        <f>1000/30.126</f>
        <v>33.19391887406227</v>
      </c>
      <c r="J130" s="152"/>
    </row>
    <row r="131" spans="1:10" ht="13.5">
      <c r="A131" s="161">
        <v>45</v>
      </c>
      <c r="B131" s="34"/>
      <c r="C131" s="70" t="s">
        <v>58</v>
      </c>
      <c r="D131" s="94" t="s">
        <v>208</v>
      </c>
      <c r="E131" s="54"/>
      <c r="F131" s="209">
        <f>5000/30.126</f>
        <v>165.96959437031134</v>
      </c>
      <c r="G131" s="209">
        <f>SUM(G132)</f>
        <v>298.7452698665604</v>
      </c>
      <c r="H131" s="209">
        <f>5000/30.126</f>
        <v>165.96959437031134</v>
      </c>
      <c r="I131" s="205">
        <f>SUM(I132)</f>
        <v>331.9391887406227</v>
      </c>
      <c r="J131" s="152"/>
    </row>
    <row r="132" spans="1:10" ht="13.5">
      <c r="A132" s="161">
        <v>45</v>
      </c>
      <c r="B132" s="34"/>
      <c r="C132" s="70" t="s">
        <v>58</v>
      </c>
      <c r="D132" s="129" t="s">
        <v>182</v>
      </c>
      <c r="E132" s="54"/>
      <c r="F132" s="209">
        <f>5000/30.126</f>
        <v>165.96959437031134</v>
      </c>
      <c r="G132" s="209">
        <f>9000/30.126</f>
        <v>298.7452698665604</v>
      </c>
      <c r="H132" s="209">
        <f>5000/30.126</f>
        <v>165.96959437031134</v>
      </c>
      <c r="I132" s="205">
        <f>10000/30.126</f>
        <v>331.9391887406227</v>
      </c>
      <c r="J132" s="152"/>
    </row>
    <row r="133" spans="1:10" ht="13.5">
      <c r="A133" s="161">
        <v>45</v>
      </c>
      <c r="B133" s="34"/>
      <c r="C133" s="70" t="s">
        <v>58</v>
      </c>
      <c r="D133" s="12" t="s">
        <v>209</v>
      </c>
      <c r="E133" s="54"/>
      <c r="F133" s="209">
        <f>7500/30.126</f>
        <v>248.95439155546703</v>
      </c>
      <c r="G133" s="209">
        <f>SUM(G134)</f>
        <v>580.8935802960897</v>
      </c>
      <c r="H133" s="209">
        <f>7500/30.126</f>
        <v>248.95439155546703</v>
      </c>
      <c r="I133" s="205">
        <f>SUM(I134)</f>
        <v>1161.7871605921794</v>
      </c>
      <c r="J133" s="152"/>
    </row>
    <row r="134" spans="1:10" ht="13.5">
      <c r="A134" s="161">
        <v>45</v>
      </c>
      <c r="B134" s="34"/>
      <c r="C134" s="70" t="s">
        <v>58</v>
      </c>
      <c r="D134" s="125" t="s">
        <v>183</v>
      </c>
      <c r="E134" s="54"/>
      <c r="F134" s="209">
        <f>7500/30.126</f>
        <v>248.95439155546703</v>
      </c>
      <c r="G134" s="209">
        <f>17500/30.126</f>
        <v>580.8935802960897</v>
      </c>
      <c r="H134" s="209">
        <f>7500/30.126</f>
        <v>248.95439155546703</v>
      </c>
      <c r="I134" s="205">
        <f>35000/30.126</f>
        <v>1161.7871605921794</v>
      </c>
      <c r="J134" s="152"/>
    </row>
    <row r="135" spans="1:10" ht="13.5">
      <c r="A135" s="161">
        <v>45</v>
      </c>
      <c r="B135" s="34"/>
      <c r="C135" s="70" t="s">
        <v>58</v>
      </c>
      <c r="D135" s="12" t="s">
        <v>105</v>
      </c>
      <c r="E135" s="54"/>
      <c r="F135" s="209">
        <v>0</v>
      </c>
      <c r="G135" s="209">
        <v>0</v>
      </c>
      <c r="H135" s="209">
        <v>0</v>
      </c>
      <c r="I135" s="205">
        <v>0</v>
      </c>
      <c r="J135" s="152"/>
    </row>
    <row r="136" spans="1:10" ht="13.5">
      <c r="A136" s="161">
        <v>45</v>
      </c>
      <c r="B136" s="34"/>
      <c r="C136" s="67" t="s">
        <v>58</v>
      </c>
      <c r="D136" s="125" t="s">
        <v>106</v>
      </c>
      <c r="E136" s="54"/>
      <c r="F136" s="209">
        <v>0</v>
      </c>
      <c r="G136" s="209">
        <v>0</v>
      </c>
      <c r="H136" s="209">
        <v>0</v>
      </c>
      <c r="I136" s="205">
        <v>0</v>
      </c>
      <c r="J136" s="152"/>
    </row>
    <row r="137" spans="1:10" ht="13.5">
      <c r="A137" s="161">
        <v>45</v>
      </c>
      <c r="B137" s="34"/>
      <c r="C137" s="70" t="s">
        <v>58</v>
      </c>
      <c r="D137" s="125" t="s">
        <v>144</v>
      </c>
      <c r="E137" s="54"/>
      <c r="F137" s="209">
        <v>0</v>
      </c>
      <c r="G137" s="209">
        <v>0</v>
      </c>
      <c r="H137" s="209">
        <v>0</v>
      </c>
      <c r="I137" s="205">
        <v>0</v>
      </c>
      <c r="J137" s="152"/>
    </row>
    <row r="138" spans="1:10" ht="14.25" thickBot="1">
      <c r="A138" s="165">
        <v>45</v>
      </c>
      <c r="B138" s="166"/>
      <c r="C138" s="174" t="s">
        <v>58</v>
      </c>
      <c r="D138" s="169" t="s">
        <v>14</v>
      </c>
      <c r="E138" s="169"/>
      <c r="F138" s="235">
        <f>G149</f>
        <v>0</v>
      </c>
      <c r="G138" s="235">
        <f>H149</f>
        <v>0</v>
      </c>
      <c r="H138" s="235">
        <f>I149</f>
        <v>0</v>
      </c>
      <c r="I138" s="236">
        <v>0</v>
      </c>
      <c r="J138" s="175"/>
    </row>
    <row r="139" ht="13.5">
      <c r="I139" s="143"/>
    </row>
    <row r="141" ht="12.75">
      <c r="J141" s="73" t="s">
        <v>224</v>
      </c>
    </row>
    <row r="142" spans="1:10" ht="13.5">
      <c r="A142" s="40"/>
      <c r="J142" s="73" t="s">
        <v>225</v>
      </c>
    </row>
    <row r="143" spans="1:10" ht="13.5">
      <c r="A143" s="47" t="s">
        <v>246</v>
      </c>
      <c r="J143" s="73" t="s">
        <v>157</v>
      </c>
    </row>
    <row r="144" spans="1:10" ht="14.25" thickBot="1">
      <c r="A144" s="40" t="s">
        <v>62</v>
      </c>
      <c r="J144" s="73" t="s">
        <v>247</v>
      </c>
    </row>
    <row r="145" spans="1:10" ht="13.5">
      <c r="A145" s="192"/>
      <c r="B145" s="195" t="s">
        <v>50</v>
      </c>
      <c r="C145" s="190"/>
      <c r="D145" s="189" t="s">
        <v>52</v>
      </c>
      <c r="E145" s="182"/>
      <c r="F145" s="116">
        <v>2008</v>
      </c>
      <c r="G145" s="117">
        <v>2009</v>
      </c>
      <c r="H145" s="117">
        <v>2010</v>
      </c>
      <c r="I145" s="117">
        <v>2011</v>
      </c>
      <c r="J145" s="145"/>
    </row>
    <row r="146" spans="1:10" ht="13.5">
      <c r="A146" s="193" t="s">
        <v>44</v>
      </c>
      <c r="B146" s="196" t="s">
        <v>51</v>
      </c>
      <c r="C146" s="29" t="s">
        <v>55</v>
      </c>
      <c r="D146" s="183" t="s">
        <v>57</v>
      </c>
      <c r="E146" s="183" t="s">
        <v>56</v>
      </c>
      <c r="F146" s="30"/>
      <c r="G146" s="28"/>
      <c r="H146" s="112"/>
      <c r="I146" s="28"/>
      <c r="J146" s="146" t="s">
        <v>54</v>
      </c>
    </row>
    <row r="147" spans="1:10" ht="14.25" thickBot="1">
      <c r="A147" s="194"/>
      <c r="B147" s="197" t="s">
        <v>49</v>
      </c>
      <c r="C147" s="191" t="s">
        <v>156</v>
      </c>
      <c r="D147" s="184" t="s">
        <v>61</v>
      </c>
      <c r="E147" s="184" t="s">
        <v>53</v>
      </c>
      <c r="F147" s="122"/>
      <c r="G147" s="123"/>
      <c r="H147" s="121" t="s">
        <v>60</v>
      </c>
      <c r="I147" s="124"/>
      <c r="J147" s="149"/>
    </row>
    <row r="148" spans="1:10" ht="13.5">
      <c r="A148" s="159"/>
      <c r="B148" s="39"/>
      <c r="C148" s="68"/>
      <c r="D148" s="15"/>
      <c r="E148" s="56"/>
      <c r="F148" s="69"/>
      <c r="G148" s="69"/>
      <c r="H148" s="69"/>
      <c r="I148" s="69"/>
      <c r="J148" s="176"/>
    </row>
    <row r="149" spans="1:10" ht="13.5">
      <c r="A149" s="161">
        <v>45</v>
      </c>
      <c r="B149" s="42"/>
      <c r="C149" s="70" t="s">
        <v>58</v>
      </c>
      <c r="D149" s="20" t="s">
        <v>210</v>
      </c>
      <c r="E149" s="54"/>
      <c r="F149" s="41">
        <v>0</v>
      </c>
      <c r="G149" s="41">
        <v>0</v>
      </c>
      <c r="H149" s="41">
        <v>0</v>
      </c>
      <c r="I149" s="41">
        <v>0</v>
      </c>
      <c r="J149" s="177"/>
    </row>
    <row r="150" spans="1:10" ht="13.5">
      <c r="A150" s="161">
        <v>45</v>
      </c>
      <c r="B150" s="42"/>
      <c r="C150" s="67" t="s">
        <v>58</v>
      </c>
      <c r="D150" s="126" t="s">
        <v>68</v>
      </c>
      <c r="E150" s="54"/>
      <c r="F150" s="41">
        <v>0</v>
      </c>
      <c r="G150" s="41">
        <v>0</v>
      </c>
      <c r="H150" s="41">
        <v>0</v>
      </c>
      <c r="I150" s="41">
        <v>0</v>
      </c>
      <c r="J150" s="177"/>
    </row>
    <row r="151" spans="1:10" ht="13.5">
      <c r="A151" s="161">
        <v>45</v>
      </c>
      <c r="B151" s="42"/>
      <c r="C151" s="72" t="s">
        <v>58</v>
      </c>
      <c r="D151" s="18" t="s">
        <v>211</v>
      </c>
      <c r="E151" s="54"/>
      <c r="F151" s="41">
        <v>0</v>
      </c>
      <c r="G151" s="41">
        <v>0</v>
      </c>
      <c r="H151" s="41">
        <v>0</v>
      </c>
      <c r="I151" s="41">
        <v>0</v>
      </c>
      <c r="J151" s="177"/>
    </row>
    <row r="152" spans="1:10" ht="13.5">
      <c r="A152" s="161">
        <v>45</v>
      </c>
      <c r="B152" s="111"/>
      <c r="C152" s="70" t="s">
        <v>58</v>
      </c>
      <c r="D152" s="75" t="s">
        <v>212</v>
      </c>
      <c r="E152" s="85"/>
      <c r="F152" s="37">
        <v>0</v>
      </c>
      <c r="G152" s="37">
        <v>0</v>
      </c>
      <c r="H152" s="37">
        <v>0</v>
      </c>
      <c r="I152" s="37">
        <v>0</v>
      </c>
      <c r="J152" s="152"/>
    </row>
    <row r="153" spans="1:10" ht="13.5">
      <c r="A153" s="161">
        <v>45</v>
      </c>
      <c r="B153" s="111"/>
      <c r="C153" s="70" t="s">
        <v>58</v>
      </c>
      <c r="D153" s="127" t="s">
        <v>107</v>
      </c>
      <c r="E153" s="85"/>
      <c r="F153" s="37">
        <v>0</v>
      </c>
      <c r="G153" s="37">
        <v>0</v>
      </c>
      <c r="H153" s="37">
        <v>0</v>
      </c>
      <c r="I153" s="37">
        <v>0</v>
      </c>
      <c r="J153" s="152"/>
    </row>
    <row r="154" spans="1:10" ht="13.5">
      <c r="A154" s="159">
        <v>45</v>
      </c>
      <c r="B154" s="65"/>
      <c r="C154" s="68" t="s">
        <v>58</v>
      </c>
      <c r="D154" s="20" t="s">
        <v>17</v>
      </c>
      <c r="E154" s="12"/>
      <c r="F154" s="46">
        <f>SUM(F155:F158)</f>
        <v>0</v>
      </c>
      <c r="G154" s="46">
        <f>SUM(G155:G158)</f>
        <v>0</v>
      </c>
      <c r="H154" s="46">
        <f>SUM(H155:H158)</f>
        <v>0</v>
      </c>
      <c r="I154" s="46">
        <f>SUM(I155:I158)</f>
        <v>0</v>
      </c>
      <c r="J154" s="178"/>
    </row>
    <row r="155" spans="1:10" ht="13.5">
      <c r="A155" s="161">
        <v>45</v>
      </c>
      <c r="B155" s="64"/>
      <c r="C155" s="67" t="s">
        <v>58</v>
      </c>
      <c r="D155" s="10" t="s">
        <v>18</v>
      </c>
      <c r="E155" s="59"/>
      <c r="F155" s="37">
        <f>SUM(F158)</f>
        <v>0</v>
      </c>
      <c r="G155" s="37">
        <f>SUM(G158)</f>
        <v>0</v>
      </c>
      <c r="H155" s="37">
        <f>SUM(H158)</f>
        <v>0</v>
      </c>
      <c r="I155" s="37">
        <f>SUM(I158)</f>
        <v>0</v>
      </c>
      <c r="J155" s="152"/>
    </row>
    <row r="156" spans="1:10" ht="13.5">
      <c r="A156" s="161">
        <v>45</v>
      </c>
      <c r="B156" s="34"/>
      <c r="C156" s="67" t="s">
        <v>58</v>
      </c>
      <c r="D156" s="21" t="s">
        <v>213</v>
      </c>
      <c r="E156" s="54"/>
      <c r="F156" s="34">
        <v>0</v>
      </c>
      <c r="G156" s="34">
        <v>0</v>
      </c>
      <c r="H156" s="34">
        <v>0</v>
      </c>
      <c r="I156" s="34">
        <v>0</v>
      </c>
      <c r="J156" s="179"/>
    </row>
    <row r="157" spans="1:10" ht="13.5">
      <c r="A157" s="161">
        <v>45</v>
      </c>
      <c r="B157" s="34"/>
      <c r="C157" s="67" t="s">
        <v>58</v>
      </c>
      <c r="D157" s="21" t="s">
        <v>214</v>
      </c>
      <c r="E157" s="54"/>
      <c r="F157" s="34">
        <v>0</v>
      </c>
      <c r="G157" s="34">
        <v>0</v>
      </c>
      <c r="H157" s="34">
        <v>0</v>
      </c>
      <c r="I157" s="34">
        <v>0</v>
      </c>
      <c r="J157" s="179"/>
    </row>
    <row r="158" spans="1:10" ht="13.5">
      <c r="A158" s="161">
        <v>45</v>
      </c>
      <c r="B158" s="34"/>
      <c r="C158" s="67" t="s">
        <v>58</v>
      </c>
      <c r="D158" s="55" t="s">
        <v>15</v>
      </c>
      <c r="E158" s="55"/>
      <c r="F158" s="37">
        <v>0</v>
      </c>
      <c r="G158" s="37">
        <v>0</v>
      </c>
      <c r="H158" s="37">
        <v>0</v>
      </c>
      <c r="I158" s="37">
        <v>0</v>
      </c>
      <c r="J158" s="152"/>
    </row>
    <row r="159" spans="1:10" ht="13.5">
      <c r="A159" s="161">
        <v>45</v>
      </c>
      <c r="B159" s="64"/>
      <c r="C159" s="67" t="s">
        <v>58</v>
      </c>
      <c r="D159" s="10" t="s">
        <v>108</v>
      </c>
      <c r="E159" s="59"/>
      <c r="F159" s="37">
        <v>0</v>
      </c>
      <c r="G159" s="37">
        <v>0</v>
      </c>
      <c r="H159" s="37">
        <v>0</v>
      </c>
      <c r="I159" s="37">
        <v>0</v>
      </c>
      <c r="J159" s="152"/>
    </row>
    <row r="160" spans="1:10" ht="13.5">
      <c r="A160" s="161">
        <v>45</v>
      </c>
      <c r="B160" s="34"/>
      <c r="C160" s="67" t="s">
        <v>58</v>
      </c>
      <c r="D160" s="91" t="s">
        <v>146</v>
      </c>
      <c r="E160" s="54"/>
      <c r="F160" s="34">
        <v>0</v>
      </c>
      <c r="G160" s="34">
        <v>0</v>
      </c>
      <c r="H160" s="34">
        <v>0</v>
      </c>
      <c r="I160" s="34">
        <v>0</v>
      </c>
      <c r="J160" s="179"/>
    </row>
    <row r="161" spans="1:10" ht="13.5">
      <c r="A161" s="161">
        <v>45</v>
      </c>
      <c r="B161" s="34"/>
      <c r="C161" s="67" t="s">
        <v>58</v>
      </c>
      <c r="D161" s="91" t="s">
        <v>218</v>
      </c>
      <c r="E161" s="54"/>
      <c r="F161" s="34">
        <v>0</v>
      </c>
      <c r="G161" s="34">
        <v>0</v>
      </c>
      <c r="H161" s="34">
        <v>0</v>
      </c>
      <c r="I161" s="34">
        <v>0</v>
      </c>
      <c r="J161" s="179"/>
    </row>
    <row r="162" spans="1:10" ht="14.25" thickBot="1">
      <c r="A162" s="165">
        <v>45</v>
      </c>
      <c r="B162" s="153"/>
      <c r="C162" s="174" t="s">
        <v>58</v>
      </c>
      <c r="D162" s="180" t="s">
        <v>109</v>
      </c>
      <c r="E162" s="181"/>
      <c r="F162" s="170">
        <v>0</v>
      </c>
      <c r="G162" s="170">
        <v>0</v>
      </c>
      <c r="H162" s="170">
        <v>0</v>
      </c>
      <c r="I162" s="170">
        <v>0</v>
      </c>
      <c r="J162" s="154"/>
    </row>
    <row r="163" spans="3:10" ht="13.5">
      <c r="C163" s="40"/>
      <c r="D163" s="40"/>
      <c r="E163" s="40"/>
      <c r="F163" s="40"/>
      <c r="G163" s="40"/>
      <c r="H163" s="40"/>
      <c r="I163" s="40"/>
      <c r="J163" s="40"/>
    </row>
    <row r="169" spans="1:2" ht="13.5">
      <c r="A169" s="47" t="s">
        <v>244</v>
      </c>
      <c r="B169" s="40"/>
    </row>
    <row r="170" ht="13.5">
      <c r="A170" s="40" t="s">
        <v>217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4" manualBreakCount="4">
    <brk id="34" max="255" man="1"/>
    <brk id="69" max="255" man="1"/>
    <brk id="103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simona.masarova</cp:lastModifiedBy>
  <cp:lastPrinted>2009-02-05T07:53:41Z</cp:lastPrinted>
  <dcterms:created xsi:type="dcterms:W3CDTF">2005-01-24T15:47:01Z</dcterms:created>
  <dcterms:modified xsi:type="dcterms:W3CDTF">2009-02-05T07:54:01Z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