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45" windowHeight="6345" activeTab="0"/>
  </bookViews>
  <sheets>
    <sheet name="B" sheetId="1" r:id="rId1"/>
  </sheets>
  <definedNames>
    <definedName name="_xlnm.Print_Area" localSheetId="0">'B'!$A$1:$H$88</definedName>
    <definedName name="TA2">'B'!$A$3:$D$3</definedName>
  </definedNames>
  <calcPr fullCalcOnLoad="1"/>
</workbook>
</file>

<file path=xl/sharedStrings.xml><?xml version="1.0" encoding="utf-8"?>
<sst xmlns="http://schemas.openxmlformats.org/spreadsheetml/2006/main" count="88" uniqueCount="45">
  <si>
    <t>mil. Sk</t>
  </si>
  <si>
    <t>mil. USD</t>
  </si>
  <si>
    <t>Poznámka : údaje sú predbežné</t>
  </si>
  <si>
    <t>Kurz USD=</t>
  </si>
  <si>
    <t>SKK</t>
  </si>
  <si>
    <t xml:space="preserve">            Saldo</t>
  </si>
  <si>
    <t xml:space="preserve">  PRIAME INVESTÍCIE</t>
  </si>
  <si>
    <t xml:space="preserve">      V ZAHRANIČÍ    (priamy investor = rezident)</t>
  </si>
  <si>
    <t xml:space="preserve">            Majetková účasť</t>
  </si>
  <si>
    <t xml:space="preserve">                 Pohľadávky voči podniku priamej investície</t>
  </si>
  <si>
    <t xml:space="preserve">                 Záväzky voči podniku priamej investície</t>
  </si>
  <si>
    <t xml:space="preserve">            Reinvestovaný zisk</t>
  </si>
  <si>
    <t xml:space="preserve">            Ostatný kapitál</t>
  </si>
  <si>
    <t xml:space="preserve">      V SR    (podnik priamej investície = rezident)</t>
  </si>
  <si>
    <t xml:space="preserve">                 Pohľadávky voči primym investorom</t>
  </si>
  <si>
    <t xml:space="preserve">                 Záväzky voči priamym investorom</t>
  </si>
  <si>
    <t xml:space="preserve">  PORTFÓLIOVÉ INVESTÍCIE</t>
  </si>
  <si>
    <t xml:space="preserve">      AKTÍVA</t>
  </si>
  <si>
    <t xml:space="preserve">            Majetkové cenné papiere</t>
  </si>
  <si>
    <t xml:space="preserve">            Dlžobné cenné papiere</t>
  </si>
  <si>
    <t xml:space="preserve">                 Obligácie a zmenky</t>
  </si>
  <si>
    <t xml:space="preserve">                 Vláda + NBS</t>
  </si>
  <si>
    <t xml:space="preserve">                 Banky</t>
  </si>
  <si>
    <t xml:space="preserve">                 Ostatné sektory</t>
  </si>
  <si>
    <t xml:space="preserve">                 Nástroje peňažného trhu</t>
  </si>
  <si>
    <t xml:space="preserve">      PASÍVA</t>
  </si>
  <si>
    <t xml:space="preserve"> FINANČNÉ DERIVÁTY</t>
  </si>
  <si>
    <t xml:space="preserve">  OSTATNÉ INVESTÍCIE</t>
  </si>
  <si>
    <t xml:space="preserve">            Obchodné úvery</t>
  </si>
  <si>
    <t xml:space="preserve">                 dlhodobé</t>
  </si>
  <si>
    <t xml:space="preserve">                 krátkodobé</t>
  </si>
  <si>
    <t xml:space="preserve">            Pôžičky - finančné úvery</t>
  </si>
  <si>
    <t xml:space="preserve">                      dlhodobé</t>
  </si>
  <si>
    <t xml:space="preserve">                      krátkodobé</t>
  </si>
  <si>
    <t xml:space="preserve">            Hotovosť a vklady</t>
  </si>
  <si>
    <t xml:space="preserve">            Ostatné aktíva</t>
  </si>
  <si>
    <t xml:space="preserve">            Ostatné pasíva</t>
  </si>
  <si>
    <t xml:space="preserve"> FINANČNÝ ÚČET</t>
  </si>
  <si>
    <t xml:space="preserve">     Inkasá / Kredit /  (+)</t>
  </si>
  <si>
    <t xml:space="preserve">     Platby / Debet / ( - )</t>
  </si>
  <si>
    <t xml:space="preserve">     Finančný účet platobnej bilancie  </t>
  </si>
  <si>
    <t xml:space="preserve">                      z toho: krátkodobé</t>
  </si>
  <si>
    <t xml:space="preserve">                     z toho: krátkodobé</t>
  </si>
  <si>
    <t xml:space="preserve">                     Platobná bilancia SR za január až jún 2003</t>
  </si>
  <si>
    <t xml:space="preserve">        Príloha č.2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</si>
</sst>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\-mmm\-yy_)"/>
    <numFmt numFmtId="165" formatCode="hh:mm:ss\ AM/PM_)"/>
    <numFmt numFmtId="166" formatCode="#,##0.0&quot;Sk&quot;_);\(#,##0.0&quot;Sk&quot;\)"/>
    <numFmt numFmtId="167" formatCode="#,##0&quot;Sk&quot;_);\(#,##0&quot;Sk&quot;\)"/>
    <numFmt numFmtId="168" formatCode="#,##0.000&quot;Sk&quot;_);\(#,##0.000&quot;Sk&quot;\)"/>
    <numFmt numFmtId="169" formatCode="#,##0.0_);\(#,##0.0\)"/>
    <numFmt numFmtId="170" formatCode="#,##0.0"/>
    <numFmt numFmtId="171" formatCode="#,##0.000"/>
  </numFmts>
  <fonts count="13">
    <font>
      <sz val="12"/>
      <name val="Arial MT"/>
      <family val="0"/>
    </font>
    <font>
      <sz val="11"/>
      <name val="Times New Roman"/>
      <family val="0"/>
    </font>
    <font>
      <b/>
      <sz val="18"/>
      <name val="Times New Roman"/>
      <family val="0"/>
    </font>
    <font>
      <b/>
      <sz val="12"/>
      <name val="Arial MT"/>
      <family val="0"/>
    </font>
    <font>
      <sz val="12"/>
      <name val="TimesNewRomanPS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Arial MT"/>
      <family val="0"/>
    </font>
    <font>
      <sz val="18"/>
      <name val="Arial MT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166" fontId="4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70" fontId="6" fillId="0" borderId="1" xfId="0" applyNumberFormat="1" applyFont="1" applyBorder="1" applyAlignment="1">
      <alignment/>
    </xf>
    <xf numFmtId="170" fontId="7" fillId="0" borderId="2" xfId="0" applyNumberFormat="1" applyFont="1" applyBorder="1" applyAlignment="1">
      <alignment/>
    </xf>
    <xf numFmtId="170" fontId="8" fillId="0" borderId="3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170" fontId="6" fillId="0" borderId="5" xfId="0" applyNumberFormat="1" applyFont="1" applyBorder="1" applyAlignment="1">
      <alignment/>
    </xf>
    <xf numFmtId="170" fontId="9" fillId="0" borderId="3" xfId="0" applyNumberFormat="1" applyFont="1" applyBorder="1" applyAlignment="1">
      <alignment/>
    </xf>
    <xf numFmtId="170" fontId="6" fillId="0" borderId="4" xfId="0" applyNumberFormat="1" applyFont="1" applyBorder="1" applyAlignment="1" applyProtection="1">
      <alignment/>
      <protection/>
    </xf>
    <xf numFmtId="170" fontId="6" fillId="0" borderId="5" xfId="0" applyNumberFormat="1" applyFont="1" applyBorder="1" applyAlignment="1" applyProtection="1">
      <alignment/>
      <protection/>
    </xf>
    <xf numFmtId="170" fontId="6" fillId="0" borderId="3" xfId="0" applyNumberFormat="1" applyFont="1" applyBorder="1" applyAlignment="1">
      <alignment/>
    </xf>
    <xf numFmtId="170" fontId="6" fillId="0" borderId="6" xfId="0" applyNumberFormat="1" applyFont="1" applyBorder="1" applyAlignment="1">
      <alignment/>
    </xf>
    <xf numFmtId="170" fontId="6" fillId="0" borderId="7" xfId="0" applyNumberFormat="1" applyFont="1" applyBorder="1" applyAlignment="1" applyProtection="1">
      <alignment/>
      <protection/>
    </xf>
    <xf numFmtId="170" fontId="6" fillId="0" borderId="8" xfId="0" applyNumberFormat="1" applyFont="1" applyBorder="1" applyAlignment="1" applyProtection="1">
      <alignment/>
      <protection/>
    </xf>
    <xf numFmtId="170" fontId="7" fillId="0" borderId="3" xfId="0" applyNumberFormat="1" applyFont="1" applyBorder="1" applyAlignment="1">
      <alignment/>
    </xf>
    <xf numFmtId="170" fontId="7" fillId="0" borderId="9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 applyProtection="1">
      <alignment/>
      <protection/>
    </xf>
    <xf numFmtId="170" fontId="6" fillId="0" borderId="10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7" fillId="0" borderId="11" xfId="0" applyNumberFormat="1" applyFont="1" applyBorder="1" applyAlignment="1">
      <alignment horizontal="left"/>
    </xf>
    <xf numFmtId="171" fontId="6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170" fontId="7" fillId="0" borderId="11" xfId="0" applyNumberFormat="1" applyFont="1" applyBorder="1" applyAlignment="1">
      <alignment/>
    </xf>
    <xf numFmtId="170" fontId="7" fillId="0" borderId="12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70" fontId="8" fillId="0" borderId="6" xfId="0" applyNumberFormat="1" applyFont="1" applyBorder="1" applyAlignment="1">
      <alignment/>
    </xf>
    <xf numFmtId="170" fontId="6" fillId="0" borderId="12" xfId="0" applyNumberFormat="1" applyFont="1" applyBorder="1" applyAlignment="1" applyProtection="1">
      <alignment/>
      <protection/>
    </xf>
    <xf numFmtId="170" fontId="6" fillId="0" borderId="13" xfId="0" applyNumberFormat="1" applyFont="1" applyBorder="1" applyAlignment="1" applyProtection="1">
      <alignment/>
      <protection/>
    </xf>
    <xf numFmtId="170" fontId="8" fillId="0" borderId="0" xfId="0" applyNumberFormat="1" applyFont="1" applyAlignment="1">
      <alignment horizontal="right"/>
    </xf>
    <xf numFmtId="170" fontId="6" fillId="0" borderId="14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O118"/>
  <sheetViews>
    <sheetView tabSelected="1" workbookViewId="0" topLeftCell="C1">
      <selection activeCell="G2" sqref="G2"/>
    </sheetView>
  </sheetViews>
  <sheetFormatPr defaultColWidth="9.77734375" defaultRowHeight="15"/>
  <cols>
    <col min="1" max="1" width="20.77734375" style="0" customWidth="1"/>
    <col min="2" max="2" width="37.77734375" style="0" customWidth="1"/>
  </cols>
  <sheetData>
    <row r="1" spans="7:8" ht="23.25">
      <c r="G1" s="38" t="s">
        <v>44</v>
      </c>
      <c r="H1" s="37"/>
    </row>
    <row r="2" spans="7:8" ht="18">
      <c r="G2" s="37"/>
      <c r="H2" s="37"/>
    </row>
    <row r="3" spans="2:7" ht="22.5">
      <c r="B3" s="6" t="s">
        <v>43</v>
      </c>
      <c r="C3" s="3"/>
      <c r="G3" s="37"/>
    </row>
    <row r="4" spans="2:3" ht="15" customHeight="1">
      <c r="B4" s="3"/>
      <c r="C4" s="3"/>
    </row>
    <row r="5" ht="19.5">
      <c r="B5" s="28" t="s">
        <v>40</v>
      </c>
    </row>
    <row r="6" ht="15.75" thickBot="1"/>
    <row r="7" spans="2:8" ht="17.25" thickBot="1" thickTop="1">
      <c r="B7" s="7"/>
      <c r="C7" s="26" t="s">
        <v>38</v>
      </c>
      <c r="D7" s="8"/>
      <c r="E7" s="26" t="s">
        <v>39</v>
      </c>
      <c r="F7" s="8"/>
      <c r="G7" s="29" t="s">
        <v>5</v>
      </c>
      <c r="H7" s="8"/>
    </row>
    <row r="8" spans="2:8" ht="17.25" thickBot="1" thickTop="1">
      <c r="B8" s="23"/>
      <c r="C8" s="30" t="s">
        <v>0</v>
      </c>
      <c r="D8" s="31" t="s">
        <v>1</v>
      </c>
      <c r="E8" s="30" t="s">
        <v>0</v>
      </c>
      <c r="F8" s="31" t="s">
        <v>1</v>
      </c>
      <c r="G8" s="30" t="s">
        <v>0</v>
      </c>
      <c r="H8" s="31" t="s">
        <v>1</v>
      </c>
    </row>
    <row r="9" spans="2:9" ht="16.5" thickTop="1">
      <c r="B9" s="15"/>
      <c r="C9" s="13"/>
      <c r="D9" s="14"/>
      <c r="E9" s="13"/>
      <c r="F9" s="14"/>
      <c r="G9" s="13"/>
      <c r="H9" s="14"/>
      <c r="I9" s="1"/>
    </row>
    <row r="10" spans="2:13" ht="15.75">
      <c r="B10" s="19" t="s">
        <v>6</v>
      </c>
      <c r="C10" s="13">
        <f>C11+C19</f>
        <v>216971.1</v>
      </c>
      <c r="D10" s="14">
        <f>D11+D19</f>
        <v>5764.069390574358</v>
      </c>
      <c r="E10" s="13">
        <f>E11+E19</f>
        <v>-196756</v>
      </c>
      <c r="F10" s="14">
        <f>F11+F19</f>
        <v>-5227.033632644386</v>
      </c>
      <c r="G10" s="13">
        <f>C10+E10</f>
        <v>20215.100000000006</v>
      </c>
      <c r="H10" s="14">
        <f>D10+F10</f>
        <v>537.0357579299725</v>
      </c>
      <c r="I10" s="1"/>
      <c r="J10" s="5"/>
      <c r="K10" s="1"/>
      <c r="L10" s="1"/>
      <c r="M10" s="1"/>
    </row>
    <row r="11" spans="2:13" ht="15.75">
      <c r="B11" s="9" t="s">
        <v>7</v>
      </c>
      <c r="C11" s="13">
        <f>C12+C15+C16</f>
        <v>8032</v>
      </c>
      <c r="D11" s="14">
        <f>D12+D15+D16</f>
        <v>213.37867275915198</v>
      </c>
      <c r="E11" s="13">
        <f>E12+E15+E16</f>
        <v>-7358.6</v>
      </c>
      <c r="F11" s="14">
        <f>F12+F15+F16</f>
        <v>-195.48908134530575</v>
      </c>
      <c r="G11" s="13">
        <f>C11+E11</f>
        <v>673.3999999999996</v>
      </c>
      <c r="H11" s="14">
        <f>D11+F11</f>
        <v>17.889591413846233</v>
      </c>
      <c r="I11" s="1"/>
      <c r="J11" s="1"/>
      <c r="K11" s="1"/>
      <c r="L11" s="1"/>
      <c r="M11" s="1"/>
    </row>
    <row r="12" spans="2:13" ht="15.75">
      <c r="B12" s="15" t="s">
        <v>8</v>
      </c>
      <c r="C12" s="13">
        <f aca="true" t="shared" si="0" ref="C12:H12">C13+C14</f>
        <v>543</v>
      </c>
      <c r="D12" s="14">
        <f t="shared" si="0"/>
        <v>14.42537590988789</v>
      </c>
      <c r="E12" s="13">
        <f t="shared" si="0"/>
        <v>-188.6</v>
      </c>
      <c r="F12" s="14">
        <f t="shared" si="0"/>
        <v>-5.010360767228096</v>
      </c>
      <c r="G12" s="13">
        <f t="shared" si="0"/>
        <v>354.4</v>
      </c>
      <c r="H12" s="14">
        <f t="shared" si="0"/>
        <v>9.415015142659794</v>
      </c>
      <c r="I12" s="1"/>
      <c r="J12" s="1"/>
      <c r="K12" s="1"/>
      <c r="L12" s="1"/>
      <c r="M12" s="1"/>
    </row>
    <row r="13" spans="2:13" ht="15.75">
      <c r="B13" s="15" t="s">
        <v>9</v>
      </c>
      <c r="C13" s="13">
        <v>543</v>
      </c>
      <c r="D13" s="14">
        <f>C13/$C$88</f>
        <v>14.42537590988789</v>
      </c>
      <c r="E13" s="13">
        <f>-11.6-177</f>
        <v>-188.6</v>
      </c>
      <c r="F13" s="14">
        <f>E13/$C$88</f>
        <v>-5.010360767228096</v>
      </c>
      <c r="G13" s="13">
        <f aca="true" t="shared" si="1" ref="G13:H15">C13+E13</f>
        <v>354.4</v>
      </c>
      <c r="H13" s="14">
        <f t="shared" si="1"/>
        <v>9.415015142659794</v>
      </c>
      <c r="I13" s="1"/>
      <c r="J13" s="1"/>
      <c r="K13" s="1"/>
      <c r="L13" s="1"/>
      <c r="M13" s="1"/>
    </row>
    <row r="14" spans="2:13" ht="15.75">
      <c r="B14" s="15" t="s">
        <v>10</v>
      </c>
      <c r="C14" s="13">
        <v>0</v>
      </c>
      <c r="D14" s="14">
        <f>C14/$C$88</f>
        <v>0</v>
      </c>
      <c r="E14" s="13">
        <v>0</v>
      </c>
      <c r="F14" s="14">
        <f>E14/$C$88</f>
        <v>0</v>
      </c>
      <c r="G14" s="13">
        <f t="shared" si="1"/>
        <v>0</v>
      </c>
      <c r="H14" s="14">
        <f t="shared" si="1"/>
        <v>0</v>
      </c>
      <c r="I14" s="1"/>
      <c r="J14" s="1"/>
      <c r="K14" s="1"/>
      <c r="L14" s="1"/>
      <c r="M14" s="1"/>
    </row>
    <row r="15" spans="2:13" ht="15.75">
      <c r="B15" s="15" t="s">
        <v>11</v>
      </c>
      <c r="C15" s="13">
        <v>0</v>
      </c>
      <c r="D15" s="14">
        <f>C15/$C$88</f>
        <v>0</v>
      </c>
      <c r="E15" s="13">
        <v>0</v>
      </c>
      <c r="F15" s="14">
        <f>E15/$C$88</f>
        <v>0</v>
      </c>
      <c r="G15" s="13">
        <f t="shared" si="1"/>
        <v>0</v>
      </c>
      <c r="H15" s="14">
        <f t="shared" si="1"/>
        <v>0</v>
      </c>
      <c r="I15" s="1"/>
      <c r="J15" s="1"/>
      <c r="K15" s="1"/>
      <c r="L15" s="1"/>
      <c r="M15" s="1"/>
    </row>
    <row r="16" spans="2:13" ht="15.75">
      <c r="B16" s="15" t="s">
        <v>12</v>
      </c>
      <c r="C16" s="13">
        <f aca="true" t="shared" si="2" ref="C16:H16">C17+C18</f>
        <v>7489</v>
      </c>
      <c r="D16" s="14">
        <f t="shared" si="2"/>
        <v>198.9532968492641</v>
      </c>
      <c r="E16" s="13">
        <f t="shared" si="2"/>
        <v>-7170</v>
      </c>
      <c r="F16" s="14">
        <f t="shared" si="2"/>
        <v>-190.47872057807766</v>
      </c>
      <c r="G16" s="13">
        <f t="shared" si="2"/>
        <v>319</v>
      </c>
      <c r="H16" s="14">
        <f t="shared" si="2"/>
        <v>8.474576271186436</v>
      </c>
      <c r="I16" s="1"/>
      <c r="J16" s="1"/>
      <c r="K16" s="1"/>
      <c r="L16" s="1"/>
      <c r="M16" s="1"/>
    </row>
    <row r="17" spans="2:15" ht="15.75">
      <c r="B17" s="15" t="s">
        <v>9</v>
      </c>
      <c r="C17" s="13">
        <f>16+14+7443+2</f>
        <v>7475</v>
      </c>
      <c r="D17" s="14">
        <f>C17/$C$88</f>
        <v>198.58137187184525</v>
      </c>
      <c r="E17" s="13">
        <f>-1-6-7119</f>
        <v>-7126</v>
      </c>
      <c r="F17" s="14">
        <f>E17/$C$88</f>
        <v>-189.30981350618987</v>
      </c>
      <c r="G17" s="13">
        <f>C17+E17</f>
        <v>349</v>
      </c>
      <c r="H17" s="14">
        <f>D17+F17</f>
        <v>9.27155836565538</v>
      </c>
      <c r="I17" s="1"/>
      <c r="J17" s="1"/>
      <c r="K17" s="1"/>
      <c r="L17" s="1"/>
      <c r="M17" s="1"/>
      <c r="O17" s="2"/>
    </row>
    <row r="18" spans="2:15" ht="15.75">
      <c r="B18" s="15" t="s">
        <v>10</v>
      </c>
      <c r="C18" s="13">
        <v>14</v>
      </c>
      <c r="D18" s="14">
        <f>C18/$C$88</f>
        <v>0.3719249774188406</v>
      </c>
      <c r="E18" s="13">
        <f>-35-9</f>
        <v>-44</v>
      </c>
      <c r="F18" s="14">
        <f>E18/$C$88</f>
        <v>-1.1689070718877848</v>
      </c>
      <c r="G18" s="13">
        <f>C18+E18</f>
        <v>-30</v>
      </c>
      <c r="H18" s="14">
        <f>D18+F18</f>
        <v>-0.7969820944689441</v>
      </c>
      <c r="I18" s="1"/>
      <c r="J18" s="1"/>
      <c r="K18" s="1"/>
      <c r="L18" s="1"/>
      <c r="M18" s="1"/>
      <c r="O18" s="2"/>
    </row>
    <row r="19" spans="2:15" ht="15.75">
      <c r="B19" s="9" t="s">
        <v>13</v>
      </c>
      <c r="C19" s="13">
        <f aca="true" t="shared" si="3" ref="C19:H19">C20+C23+C24</f>
        <v>208939.1</v>
      </c>
      <c r="D19" s="14">
        <f t="shared" si="3"/>
        <v>5550.690717815206</v>
      </c>
      <c r="E19" s="13">
        <f t="shared" si="3"/>
        <v>-189397.4</v>
      </c>
      <c r="F19" s="14">
        <f t="shared" si="3"/>
        <v>-5031.54455129908</v>
      </c>
      <c r="G19" s="13">
        <f t="shared" si="3"/>
        <v>19541.699999999997</v>
      </c>
      <c r="H19" s="14">
        <f t="shared" si="3"/>
        <v>519.1461665161256</v>
      </c>
      <c r="I19" s="1"/>
      <c r="J19" s="1"/>
      <c r="K19" s="1"/>
      <c r="L19" s="1"/>
      <c r="M19" s="1"/>
      <c r="O19" s="2"/>
    </row>
    <row r="20" spans="2:15" ht="15.75">
      <c r="B20" s="15" t="s">
        <v>8</v>
      </c>
      <c r="C20" s="13">
        <f>C21+C22</f>
        <v>23231.1</v>
      </c>
      <c r="D20" s="14">
        <f>D21+D22</f>
        <v>617.1590244939163</v>
      </c>
      <c r="E20" s="13">
        <f>E21+E22</f>
        <v>-2393.4</v>
      </c>
      <c r="F20" s="14">
        <f>F21+F22</f>
        <v>-63.583231496732374</v>
      </c>
      <c r="G20" s="13">
        <f aca="true" t="shared" si="4" ref="G20:H26">C20+E20</f>
        <v>20837.699999999997</v>
      </c>
      <c r="H20" s="14">
        <f t="shared" si="4"/>
        <v>553.5757929971838</v>
      </c>
      <c r="I20" s="1"/>
      <c r="J20" s="1"/>
      <c r="K20" s="1"/>
      <c r="L20" s="1"/>
      <c r="M20" s="1"/>
      <c r="O20" s="2"/>
    </row>
    <row r="21" spans="2:15" ht="15.75">
      <c r="B21" s="15" t="s">
        <v>14</v>
      </c>
      <c r="C21" s="13">
        <v>0</v>
      </c>
      <c r="D21" s="14">
        <f>C21/$C$88</f>
        <v>0</v>
      </c>
      <c r="E21" s="13">
        <v>0</v>
      </c>
      <c r="F21" s="14">
        <f>E21/$C$88</f>
        <v>0</v>
      </c>
      <c r="G21" s="13">
        <f t="shared" si="4"/>
        <v>0</v>
      </c>
      <c r="H21" s="14">
        <f t="shared" si="4"/>
        <v>0</v>
      </c>
      <c r="I21" s="1"/>
      <c r="J21" s="1"/>
      <c r="K21" s="1"/>
      <c r="L21" s="1"/>
      <c r="M21" s="1"/>
      <c r="O21" s="2"/>
    </row>
    <row r="22" spans="2:15" ht="15.75">
      <c r="B22" s="15" t="s">
        <v>15</v>
      </c>
      <c r="C22" s="13">
        <f>2151.1+21080</f>
        <v>23231.1</v>
      </c>
      <c r="D22" s="14">
        <f>C22/$C$88</f>
        <v>617.1590244939163</v>
      </c>
      <c r="E22" s="13">
        <f>-1114.4-1279</f>
        <v>-2393.4</v>
      </c>
      <c r="F22" s="14">
        <f>E22/$C$88</f>
        <v>-63.583231496732374</v>
      </c>
      <c r="G22" s="13">
        <f t="shared" si="4"/>
        <v>20837.699999999997</v>
      </c>
      <c r="H22" s="14">
        <f t="shared" si="4"/>
        <v>553.5757929971838</v>
      </c>
      <c r="I22" s="1"/>
      <c r="J22" s="1"/>
      <c r="K22" s="1"/>
      <c r="L22" s="1"/>
      <c r="M22" s="1"/>
      <c r="O22" s="2"/>
    </row>
    <row r="23" spans="2:15" ht="15.75">
      <c r="B23" s="15" t="s">
        <v>11</v>
      </c>
      <c r="C23" s="13">
        <v>0</v>
      </c>
      <c r="D23" s="14">
        <f>C23/$C$88</f>
        <v>0</v>
      </c>
      <c r="E23" s="13">
        <v>0</v>
      </c>
      <c r="F23" s="14">
        <f>E23/$C$88</f>
        <v>0</v>
      </c>
      <c r="G23" s="13">
        <f t="shared" si="4"/>
        <v>0</v>
      </c>
      <c r="H23" s="14">
        <f t="shared" si="4"/>
        <v>0</v>
      </c>
      <c r="I23" s="1"/>
      <c r="J23" s="1"/>
      <c r="K23" s="1"/>
      <c r="L23" s="1"/>
      <c r="M23" s="1"/>
      <c r="O23" s="2"/>
    </row>
    <row r="24" spans="2:15" ht="15.75">
      <c r="B24" s="15" t="s">
        <v>12</v>
      </c>
      <c r="C24" s="13">
        <f>C25+C26</f>
        <v>185708</v>
      </c>
      <c r="D24" s="14">
        <f>D25+D26</f>
        <v>4933.53169332129</v>
      </c>
      <c r="E24" s="13">
        <f>E25+E26</f>
        <v>-187004</v>
      </c>
      <c r="F24" s="14">
        <f>F25+F26</f>
        <v>-4967.961319802348</v>
      </c>
      <c r="G24" s="13">
        <f t="shared" si="4"/>
        <v>-1296</v>
      </c>
      <c r="H24" s="14">
        <f t="shared" si="4"/>
        <v>-34.42962648105822</v>
      </c>
      <c r="I24" s="1"/>
      <c r="J24" s="1"/>
      <c r="K24" s="1"/>
      <c r="L24" s="1"/>
      <c r="M24" s="1"/>
      <c r="O24" s="2"/>
    </row>
    <row r="25" spans="2:15" ht="15.75">
      <c r="B25" s="15" t="s">
        <v>14</v>
      </c>
      <c r="C25" s="13">
        <f>2792+546+91980</f>
        <v>95318</v>
      </c>
      <c r="D25" s="14">
        <f>C25/$C$88</f>
        <v>2532.2246426863608</v>
      </c>
      <c r="E25" s="13">
        <f>-2704-788-97316-8</f>
        <v>-100816</v>
      </c>
      <c r="F25" s="14">
        <f>E25/$C$88</f>
        <v>-2678.2848945327028</v>
      </c>
      <c r="G25" s="13">
        <f t="shared" si="4"/>
        <v>-5498</v>
      </c>
      <c r="H25" s="14">
        <f t="shared" si="4"/>
        <v>-146.060251846342</v>
      </c>
      <c r="I25" s="1"/>
      <c r="J25" s="1"/>
      <c r="K25" s="1"/>
      <c r="L25" s="1"/>
      <c r="M25" s="1"/>
      <c r="O25" s="2"/>
    </row>
    <row r="26" spans="2:15" ht="15.75">
      <c r="B26" s="16" t="s">
        <v>15</v>
      </c>
      <c r="C26" s="17">
        <f>8414+6093+74254+513+1116</f>
        <v>90390</v>
      </c>
      <c r="D26" s="18">
        <f>C26/$C$88</f>
        <v>2401.307050634929</v>
      </c>
      <c r="E26" s="17">
        <f>-7606-4657-73350-575</f>
        <v>-86188</v>
      </c>
      <c r="F26" s="18">
        <f>E26/$C$88</f>
        <v>-2289.6764252696453</v>
      </c>
      <c r="G26" s="17">
        <f t="shared" si="4"/>
        <v>4202</v>
      </c>
      <c r="H26" s="18">
        <f t="shared" si="4"/>
        <v>111.63062536528378</v>
      </c>
      <c r="I26" s="1"/>
      <c r="J26" s="1"/>
      <c r="K26" s="1"/>
      <c r="L26" s="1"/>
      <c r="M26" s="1"/>
      <c r="O26" s="2"/>
    </row>
    <row r="27" spans="2:15" ht="15.75">
      <c r="B27" s="15"/>
      <c r="C27" s="13"/>
      <c r="D27" s="14"/>
      <c r="E27" s="13"/>
      <c r="F27" s="14"/>
      <c r="G27" s="13"/>
      <c r="H27" s="14"/>
      <c r="I27" s="1"/>
      <c r="J27" s="1"/>
      <c r="K27" s="1"/>
      <c r="L27" s="1"/>
      <c r="N27" s="2"/>
      <c r="O27" s="2"/>
    </row>
    <row r="28" spans="2:15" ht="15.75">
      <c r="B28" s="19" t="s">
        <v>16</v>
      </c>
      <c r="C28" s="13">
        <f>C29+C37</f>
        <v>181991.40000000002</v>
      </c>
      <c r="D28" s="14">
        <f>D29+D37</f>
        <v>4884.096238244514</v>
      </c>
      <c r="E28" s="13">
        <f>E29+E37</f>
        <v>-199595.59999999998</v>
      </c>
      <c r="F28" s="14">
        <f>F29+F37</f>
        <v>-5378.7706444928535</v>
      </c>
      <c r="G28" s="13">
        <f aca="true" t="shared" si="5" ref="G28:G44">C28+E28</f>
        <v>-17604.199999999953</v>
      </c>
      <c r="H28" s="14">
        <f aca="true" t="shared" si="6" ref="H28:H44">D28+F28</f>
        <v>-494.67440624833944</v>
      </c>
      <c r="I28" s="1"/>
      <c r="J28" s="5"/>
      <c r="K28" s="1"/>
      <c r="L28" s="1"/>
      <c r="O28" s="2"/>
    </row>
    <row r="29" spans="2:15" ht="15.75">
      <c r="B29" s="9" t="s">
        <v>17</v>
      </c>
      <c r="C29" s="13">
        <f>C30+C31</f>
        <v>36556.3</v>
      </c>
      <c r="D29" s="14">
        <f>D30+D31</f>
        <v>971.1572180011689</v>
      </c>
      <c r="E29" s="13">
        <f>E30+E31</f>
        <v>-50805.50000000001</v>
      </c>
      <c r="F29" s="14">
        <f>F30+F31</f>
        <v>-1349.7024600180648</v>
      </c>
      <c r="G29" s="13">
        <f t="shared" si="5"/>
        <v>-14249.200000000004</v>
      </c>
      <c r="H29" s="14">
        <f t="shared" si="6"/>
        <v>-378.54524201689594</v>
      </c>
      <c r="I29" s="1"/>
      <c r="J29" s="1"/>
      <c r="K29" s="1"/>
      <c r="L29" s="1"/>
      <c r="N29" s="2"/>
      <c r="O29" s="2"/>
    </row>
    <row r="30" spans="2:15" ht="15.75">
      <c r="B30" s="15" t="s">
        <v>18</v>
      </c>
      <c r="C30" s="13">
        <f>740+164</f>
        <v>904</v>
      </c>
      <c r="D30" s="14">
        <f>C30/$C$88</f>
        <v>24.01572711333085</v>
      </c>
      <c r="E30" s="13">
        <f>-1048.3-3400</f>
        <v>-4448.3</v>
      </c>
      <c r="F30" s="14">
        <f>E30/$C$88</f>
        <v>-118.17384836087349</v>
      </c>
      <c r="G30" s="13">
        <f t="shared" si="5"/>
        <v>-3544.3</v>
      </c>
      <c r="H30" s="14">
        <f t="shared" si="6"/>
        <v>-94.15812124754264</v>
      </c>
      <c r="I30" s="1"/>
      <c r="J30" s="1"/>
      <c r="K30" s="1"/>
      <c r="L30" s="1"/>
      <c r="N30" s="2"/>
      <c r="O30" s="2"/>
    </row>
    <row r="31" spans="2:15" ht="15.75">
      <c r="B31" s="15" t="s">
        <v>19</v>
      </c>
      <c r="C31" s="13">
        <f>C32+C36</f>
        <v>35652.3</v>
      </c>
      <c r="D31" s="14">
        <f>D32+D36</f>
        <v>947.141490887838</v>
      </c>
      <c r="E31" s="13">
        <f>E32+E36</f>
        <v>-46357.200000000004</v>
      </c>
      <c r="F31" s="14">
        <f>F32+F36</f>
        <v>-1231.5286116571913</v>
      </c>
      <c r="G31" s="13">
        <f t="shared" si="5"/>
        <v>-10704.900000000001</v>
      </c>
      <c r="H31" s="14">
        <f t="shared" si="6"/>
        <v>-284.38712076935326</v>
      </c>
      <c r="I31" s="1"/>
      <c r="J31" s="1"/>
      <c r="K31" s="1"/>
      <c r="L31" s="1"/>
      <c r="N31" s="2"/>
      <c r="O31" s="2"/>
    </row>
    <row r="32" spans="2:15" ht="15.75">
      <c r="B32" s="15" t="s">
        <v>20</v>
      </c>
      <c r="C32" s="13">
        <f>C33+C34+C35</f>
        <v>29786</v>
      </c>
      <c r="D32" s="14">
        <f>D33+D34+D35</f>
        <v>791.296955528399</v>
      </c>
      <c r="E32" s="13">
        <f>E33+E34+E35</f>
        <v>-35946.3</v>
      </c>
      <c r="F32" s="14">
        <f>F33+F34+F35</f>
        <v>-954.9519154136336</v>
      </c>
      <c r="G32" s="13">
        <f t="shared" si="5"/>
        <v>-6160.300000000003</v>
      </c>
      <c r="H32" s="14">
        <f t="shared" si="6"/>
        <v>-163.65495988523458</v>
      </c>
      <c r="I32" s="1"/>
      <c r="J32" s="1"/>
      <c r="K32" s="1"/>
      <c r="L32" s="1"/>
      <c r="N32" s="2"/>
      <c r="O32" s="2"/>
    </row>
    <row r="33" spans="2:15" ht="15.75">
      <c r="B33" s="15" t="s">
        <v>21</v>
      </c>
      <c r="C33" s="13">
        <v>0</v>
      </c>
      <c r="D33" s="14">
        <f>C33/$C$88</f>
        <v>0</v>
      </c>
      <c r="E33" s="13">
        <v>0</v>
      </c>
      <c r="F33" s="14">
        <v>0</v>
      </c>
      <c r="G33" s="13">
        <f t="shared" si="5"/>
        <v>0</v>
      </c>
      <c r="H33" s="14">
        <f t="shared" si="6"/>
        <v>0</v>
      </c>
      <c r="I33" s="1"/>
      <c r="J33" s="1"/>
      <c r="K33" s="1"/>
      <c r="L33" s="1"/>
      <c r="N33" s="2"/>
      <c r="O33" s="2"/>
    </row>
    <row r="34" spans="2:15" ht="15.75">
      <c r="B34" s="15" t="s">
        <v>22</v>
      </c>
      <c r="C34" s="13">
        <v>28492</v>
      </c>
      <c r="D34" s="14">
        <f>C34/$C$88</f>
        <v>756.9204611869719</v>
      </c>
      <c r="E34" s="13">
        <v>-32841.3</v>
      </c>
      <c r="F34" s="14">
        <f>E34/$C$88</f>
        <v>-872.4642686360979</v>
      </c>
      <c r="G34" s="13">
        <f t="shared" si="5"/>
        <v>-4349.300000000003</v>
      </c>
      <c r="H34" s="14">
        <f t="shared" si="6"/>
        <v>-115.543807449126</v>
      </c>
      <c r="I34" s="1"/>
      <c r="J34" s="1"/>
      <c r="K34" s="1"/>
      <c r="L34" s="1"/>
      <c r="N34" s="2"/>
      <c r="O34" s="2"/>
    </row>
    <row r="35" spans="2:15" ht="15.75">
      <c r="B35" s="15" t="s">
        <v>23</v>
      </c>
      <c r="C35" s="13">
        <v>1294</v>
      </c>
      <c r="D35" s="14">
        <f>C35/$C$88</f>
        <v>34.376494341427126</v>
      </c>
      <c r="E35" s="13">
        <v>-3105</v>
      </c>
      <c r="F35" s="14">
        <f>E35/$C$88</f>
        <v>-82.48764677753573</v>
      </c>
      <c r="G35" s="13">
        <f t="shared" si="5"/>
        <v>-1811</v>
      </c>
      <c r="H35" s="14">
        <f t="shared" si="6"/>
        <v>-48.111152436108604</v>
      </c>
      <c r="I35" s="1"/>
      <c r="J35" s="1"/>
      <c r="K35" s="1"/>
      <c r="L35" s="1"/>
      <c r="N35" s="2"/>
      <c r="O35" s="2"/>
    </row>
    <row r="36" spans="2:15" ht="15.75">
      <c r="B36" s="15" t="s">
        <v>24</v>
      </c>
      <c r="C36" s="13">
        <f>217.3+5649</f>
        <v>5866.3</v>
      </c>
      <c r="D36" s="14">
        <f>C36/$C$88</f>
        <v>155.8445353594389</v>
      </c>
      <c r="E36" s="13">
        <f>-321.9-10089</f>
        <v>-10410.9</v>
      </c>
      <c r="F36" s="14">
        <f>E36/$C$88</f>
        <v>-276.5766962435577</v>
      </c>
      <c r="G36" s="13">
        <f t="shared" si="5"/>
        <v>-4544.599999999999</v>
      </c>
      <c r="H36" s="14">
        <f t="shared" si="6"/>
        <v>-120.7321608841188</v>
      </c>
      <c r="I36" s="1"/>
      <c r="J36" s="1"/>
      <c r="K36" s="1"/>
      <c r="L36" s="1"/>
      <c r="N36" s="2"/>
      <c r="O36" s="2"/>
    </row>
    <row r="37" spans="2:15" ht="15.75">
      <c r="B37" s="9" t="s">
        <v>25</v>
      </c>
      <c r="C37" s="13">
        <f>C38+C39</f>
        <v>145435.1</v>
      </c>
      <c r="D37" s="14">
        <f>D38+D39</f>
        <v>3912.939020243345</v>
      </c>
      <c r="E37" s="13">
        <f>E38+E39</f>
        <v>-148790.09999999998</v>
      </c>
      <c r="F37" s="14">
        <f>F38+F39</f>
        <v>-4029.0681844747883</v>
      </c>
      <c r="G37" s="13">
        <f t="shared" si="5"/>
        <v>-3354.999999999971</v>
      </c>
      <c r="H37" s="14">
        <f t="shared" si="6"/>
        <v>-116.12916423144316</v>
      </c>
      <c r="I37" s="1"/>
      <c r="J37" s="1"/>
      <c r="K37" s="1"/>
      <c r="L37" s="1"/>
      <c r="N37" s="2"/>
      <c r="O37" s="2"/>
    </row>
    <row r="38" spans="2:15" ht="15.75">
      <c r="B38" s="15" t="s">
        <v>18</v>
      </c>
      <c r="C38" s="13">
        <f>162.9+31.5+103</f>
        <v>297.4</v>
      </c>
      <c r="D38" s="14">
        <f>C38/$C$88</f>
        <v>7.9007491631688</v>
      </c>
      <c r="E38" s="13">
        <f>-346.8-86-522</f>
        <v>-954.8</v>
      </c>
      <c r="F38" s="14">
        <f>E38/$C$88</f>
        <v>-25.365283459964928</v>
      </c>
      <c r="G38" s="13">
        <f t="shared" si="5"/>
        <v>-657.4</v>
      </c>
      <c r="H38" s="14">
        <f t="shared" si="6"/>
        <v>-17.464534296796128</v>
      </c>
      <c r="I38" s="1"/>
      <c r="J38" s="1"/>
      <c r="K38" s="1"/>
      <c r="L38" s="1"/>
      <c r="N38" s="2"/>
      <c r="O38" s="2"/>
    </row>
    <row r="39" spans="2:15" ht="15.75">
      <c r="B39" s="15" t="s">
        <v>19</v>
      </c>
      <c r="C39" s="13">
        <f>C40+C44</f>
        <v>145137.7</v>
      </c>
      <c r="D39" s="14">
        <f>D40+D44</f>
        <v>3905.0382710801764</v>
      </c>
      <c r="E39" s="13">
        <f>E40+E44</f>
        <v>-147835.3</v>
      </c>
      <c r="F39" s="14">
        <f>F40+F44</f>
        <v>-4003.7029010148235</v>
      </c>
      <c r="G39" s="13">
        <f t="shared" si="5"/>
        <v>-2697.5999999999767</v>
      </c>
      <c r="H39" s="14">
        <f t="shared" si="6"/>
        <v>-98.66462993464711</v>
      </c>
      <c r="I39" s="1"/>
      <c r="J39" s="1"/>
      <c r="K39" s="1"/>
      <c r="L39" s="1"/>
      <c r="N39" s="2"/>
      <c r="O39" s="2"/>
    </row>
    <row r="40" spans="2:15" ht="15.75">
      <c r="B40" s="15" t="s">
        <v>20</v>
      </c>
      <c r="C40" s="13">
        <f>C41+C42+C43</f>
        <v>141119</v>
      </c>
      <c r="D40" s="14">
        <f>D41+D42+D43</f>
        <v>3798.2772063120983</v>
      </c>
      <c r="E40" s="13">
        <f>E41+E42+E43</f>
        <v>-143980</v>
      </c>
      <c r="F40" s="14">
        <f>F41+F42+F43</f>
        <v>-3901.2827320546194</v>
      </c>
      <c r="G40" s="13">
        <f t="shared" si="5"/>
        <v>-2861</v>
      </c>
      <c r="H40" s="14">
        <f t="shared" si="6"/>
        <v>-103.00552574252106</v>
      </c>
      <c r="I40" s="1"/>
      <c r="J40" s="1"/>
      <c r="K40" s="1"/>
      <c r="L40" s="1"/>
      <c r="N40" s="2"/>
      <c r="O40" s="2"/>
    </row>
    <row r="41" spans="2:15" ht="15.75">
      <c r="B41" s="15" t="s">
        <v>21</v>
      </c>
      <c r="C41" s="13">
        <f>20512+107907.6+11408.6</f>
        <v>139828.2</v>
      </c>
      <c r="D41" s="14">
        <f>C41/$C$88+49.3</f>
        <v>3763.985723394081</v>
      </c>
      <c r="E41" s="13">
        <f>-31491.8-98076.7-13571.6</f>
        <v>-143140.1</v>
      </c>
      <c r="F41" s="14">
        <f>E41/$C$88-76.3</f>
        <v>-3878.969890016471</v>
      </c>
      <c r="G41" s="13">
        <f t="shared" si="5"/>
        <v>-3311.899999999994</v>
      </c>
      <c r="H41" s="14">
        <f t="shared" si="6"/>
        <v>-114.9841666223897</v>
      </c>
      <c r="I41" s="1"/>
      <c r="J41" s="1"/>
      <c r="K41" s="1"/>
      <c r="L41" s="1"/>
      <c r="M41" s="4"/>
      <c r="N41" s="4"/>
      <c r="O41" s="2"/>
    </row>
    <row r="42" spans="2:15" ht="15.75">
      <c r="B42" s="15" t="s">
        <v>22</v>
      </c>
      <c r="C42" s="13">
        <v>0</v>
      </c>
      <c r="D42" s="14">
        <f>C42/$C$88</f>
        <v>0</v>
      </c>
      <c r="E42" s="13">
        <v>-1</v>
      </c>
      <c r="F42" s="14">
        <f>E42/$C$88</f>
        <v>-0.026566069815631473</v>
      </c>
      <c r="G42" s="13">
        <f t="shared" si="5"/>
        <v>-1</v>
      </c>
      <c r="H42" s="14">
        <f t="shared" si="6"/>
        <v>-0.026566069815631473</v>
      </c>
      <c r="I42" s="1"/>
      <c r="J42" s="1"/>
      <c r="K42" s="1"/>
      <c r="L42" s="1"/>
      <c r="N42" s="2"/>
      <c r="O42" s="2"/>
    </row>
    <row r="43" spans="2:15" ht="15.75">
      <c r="B43" s="15" t="s">
        <v>23</v>
      </c>
      <c r="C43" s="13">
        <f>1087.8+203</f>
        <v>1290.8</v>
      </c>
      <c r="D43" s="14">
        <f>C43/$C$88</f>
        <v>34.2914829180171</v>
      </c>
      <c r="E43" s="13">
        <f>-812.9-26</f>
        <v>-838.9</v>
      </c>
      <c r="F43" s="14">
        <f>E43/$C$88</f>
        <v>-22.286275968333243</v>
      </c>
      <c r="G43" s="13">
        <f t="shared" si="5"/>
        <v>451.9</v>
      </c>
      <c r="H43" s="14">
        <f t="shared" si="6"/>
        <v>12.00520694968386</v>
      </c>
      <c r="I43" s="1"/>
      <c r="J43" s="1"/>
      <c r="K43" s="1"/>
      <c r="L43" s="1"/>
      <c r="N43" s="2"/>
      <c r="O43" s="2"/>
    </row>
    <row r="44" spans="2:15" ht="15.75">
      <c r="B44" s="16" t="s">
        <v>24</v>
      </c>
      <c r="C44" s="17">
        <f>45+3828.7+145</f>
        <v>4018.7</v>
      </c>
      <c r="D44" s="18">
        <f>C44/$C$88</f>
        <v>106.7610647680782</v>
      </c>
      <c r="E44" s="17">
        <f>-8.6-3835.7-11</f>
        <v>-3855.2999999999997</v>
      </c>
      <c r="F44" s="18">
        <f>E44/$C$88</f>
        <v>-102.42016896020401</v>
      </c>
      <c r="G44" s="17">
        <f t="shared" si="5"/>
        <v>163.4000000000001</v>
      </c>
      <c r="H44" s="18">
        <f t="shared" si="6"/>
        <v>4.34089580787419</v>
      </c>
      <c r="I44" s="1"/>
      <c r="J44" s="1"/>
      <c r="K44" s="1"/>
      <c r="L44" s="1"/>
      <c r="N44" s="2"/>
      <c r="O44" s="2"/>
    </row>
    <row r="45" spans="2:10" ht="15.75">
      <c r="B45" s="15"/>
      <c r="C45" s="10"/>
      <c r="D45" s="11"/>
      <c r="E45" s="10"/>
      <c r="F45" s="11"/>
      <c r="G45" s="10"/>
      <c r="H45" s="11"/>
      <c r="I45" s="1"/>
      <c r="J45" s="1"/>
    </row>
    <row r="46" spans="2:10" ht="15.75">
      <c r="B46" s="19" t="s">
        <v>26</v>
      </c>
      <c r="C46" s="13">
        <f>C47+C48</f>
        <v>17634</v>
      </c>
      <c r="D46" s="14">
        <f>D47+D48</f>
        <v>468.46607512884543</v>
      </c>
      <c r="E46" s="13">
        <f>E47+E48</f>
        <v>-18253.8</v>
      </c>
      <c r="F46" s="14">
        <f>F47+F48</f>
        <v>-484.9317252005738</v>
      </c>
      <c r="G46" s="13">
        <f aca="true" t="shared" si="7" ref="G46:H48">C46+E46</f>
        <v>-619.7999999999993</v>
      </c>
      <c r="H46" s="14">
        <f t="shared" si="7"/>
        <v>-16.465650071728362</v>
      </c>
      <c r="I46" s="1"/>
      <c r="J46" s="5"/>
    </row>
    <row r="47" spans="2:10" ht="15.75">
      <c r="B47" s="9" t="s">
        <v>17</v>
      </c>
      <c r="C47" s="13">
        <v>16043.1</v>
      </c>
      <c r="D47" s="14">
        <f>C47/$C$88</f>
        <v>426.2021146591573</v>
      </c>
      <c r="E47" s="13">
        <f>-18044.8-1</f>
        <v>-18045.8</v>
      </c>
      <c r="F47" s="14">
        <f>E47/$C$88</f>
        <v>-479.40598267892244</v>
      </c>
      <c r="G47" s="13">
        <f t="shared" si="7"/>
        <v>-2002.699999999999</v>
      </c>
      <c r="H47" s="14">
        <f t="shared" si="7"/>
        <v>-53.20386801976514</v>
      </c>
      <c r="I47" s="1"/>
      <c r="J47" s="1"/>
    </row>
    <row r="48" spans="2:15" ht="15.75">
      <c r="B48" s="32" t="s">
        <v>25</v>
      </c>
      <c r="C48" s="17">
        <f>1572.9+18</f>
        <v>1590.9</v>
      </c>
      <c r="D48" s="18">
        <f>C48/$C$88</f>
        <v>42.263960469688115</v>
      </c>
      <c r="E48" s="17">
        <v>-208</v>
      </c>
      <c r="F48" s="18">
        <f>E48/$C$88</f>
        <v>-5.525742521651346</v>
      </c>
      <c r="G48" s="17">
        <f t="shared" si="7"/>
        <v>1382.9</v>
      </c>
      <c r="H48" s="18">
        <f t="shared" si="7"/>
        <v>36.73821794803677</v>
      </c>
      <c r="I48" s="1"/>
      <c r="J48" s="1"/>
      <c r="K48" s="1"/>
      <c r="L48" s="1"/>
      <c r="N48" s="2"/>
      <c r="O48" s="2"/>
    </row>
    <row r="49" spans="2:10" ht="15.75">
      <c r="B49" s="15"/>
      <c r="C49" s="10"/>
      <c r="D49" s="11"/>
      <c r="E49" s="10"/>
      <c r="F49" s="11"/>
      <c r="G49" s="10"/>
      <c r="H49" s="11"/>
      <c r="I49" s="1"/>
      <c r="J49" s="1"/>
    </row>
    <row r="50" spans="2:15" ht="15.75">
      <c r="B50" s="19" t="s">
        <v>27</v>
      </c>
      <c r="C50" s="13">
        <f aca="true" t="shared" si="8" ref="C50:H50">C51+C67</f>
        <v>602253</v>
      </c>
      <c r="D50" s="14">
        <f t="shared" si="8"/>
        <v>15988.844205940171</v>
      </c>
      <c r="E50" s="13">
        <f t="shared" si="8"/>
        <v>-575763.1</v>
      </c>
      <c r="F50" s="14">
        <f t="shared" si="8"/>
        <v>-15279.205934859992</v>
      </c>
      <c r="G50" s="13">
        <f t="shared" si="8"/>
        <v>26489.899999999965</v>
      </c>
      <c r="H50" s="14">
        <f t="shared" si="8"/>
        <v>709.63827108018</v>
      </c>
      <c r="I50" s="1"/>
      <c r="J50" s="1"/>
      <c r="K50" s="1"/>
      <c r="L50" s="1"/>
      <c r="N50" s="2"/>
      <c r="O50" s="2"/>
    </row>
    <row r="51" spans="2:15" ht="15.75">
      <c r="B51" s="12" t="s">
        <v>17</v>
      </c>
      <c r="C51" s="13">
        <f>C52+C55+C63+C65</f>
        <v>227159.09999999998</v>
      </c>
      <c r="D51" s="14">
        <f>D52+D55+D63+D65</f>
        <v>6034.7245098560115</v>
      </c>
      <c r="E51" s="13">
        <f>E52+E55+E63+E65</f>
        <v>-225609</v>
      </c>
      <c r="F51" s="14">
        <f>F52+F55+F63+F65</f>
        <v>-5993.5444450348</v>
      </c>
      <c r="G51" s="13">
        <f aca="true" t="shared" si="9" ref="G51:G62">C51+E51</f>
        <v>1550.0999999999767</v>
      </c>
      <c r="H51" s="14">
        <f aca="true" t="shared" si="10" ref="H51:H62">D51+F51</f>
        <v>41.18006482121109</v>
      </c>
      <c r="I51" s="1"/>
      <c r="J51" s="1"/>
      <c r="K51" s="1"/>
      <c r="L51" s="1"/>
      <c r="N51" s="2"/>
      <c r="O51" s="2"/>
    </row>
    <row r="52" spans="2:15" ht="15.75">
      <c r="B52" s="15" t="s">
        <v>28</v>
      </c>
      <c r="C52" s="13">
        <f>C53+C54</f>
        <v>203996</v>
      </c>
      <c r="D52" s="14">
        <f>D53+D54</f>
        <v>5419.371978109558</v>
      </c>
      <c r="E52" s="13">
        <f>E53+E54</f>
        <v>-214432</v>
      </c>
      <c r="F52" s="14">
        <f>F53+F54</f>
        <v>-5696.615482705488</v>
      </c>
      <c r="G52" s="13">
        <f t="shared" si="9"/>
        <v>-10436</v>
      </c>
      <c r="H52" s="14">
        <f t="shared" si="10"/>
        <v>-277.24350459593006</v>
      </c>
      <c r="I52" s="1"/>
      <c r="J52" s="1"/>
      <c r="K52" s="1"/>
      <c r="L52" s="1"/>
      <c r="N52" s="2"/>
      <c r="O52" s="2"/>
    </row>
    <row r="53" spans="2:15" ht="15.75">
      <c r="B53" s="15" t="s">
        <v>29</v>
      </c>
      <c r="C53" s="13">
        <v>23</v>
      </c>
      <c r="D53" s="14">
        <f>C53/$C$88</f>
        <v>0.6110196057595239</v>
      </c>
      <c r="E53" s="13">
        <v>-81</v>
      </c>
      <c r="F53" s="14">
        <f>E53/$C$88</f>
        <v>-2.1518516550661495</v>
      </c>
      <c r="G53" s="13">
        <f t="shared" si="9"/>
        <v>-58</v>
      </c>
      <c r="H53" s="14">
        <f t="shared" si="10"/>
        <v>-1.5408320493066257</v>
      </c>
      <c r="I53" s="1"/>
      <c r="J53" s="1"/>
      <c r="K53" s="1"/>
      <c r="L53" s="1"/>
      <c r="N53" s="2"/>
      <c r="O53" s="2"/>
    </row>
    <row r="54" spans="2:15" ht="15.75">
      <c r="B54" s="15" t="s">
        <v>30</v>
      </c>
      <c r="C54" s="13">
        <v>203973</v>
      </c>
      <c r="D54" s="14">
        <f>C54/$C$88</f>
        <v>5418.760958503798</v>
      </c>
      <c r="E54" s="13">
        <v>-214351</v>
      </c>
      <c r="F54" s="14">
        <f>E54/$C$88</f>
        <v>-5694.463631050422</v>
      </c>
      <c r="G54" s="13">
        <f t="shared" si="9"/>
        <v>-10378</v>
      </c>
      <c r="H54" s="14">
        <f t="shared" si="10"/>
        <v>-275.70267254662394</v>
      </c>
      <c r="I54" s="1"/>
      <c r="J54" s="1"/>
      <c r="K54" s="1"/>
      <c r="L54" s="1"/>
      <c r="N54" s="2"/>
      <c r="O54" s="2"/>
    </row>
    <row r="55" spans="2:15" ht="15.75">
      <c r="B55" s="15" t="s">
        <v>31</v>
      </c>
      <c r="C55" s="13">
        <f>C56+C57+C60</f>
        <v>2815.9</v>
      </c>
      <c r="D55" s="14">
        <f>D56+D57+D60</f>
        <v>74.80739599383666</v>
      </c>
      <c r="E55" s="13">
        <f>E56+E57+E60</f>
        <v>-5756.1</v>
      </c>
      <c r="F55" s="14">
        <f>F56+F57+F60</f>
        <v>-152.91695446575633</v>
      </c>
      <c r="G55" s="13">
        <f t="shared" si="9"/>
        <v>-2940.2000000000003</v>
      </c>
      <c r="H55" s="14">
        <f t="shared" si="10"/>
        <v>-78.10955847191967</v>
      </c>
      <c r="I55" s="1"/>
      <c r="J55" s="1"/>
      <c r="K55" s="1"/>
      <c r="L55" s="1"/>
      <c r="N55" s="2"/>
      <c r="O55" s="2"/>
    </row>
    <row r="56" spans="2:15" ht="15.75">
      <c r="B56" s="15" t="s">
        <v>21</v>
      </c>
      <c r="C56" s="13">
        <v>603.9</v>
      </c>
      <c r="D56" s="14">
        <f>C56/$C$88</f>
        <v>16.043249561659845</v>
      </c>
      <c r="E56" s="13">
        <v>-82.6</v>
      </c>
      <c r="F56" s="14">
        <f>E56/$C$88</f>
        <v>-2.1943573667711593</v>
      </c>
      <c r="G56" s="13">
        <f t="shared" si="9"/>
        <v>521.3</v>
      </c>
      <c r="H56" s="14">
        <f t="shared" si="10"/>
        <v>13.848892194888686</v>
      </c>
      <c r="I56" s="1"/>
      <c r="J56" s="1"/>
      <c r="K56" s="1"/>
      <c r="L56" s="1"/>
      <c r="N56" s="2"/>
      <c r="O56" s="2"/>
    </row>
    <row r="57" spans="2:12" ht="15.75">
      <c r="B57" s="15" t="s">
        <v>22</v>
      </c>
      <c r="C57" s="13">
        <f>C58+C59</f>
        <v>1841</v>
      </c>
      <c r="D57" s="14">
        <f>D58+D59</f>
        <v>48.90813453057754</v>
      </c>
      <c r="E57" s="13">
        <f>E58+E59</f>
        <v>-5437.5</v>
      </c>
      <c r="F57" s="14">
        <f>F58+F59</f>
        <v>-144.45300462249614</v>
      </c>
      <c r="G57" s="13">
        <f t="shared" si="9"/>
        <v>-3596.5</v>
      </c>
      <c r="H57" s="14">
        <f t="shared" si="10"/>
        <v>-95.5448700919186</v>
      </c>
      <c r="I57" s="1"/>
      <c r="J57" s="1"/>
      <c r="K57" s="1"/>
      <c r="L57" s="1"/>
    </row>
    <row r="58" spans="2:12" ht="15.75">
      <c r="B58" s="15" t="s">
        <v>32</v>
      </c>
      <c r="C58" s="13">
        <v>1841</v>
      </c>
      <c r="D58" s="14">
        <f>C58/$C$88</f>
        <v>48.90813453057754</v>
      </c>
      <c r="E58" s="13">
        <v>-3139.1</v>
      </c>
      <c r="F58" s="14">
        <f>E58/$C$88</f>
        <v>-83.39354975824875</v>
      </c>
      <c r="G58" s="13">
        <f t="shared" si="9"/>
        <v>-1298.1</v>
      </c>
      <c r="H58" s="14">
        <f t="shared" si="10"/>
        <v>-34.48541522767121</v>
      </c>
      <c r="I58" s="1"/>
      <c r="J58" s="1"/>
      <c r="K58" s="1"/>
      <c r="L58" s="1"/>
    </row>
    <row r="59" spans="2:12" ht="15.75">
      <c r="B59" s="15" t="s">
        <v>33</v>
      </c>
      <c r="C59" s="13">
        <v>0</v>
      </c>
      <c r="D59" s="14">
        <f>C59/$C$88</f>
        <v>0</v>
      </c>
      <c r="E59" s="13">
        <v>-2298.4</v>
      </c>
      <c r="F59" s="14">
        <f>E59/$C$88</f>
        <v>-61.05945486424738</v>
      </c>
      <c r="G59" s="13">
        <f t="shared" si="9"/>
        <v>-2298.4</v>
      </c>
      <c r="H59" s="14">
        <f t="shared" si="10"/>
        <v>-61.05945486424738</v>
      </c>
      <c r="I59" s="1"/>
      <c r="J59" s="1"/>
      <c r="K59" s="1"/>
      <c r="L59" s="1"/>
    </row>
    <row r="60" spans="2:12" ht="15.75">
      <c r="B60" s="15" t="s">
        <v>23</v>
      </c>
      <c r="C60" s="13">
        <f>C61+C62</f>
        <v>371</v>
      </c>
      <c r="D60" s="14">
        <f>D61+D62</f>
        <v>9.856011901599278</v>
      </c>
      <c r="E60" s="13">
        <f>E61+E62</f>
        <v>-236</v>
      </c>
      <c r="F60" s="14">
        <f>F61+F62</f>
        <v>-6.269592476489027</v>
      </c>
      <c r="G60" s="13">
        <f t="shared" si="9"/>
        <v>135</v>
      </c>
      <c r="H60" s="14">
        <f t="shared" si="10"/>
        <v>3.5864194251102504</v>
      </c>
      <c r="I60" s="1"/>
      <c r="J60" s="1"/>
      <c r="K60" s="1"/>
      <c r="L60" s="1"/>
    </row>
    <row r="61" spans="2:12" ht="15.75">
      <c r="B61" s="15" t="s">
        <v>32</v>
      </c>
      <c r="C61" s="13">
        <v>82</v>
      </c>
      <c r="D61" s="14">
        <f aca="true" t="shared" si="11" ref="D61:D66">C61/$C$88</f>
        <v>2.178417724881781</v>
      </c>
      <c r="E61" s="13">
        <v>-79</v>
      </c>
      <c r="F61" s="14">
        <f aca="true" t="shared" si="12" ref="F61:F66">E61/$C$88</f>
        <v>-2.0987195154348863</v>
      </c>
      <c r="G61" s="13">
        <f t="shared" si="9"/>
        <v>3</v>
      </c>
      <c r="H61" s="14">
        <f t="shared" si="10"/>
        <v>0.07969820944689454</v>
      </c>
      <c r="I61" s="1"/>
      <c r="J61" s="1"/>
      <c r="K61" s="1"/>
      <c r="L61" s="1"/>
    </row>
    <row r="62" spans="2:12" ht="15.75">
      <c r="B62" s="15" t="s">
        <v>33</v>
      </c>
      <c r="C62" s="13">
        <v>289</v>
      </c>
      <c r="D62" s="14">
        <f t="shared" si="11"/>
        <v>7.677594176717496</v>
      </c>
      <c r="E62" s="13">
        <v>-157</v>
      </c>
      <c r="F62" s="14">
        <f t="shared" si="12"/>
        <v>-4.170872961054141</v>
      </c>
      <c r="G62" s="13">
        <f t="shared" si="9"/>
        <v>132</v>
      </c>
      <c r="H62" s="14">
        <f t="shared" si="10"/>
        <v>3.5067212156633545</v>
      </c>
      <c r="I62" s="1"/>
      <c r="J62" s="1"/>
      <c r="K62" s="1"/>
      <c r="L62" s="1"/>
    </row>
    <row r="63" spans="2:12" ht="15.75">
      <c r="B63" s="15" t="s">
        <v>34</v>
      </c>
      <c r="C63" s="13">
        <v>10111.8</v>
      </c>
      <c r="D63" s="14">
        <f t="shared" si="11"/>
        <v>268.63078476170233</v>
      </c>
      <c r="E63" s="13">
        <v>-2136.5</v>
      </c>
      <c r="F63" s="14">
        <f t="shared" si="12"/>
        <v>-56.75840816109664</v>
      </c>
      <c r="G63" s="13">
        <f>C63+E63</f>
        <v>7975.299999999999</v>
      </c>
      <c r="H63" s="14">
        <f>D63+F63</f>
        <v>211.8723766006057</v>
      </c>
      <c r="I63" s="1"/>
      <c r="J63" s="1"/>
      <c r="K63" s="1"/>
      <c r="L63" s="1"/>
    </row>
    <row r="64" spans="2:12" ht="15.75">
      <c r="B64" s="15" t="s">
        <v>41</v>
      </c>
      <c r="C64" s="13">
        <f>8756.3+1157</f>
        <v>9913.3</v>
      </c>
      <c r="D64" s="14">
        <f t="shared" si="11"/>
        <v>263.35741990329944</v>
      </c>
      <c r="E64" s="13">
        <v>-1207</v>
      </c>
      <c r="F64" s="14">
        <f t="shared" si="12"/>
        <v>-32.06524626746719</v>
      </c>
      <c r="G64" s="13">
        <f>C64+E64</f>
        <v>8706.3</v>
      </c>
      <c r="H64" s="14">
        <f>D64+F64</f>
        <v>231.29217363583226</v>
      </c>
      <c r="I64" s="1"/>
      <c r="J64" s="1"/>
      <c r="K64" s="1"/>
      <c r="L64" s="1"/>
    </row>
    <row r="65" spans="2:12" ht="15.75">
      <c r="B65" s="15" t="s">
        <v>35</v>
      </c>
      <c r="C65" s="13">
        <v>10235.4</v>
      </c>
      <c r="D65" s="14">
        <f t="shared" si="11"/>
        <v>271.9143509909144</v>
      </c>
      <c r="E65" s="13">
        <v>-3284.4</v>
      </c>
      <c r="F65" s="14">
        <f t="shared" si="12"/>
        <v>-87.25359970246001</v>
      </c>
      <c r="G65" s="13">
        <f>+C65+E65</f>
        <v>6951</v>
      </c>
      <c r="H65" s="36">
        <f>+D65+F65</f>
        <v>184.66075128845438</v>
      </c>
      <c r="I65" s="1"/>
      <c r="J65" s="1"/>
      <c r="K65" s="1"/>
      <c r="L65" s="1"/>
    </row>
    <row r="66" spans="2:12" ht="15.75">
      <c r="B66" s="15" t="s">
        <v>41</v>
      </c>
      <c r="C66" s="13">
        <v>0</v>
      </c>
      <c r="D66" s="14">
        <f t="shared" si="11"/>
        <v>0</v>
      </c>
      <c r="E66" s="13">
        <v>-3284.4</v>
      </c>
      <c r="F66" s="14">
        <f t="shared" si="12"/>
        <v>-87.25359970246001</v>
      </c>
      <c r="G66" s="13">
        <f>C66+E66</f>
        <v>-3284.4</v>
      </c>
      <c r="H66" s="14">
        <f>D66+F66</f>
        <v>-87.25359970246001</v>
      </c>
      <c r="I66" s="1"/>
      <c r="J66" s="1"/>
      <c r="K66" s="1"/>
      <c r="L66" s="1"/>
    </row>
    <row r="67" spans="2:12" ht="15.75">
      <c r="B67" s="12" t="s">
        <v>25</v>
      </c>
      <c r="C67" s="13">
        <f>C68+C71+C81+C83</f>
        <v>375093.89999999997</v>
      </c>
      <c r="D67" s="14">
        <f>D68+D71+D81+D83</f>
        <v>9954.11969608416</v>
      </c>
      <c r="E67" s="13">
        <f>E68+E71+E81+E83</f>
        <v>-350154.1</v>
      </c>
      <c r="F67" s="14">
        <f>F68+F71+F81+F83</f>
        <v>-9285.661489825192</v>
      </c>
      <c r="G67" s="13">
        <f>C67+E67</f>
        <v>24939.79999999999</v>
      </c>
      <c r="H67" s="14">
        <f>D67+F67</f>
        <v>668.4582062589689</v>
      </c>
      <c r="I67" s="1"/>
      <c r="J67" s="1"/>
      <c r="K67" s="1"/>
      <c r="L67" s="1"/>
    </row>
    <row r="68" spans="2:12" ht="15.75">
      <c r="B68" s="15" t="s">
        <v>28</v>
      </c>
      <c r="C68" s="13">
        <f aca="true" t="shared" si="13" ref="C68:H68">C69+C70</f>
        <v>235121</v>
      </c>
      <c r="D68" s="14">
        <f t="shared" si="13"/>
        <v>6246.2409011210875</v>
      </c>
      <c r="E68" s="13">
        <f t="shared" si="13"/>
        <v>-237975</v>
      </c>
      <c r="F68" s="14">
        <f t="shared" si="13"/>
        <v>-6322.060464374899</v>
      </c>
      <c r="G68" s="13">
        <f t="shared" si="13"/>
        <v>-2854</v>
      </c>
      <c r="H68" s="14">
        <f t="shared" si="13"/>
        <v>-75.81956325381188</v>
      </c>
      <c r="I68" s="1"/>
      <c r="J68" s="1"/>
      <c r="K68" s="1"/>
      <c r="L68" s="1"/>
    </row>
    <row r="69" spans="2:12" ht="15.75">
      <c r="B69" s="15" t="s">
        <v>29</v>
      </c>
      <c r="C69" s="13">
        <v>596</v>
      </c>
      <c r="D69" s="14">
        <f>C69/$C$88</f>
        <v>15.833377610116358</v>
      </c>
      <c r="E69" s="13">
        <v>-1291</v>
      </c>
      <c r="F69" s="14">
        <f>E69/$C$88</f>
        <v>-34.29679613198023</v>
      </c>
      <c r="G69" s="13">
        <f aca="true" t="shared" si="14" ref="G69:G80">C69+E69</f>
        <v>-695</v>
      </c>
      <c r="H69" s="14">
        <f aca="true" t="shared" si="15" ref="H69:H80">D69+F69</f>
        <v>-18.463418521863872</v>
      </c>
      <c r="I69" s="1"/>
      <c r="J69" s="1"/>
      <c r="K69" s="1"/>
      <c r="L69" s="1"/>
    </row>
    <row r="70" spans="2:12" ht="15.75">
      <c r="B70" s="15" t="s">
        <v>30</v>
      </c>
      <c r="C70" s="13">
        <v>234525</v>
      </c>
      <c r="D70" s="14">
        <f>C70/$C$88</f>
        <v>6230.407523510971</v>
      </c>
      <c r="E70" s="13">
        <v>-236684</v>
      </c>
      <c r="F70" s="14">
        <f>E70/$C$88</f>
        <v>-6287.763668242919</v>
      </c>
      <c r="G70" s="13">
        <f t="shared" si="14"/>
        <v>-2159</v>
      </c>
      <c r="H70" s="14">
        <f t="shared" si="15"/>
        <v>-57.35614473194801</v>
      </c>
      <c r="I70" s="1"/>
      <c r="J70" s="1"/>
      <c r="K70" s="1"/>
      <c r="L70" s="1"/>
    </row>
    <row r="71" spans="2:12" ht="15.75">
      <c r="B71" s="15" t="s">
        <v>31</v>
      </c>
      <c r="C71" s="13">
        <f>C72+C75+C78</f>
        <v>72468.8</v>
      </c>
      <c r="D71" s="14">
        <f>D72+D75+D78</f>
        <v>1914.5601615217042</v>
      </c>
      <c r="E71" s="13">
        <f>E72+E75+E78</f>
        <v>-71383.6</v>
      </c>
      <c r="F71" s="14">
        <f>F72+F75+F78</f>
        <v>-1879.8249242867012</v>
      </c>
      <c r="G71" s="13">
        <f t="shared" si="14"/>
        <v>1085.199999999997</v>
      </c>
      <c r="H71" s="14">
        <f t="shared" si="15"/>
        <v>34.73523723500307</v>
      </c>
      <c r="I71" s="1"/>
      <c r="J71" s="1"/>
      <c r="K71" s="1"/>
      <c r="L71" s="1"/>
    </row>
    <row r="72" spans="2:12" ht="15.75">
      <c r="B72" s="15" t="s">
        <v>21</v>
      </c>
      <c r="C72" s="13">
        <f>C73+C74</f>
        <v>50494.9</v>
      </c>
      <c r="D72" s="14">
        <f>D73+D74</f>
        <v>1330.8</v>
      </c>
      <c r="E72" s="13">
        <f>E73+E74</f>
        <v>-46806.2</v>
      </c>
      <c r="F72" s="14">
        <f>F73+F74</f>
        <v>-1226.9</v>
      </c>
      <c r="G72" s="13">
        <f t="shared" si="14"/>
        <v>3688.7000000000044</v>
      </c>
      <c r="H72" s="14">
        <f t="shared" si="15"/>
        <v>103.89999999999986</v>
      </c>
      <c r="I72" s="1"/>
      <c r="J72" s="1"/>
      <c r="K72" s="1"/>
      <c r="L72" s="1"/>
    </row>
    <row r="73" spans="2:12" ht="15.75">
      <c r="B73" s="15" t="s">
        <v>32</v>
      </c>
      <c r="C73" s="13">
        <v>576.5</v>
      </c>
      <c r="D73" s="14">
        <v>16.3</v>
      </c>
      <c r="E73" s="13">
        <f>-6813.4-287.9-401.4-140.1-68.3-1793.4-168.6</f>
        <v>-9673.1</v>
      </c>
      <c r="F73" s="14">
        <f>-182.7-7.9-10.4-3.6-1.8-46.4-4.3</f>
        <v>-257.1</v>
      </c>
      <c r="G73" s="13">
        <f t="shared" si="14"/>
        <v>-9096.6</v>
      </c>
      <c r="H73" s="14">
        <f t="shared" si="15"/>
        <v>-240.8</v>
      </c>
      <c r="I73" s="1"/>
      <c r="J73" s="1"/>
      <c r="K73" s="1"/>
      <c r="L73" s="1"/>
    </row>
    <row r="74" spans="2:12" ht="15.75">
      <c r="B74" s="15" t="s">
        <v>33</v>
      </c>
      <c r="C74" s="13">
        <v>49918.4</v>
      </c>
      <c r="D74" s="14">
        <v>1314.5</v>
      </c>
      <c r="E74" s="13">
        <v>-37133.1</v>
      </c>
      <c r="F74" s="14">
        <v>-969.8</v>
      </c>
      <c r="G74" s="13">
        <f t="shared" si="14"/>
        <v>12785.300000000003</v>
      </c>
      <c r="H74" s="14">
        <f t="shared" si="15"/>
        <v>344.70000000000005</v>
      </c>
      <c r="I74" s="1"/>
      <c r="J74" s="1"/>
      <c r="K74" s="1"/>
      <c r="L74" s="1"/>
    </row>
    <row r="75" spans="2:12" ht="15.75">
      <c r="B75" s="15" t="s">
        <v>22</v>
      </c>
      <c r="C75" s="13">
        <f>C76+C77</f>
        <v>3755.8999999999996</v>
      </c>
      <c r="D75" s="14">
        <f>D76+D77</f>
        <v>99.77950162053025</v>
      </c>
      <c r="E75" s="13">
        <f>E76+E77</f>
        <v>-1206.4</v>
      </c>
      <c r="F75" s="14">
        <f>F76+F77</f>
        <v>-32.04930662557781</v>
      </c>
      <c r="G75" s="13">
        <f t="shared" si="14"/>
        <v>2549.4999999999995</v>
      </c>
      <c r="H75" s="14">
        <f t="shared" si="15"/>
        <v>67.73019499495244</v>
      </c>
      <c r="I75" s="1"/>
      <c r="J75" s="1"/>
      <c r="K75" s="1"/>
      <c r="L75" s="1"/>
    </row>
    <row r="76" spans="2:12" ht="15.75">
      <c r="B76" s="15" t="s">
        <v>32</v>
      </c>
      <c r="C76" s="13">
        <v>1947.1</v>
      </c>
      <c r="D76" s="14">
        <f>C76/$C$88</f>
        <v>51.72679453801604</v>
      </c>
      <c r="E76" s="13">
        <v>-1206.4</v>
      </c>
      <c r="F76" s="14">
        <f>E76/$C$88</f>
        <v>-32.04930662557781</v>
      </c>
      <c r="G76" s="13">
        <f t="shared" si="14"/>
        <v>740.6999999999998</v>
      </c>
      <c r="H76" s="14">
        <f t="shared" si="15"/>
        <v>19.677487912438224</v>
      </c>
      <c r="I76" s="1"/>
      <c r="J76" s="1"/>
      <c r="K76" s="1"/>
      <c r="L76" s="1"/>
    </row>
    <row r="77" spans="2:12" ht="15.75">
      <c r="B77" s="15" t="s">
        <v>33</v>
      </c>
      <c r="C77" s="13">
        <v>1808.8</v>
      </c>
      <c r="D77" s="14">
        <f>C77/$C$88</f>
        <v>48.05270708251421</v>
      </c>
      <c r="E77" s="13">
        <v>0</v>
      </c>
      <c r="F77" s="14">
        <f>E77/$C$88</f>
        <v>0</v>
      </c>
      <c r="G77" s="13">
        <f t="shared" si="14"/>
        <v>1808.8</v>
      </c>
      <c r="H77" s="14">
        <f t="shared" si="15"/>
        <v>48.05270708251421</v>
      </c>
      <c r="I77" s="1"/>
      <c r="J77" s="1"/>
      <c r="K77" s="1"/>
      <c r="L77" s="1"/>
    </row>
    <row r="78" spans="2:12" ht="15.75">
      <c r="B78" s="15" t="s">
        <v>23</v>
      </c>
      <c r="C78" s="13">
        <f>C79+C80</f>
        <v>18218</v>
      </c>
      <c r="D78" s="14">
        <f>D79+D80</f>
        <v>483.98065990117414</v>
      </c>
      <c r="E78" s="13">
        <f>E79+E80</f>
        <v>-23371</v>
      </c>
      <c r="F78" s="14">
        <f>F79+F80</f>
        <v>-620.8756176611232</v>
      </c>
      <c r="G78" s="13">
        <f t="shared" si="14"/>
        <v>-5153</v>
      </c>
      <c r="H78" s="14">
        <f t="shared" si="15"/>
        <v>-136.89495775994908</v>
      </c>
      <c r="I78" s="1"/>
      <c r="J78" s="1"/>
      <c r="K78" s="1"/>
      <c r="L78" s="1"/>
    </row>
    <row r="79" spans="2:12" ht="15.75">
      <c r="B79" s="15" t="s">
        <v>32</v>
      </c>
      <c r="C79" s="13">
        <v>9193</v>
      </c>
      <c r="D79" s="14">
        <f aca="true" t="shared" si="16" ref="D79:D84">C79/$C$88</f>
        <v>244.22187981510012</v>
      </c>
      <c r="E79" s="13">
        <v>-12961</v>
      </c>
      <c r="F79" s="14">
        <f aca="true" t="shared" si="17" ref="F79:F84">E79/$C$88</f>
        <v>-344.3228308803995</v>
      </c>
      <c r="G79" s="13">
        <f t="shared" si="14"/>
        <v>-3768</v>
      </c>
      <c r="H79" s="14">
        <f t="shared" si="15"/>
        <v>-100.1009510652994</v>
      </c>
      <c r="I79" s="1"/>
      <c r="J79" s="1"/>
      <c r="K79" s="1"/>
      <c r="L79" s="1"/>
    </row>
    <row r="80" spans="2:12" ht="15.75">
      <c r="B80" s="15" t="s">
        <v>33</v>
      </c>
      <c r="C80" s="13">
        <v>9025</v>
      </c>
      <c r="D80" s="14">
        <f t="shared" si="16"/>
        <v>239.75878008607404</v>
      </c>
      <c r="E80" s="13">
        <v>-10410</v>
      </c>
      <c r="F80" s="14">
        <f t="shared" si="17"/>
        <v>-276.55278678072364</v>
      </c>
      <c r="G80" s="13">
        <f t="shared" si="14"/>
        <v>-1385</v>
      </c>
      <c r="H80" s="14">
        <f t="shared" si="15"/>
        <v>-36.794006694649596</v>
      </c>
      <c r="I80" s="1"/>
      <c r="J80" s="1"/>
      <c r="K80" s="1"/>
      <c r="L80" s="1"/>
    </row>
    <row r="81" spans="2:12" ht="15.75">
      <c r="B81" s="15" t="s">
        <v>34</v>
      </c>
      <c r="C81" s="13">
        <v>8039.3</v>
      </c>
      <c r="D81" s="14">
        <f t="shared" si="16"/>
        <v>213.5726050688061</v>
      </c>
      <c r="E81" s="13">
        <v>-6302.3</v>
      </c>
      <c r="F81" s="14">
        <f t="shared" si="17"/>
        <v>-167.42734179905423</v>
      </c>
      <c r="G81" s="13">
        <f>C81+E81</f>
        <v>1737</v>
      </c>
      <c r="H81" s="14">
        <f>D81+F81</f>
        <v>46.145263269751865</v>
      </c>
      <c r="I81" s="1"/>
      <c r="J81" s="1"/>
      <c r="K81" s="1"/>
      <c r="L81" s="1"/>
    </row>
    <row r="82" spans="2:12" ht="15.75">
      <c r="B82" s="15" t="s">
        <v>42</v>
      </c>
      <c r="C82" s="13">
        <v>0</v>
      </c>
      <c r="D82" s="14">
        <f t="shared" si="16"/>
        <v>0</v>
      </c>
      <c r="E82" s="13">
        <v>-1441.7</v>
      </c>
      <c r="F82" s="14">
        <f t="shared" si="17"/>
        <v>-38.300302853195895</v>
      </c>
      <c r="G82" s="13">
        <f aca="true" t="shared" si="18" ref="G82:H84">C82+E82</f>
        <v>-1441.7</v>
      </c>
      <c r="H82" s="14">
        <f t="shared" si="18"/>
        <v>-38.300302853195895</v>
      </c>
      <c r="I82" s="1"/>
      <c r="J82" s="1"/>
      <c r="K82" s="1"/>
      <c r="L82" s="1"/>
    </row>
    <row r="83" spans="2:12" ht="15.75">
      <c r="B83" s="15" t="s">
        <v>36</v>
      </c>
      <c r="C83" s="13">
        <v>59464.8</v>
      </c>
      <c r="D83" s="14">
        <f t="shared" si="16"/>
        <v>1579.7460283725625</v>
      </c>
      <c r="E83" s="13">
        <v>-34493.2</v>
      </c>
      <c r="F83" s="14">
        <f t="shared" si="17"/>
        <v>-916.3487593645394</v>
      </c>
      <c r="G83" s="13">
        <f t="shared" si="18"/>
        <v>24971.600000000006</v>
      </c>
      <c r="H83" s="14">
        <f t="shared" si="18"/>
        <v>663.397269008023</v>
      </c>
      <c r="I83" s="1"/>
      <c r="J83" s="1"/>
      <c r="K83" s="1"/>
      <c r="L83" s="1"/>
    </row>
    <row r="84" spans="2:12" ht="16.5" thickBot="1">
      <c r="B84" s="15" t="s">
        <v>42</v>
      </c>
      <c r="C84" s="13">
        <v>28428.5</v>
      </c>
      <c r="D84" s="14">
        <f t="shared" si="16"/>
        <v>755.2335157536793</v>
      </c>
      <c r="E84" s="13">
        <v>0</v>
      </c>
      <c r="F84" s="14">
        <f t="shared" si="17"/>
        <v>0</v>
      </c>
      <c r="G84" s="13">
        <f t="shared" si="18"/>
        <v>28428.5</v>
      </c>
      <c r="H84" s="14">
        <f t="shared" si="18"/>
        <v>755.2335157536793</v>
      </c>
      <c r="I84" s="1"/>
      <c r="J84" s="1"/>
      <c r="K84" s="1"/>
      <c r="L84" s="1"/>
    </row>
    <row r="85" spans="2:12" ht="21.75" customHeight="1" thickBot="1" thickTop="1">
      <c r="B85" s="20" t="s">
        <v>37</v>
      </c>
      <c r="C85" s="33">
        <f aca="true" t="shared" si="19" ref="C85:H85">C10+C28+C50+C46</f>
        <v>1018849.5</v>
      </c>
      <c r="D85" s="34">
        <f t="shared" si="19"/>
        <v>27105.47590988789</v>
      </c>
      <c r="E85" s="33">
        <f t="shared" si="19"/>
        <v>-990368.5</v>
      </c>
      <c r="F85" s="34">
        <f t="shared" si="19"/>
        <v>-26369.941937197804</v>
      </c>
      <c r="G85" s="33">
        <f t="shared" si="19"/>
        <v>28481.00000000002</v>
      </c>
      <c r="H85" s="34">
        <f t="shared" si="19"/>
        <v>735.5339726900847</v>
      </c>
      <c r="I85" s="1"/>
      <c r="J85" s="1"/>
      <c r="K85" s="1"/>
      <c r="L85" s="1"/>
    </row>
    <row r="86" spans="2:9" ht="16.5" thickTop="1">
      <c r="B86" s="24"/>
      <c r="C86" s="22"/>
      <c r="D86" s="22"/>
      <c r="E86" s="22"/>
      <c r="F86" s="22"/>
      <c r="G86" s="22"/>
      <c r="H86" s="22"/>
      <c r="I86" s="1"/>
    </row>
    <row r="87" spans="2:9" ht="15.75">
      <c r="B87" s="35" t="s">
        <v>2</v>
      </c>
      <c r="C87" s="22"/>
      <c r="D87" s="22"/>
      <c r="E87" s="22"/>
      <c r="F87" s="22"/>
      <c r="G87" s="22"/>
      <c r="H87" s="22"/>
      <c r="I87" s="1"/>
    </row>
    <row r="88" spans="2:9" ht="15.75">
      <c r="B88" s="25" t="s">
        <v>3</v>
      </c>
      <c r="C88" s="27">
        <v>37.642</v>
      </c>
      <c r="D88" s="22" t="s">
        <v>4</v>
      </c>
      <c r="E88" s="22"/>
      <c r="F88" s="22"/>
      <c r="G88" s="22"/>
      <c r="H88" s="22"/>
      <c r="I88" s="1"/>
    </row>
    <row r="89" spans="2:9" ht="15.75">
      <c r="B89" s="21"/>
      <c r="C89" s="22"/>
      <c r="D89" s="22"/>
      <c r="E89" s="22"/>
      <c r="F89" s="22"/>
      <c r="G89" s="22"/>
      <c r="H89" s="22"/>
      <c r="I89" s="1"/>
    </row>
    <row r="90" spans="3:9" ht="15">
      <c r="C90" s="1"/>
      <c r="D90" s="1"/>
      <c r="E90" s="1"/>
      <c r="F90" s="1"/>
      <c r="G90" s="1"/>
      <c r="H90" s="1"/>
      <c r="I90" s="1"/>
    </row>
    <row r="91" spans="3:9" ht="15">
      <c r="C91" s="1"/>
      <c r="D91" s="1"/>
      <c r="E91" s="1"/>
      <c r="F91" s="1"/>
      <c r="G91" s="1"/>
      <c r="H91" s="1"/>
      <c r="I91" s="1"/>
    </row>
    <row r="92" spans="3:9" ht="15">
      <c r="C92" s="1"/>
      <c r="D92" s="1"/>
      <c r="E92" s="1"/>
      <c r="F92" s="1"/>
      <c r="G92" s="1"/>
      <c r="H92" s="1"/>
      <c r="I92" s="1"/>
    </row>
    <row r="93" spans="3:9" ht="15">
      <c r="C93" s="1"/>
      <c r="D93" s="1"/>
      <c r="E93" s="1"/>
      <c r="F93" s="1"/>
      <c r="G93" s="1"/>
      <c r="H93" s="1"/>
      <c r="I93" s="1"/>
    </row>
    <row r="94" spans="3:9" ht="15">
      <c r="C94" s="1"/>
      <c r="D94" s="1"/>
      <c r="E94" s="1"/>
      <c r="F94" s="1"/>
      <c r="G94" s="1"/>
      <c r="H94" s="1"/>
      <c r="I94" s="1"/>
    </row>
    <row r="95" spans="3:9" ht="15">
      <c r="C95" s="1"/>
      <c r="D95" s="1"/>
      <c r="E95" s="1"/>
      <c r="F95" s="1"/>
      <c r="G95" s="1"/>
      <c r="H95" s="1"/>
      <c r="I95" s="1"/>
    </row>
    <row r="96" spans="3:9" ht="15">
      <c r="C96" s="1"/>
      <c r="D96" s="1"/>
      <c r="E96" s="1"/>
      <c r="F96" s="1"/>
      <c r="G96" s="1"/>
      <c r="H96" s="1"/>
      <c r="I96" s="1"/>
    </row>
    <row r="97" spans="3:9" ht="15">
      <c r="C97" s="1"/>
      <c r="D97" s="1"/>
      <c r="E97" s="1"/>
      <c r="F97" s="1"/>
      <c r="G97" s="1"/>
      <c r="H97" s="1"/>
      <c r="I97" s="1"/>
    </row>
    <row r="98" spans="3:9" ht="15">
      <c r="C98" s="1"/>
      <c r="D98" s="1"/>
      <c r="E98" s="1"/>
      <c r="F98" s="1"/>
      <c r="G98" s="1"/>
      <c r="H98" s="1"/>
      <c r="I98" s="1"/>
    </row>
    <row r="99" spans="3:9" ht="15">
      <c r="C99" s="1"/>
      <c r="D99" s="1"/>
      <c r="E99" s="1"/>
      <c r="F99" s="1"/>
      <c r="G99" s="1"/>
      <c r="H99" s="1"/>
      <c r="I99" s="1"/>
    </row>
    <row r="100" spans="3:9" ht="15">
      <c r="C100" s="1"/>
      <c r="D100" s="1"/>
      <c r="E100" s="1"/>
      <c r="F100" s="1"/>
      <c r="G100" s="1"/>
      <c r="H100" s="1"/>
      <c r="I100" s="1"/>
    </row>
    <row r="101" spans="3:9" ht="15">
      <c r="C101" s="1"/>
      <c r="D101" s="1"/>
      <c r="E101" s="1"/>
      <c r="F101" s="1"/>
      <c r="G101" s="1"/>
      <c r="H101" s="1"/>
      <c r="I101" s="1"/>
    </row>
    <row r="102" spans="3:9" ht="15">
      <c r="C102" s="1"/>
      <c r="D102" s="1"/>
      <c r="E102" s="1"/>
      <c r="F102" s="1"/>
      <c r="G102" s="1"/>
      <c r="H102" s="1"/>
      <c r="I102" s="1"/>
    </row>
    <row r="103" spans="3:9" ht="15">
      <c r="C103" s="1"/>
      <c r="D103" s="1"/>
      <c r="E103" s="1"/>
      <c r="F103" s="1"/>
      <c r="G103" s="1"/>
      <c r="H103" s="1"/>
      <c r="I103" s="1"/>
    </row>
    <row r="104" spans="3:9" ht="15">
      <c r="C104" s="1"/>
      <c r="D104" s="1"/>
      <c r="E104" s="1"/>
      <c r="F104" s="1"/>
      <c r="G104" s="1"/>
      <c r="H104" s="1"/>
      <c r="I104" s="1"/>
    </row>
    <row r="105" spans="3:9" ht="15">
      <c r="C105" s="1"/>
      <c r="D105" s="1"/>
      <c r="E105" s="1"/>
      <c r="F105" s="1"/>
      <c r="G105" s="1"/>
      <c r="H105" s="1"/>
      <c r="I105" s="1"/>
    </row>
    <row r="106" spans="3:9" ht="15">
      <c r="C106" s="1"/>
      <c r="D106" s="1"/>
      <c r="E106" s="1"/>
      <c r="F106" s="1"/>
      <c r="G106" s="1"/>
      <c r="H106" s="1"/>
      <c r="I106" s="1"/>
    </row>
    <row r="107" spans="3:9" ht="15">
      <c r="C107" s="1"/>
      <c r="D107" s="1"/>
      <c r="E107" s="1"/>
      <c r="F107" s="1"/>
      <c r="G107" s="1"/>
      <c r="H107" s="1"/>
      <c r="I107" s="1"/>
    </row>
    <row r="108" spans="3:9" ht="15">
      <c r="C108" s="1"/>
      <c r="D108" s="1"/>
      <c r="E108" s="1"/>
      <c r="F108" s="1"/>
      <c r="G108" s="1"/>
      <c r="H108" s="1"/>
      <c r="I108" s="1"/>
    </row>
    <row r="109" spans="3:9" ht="15">
      <c r="C109" s="1"/>
      <c r="D109" s="1"/>
      <c r="E109" s="1"/>
      <c r="F109" s="1"/>
      <c r="G109" s="1"/>
      <c r="H109" s="1"/>
      <c r="I109" s="1"/>
    </row>
    <row r="110" spans="3:9" ht="15">
      <c r="C110" s="1"/>
      <c r="D110" s="1"/>
      <c r="E110" s="1"/>
      <c r="F110" s="1"/>
      <c r="G110" s="1"/>
      <c r="H110" s="1"/>
      <c r="I110" s="1"/>
    </row>
    <row r="111" spans="3:9" ht="15">
      <c r="C111" s="1"/>
      <c r="D111" s="1"/>
      <c r="E111" s="1"/>
      <c r="F111" s="1"/>
      <c r="G111" s="1"/>
      <c r="H111" s="1"/>
      <c r="I111" s="1"/>
    </row>
    <row r="112" spans="3:9" ht="15">
      <c r="C112" s="1"/>
      <c r="D112" s="1"/>
      <c r="E112" s="1"/>
      <c r="F112" s="1"/>
      <c r="G112" s="1"/>
      <c r="H112" s="1"/>
      <c r="I112" s="1"/>
    </row>
    <row r="113" spans="3:9" ht="15">
      <c r="C113" s="1"/>
      <c r="D113" s="1"/>
      <c r="E113" s="1"/>
      <c r="F113" s="1"/>
      <c r="G113" s="1"/>
      <c r="H113" s="1"/>
      <c r="I113" s="1"/>
    </row>
    <row r="114" spans="3:9" ht="15">
      <c r="C114" s="1"/>
      <c r="D114" s="1"/>
      <c r="E114" s="1"/>
      <c r="F114" s="1"/>
      <c r="G114" s="1"/>
      <c r="H114" s="1"/>
      <c r="I114" s="1"/>
    </row>
    <row r="115" spans="3:9" ht="15">
      <c r="C115" s="1"/>
      <c r="D115" s="1"/>
      <c r="E115" s="1"/>
      <c r="F115" s="1"/>
      <c r="G115" s="1"/>
      <c r="H115" s="1"/>
      <c r="I115" s="1"/>
    </row>
    <row r="116" spans="3:9" ht="15">
      <c r="C116" s="1"/>
      <c r="D116" s="1"/>
      <c r="E116" s="1"/>
      <c r="F116" s="1"/>
      <c r="G116" s="1"/>
      <c r="H116" s="1"/>
      <c r="I116" s="1"/>
    </row>
    <row r="117" spans="3:9" ht="15">
      <c r="C117" s="1"/>
      <c r="D117" s="1"/>
      <c r="E117" s="1"/>
      <c r="F117" s="1"/>
      <c r="G117" s="1"/>
      <c r="H117" s="1"/>
      <c r="I117" s="1"/>
    </row>
    <row r="118" spans="3:9" ht="15">
      <c r="C118" s="1"/>
      <c r="D118" s="1"/>
      <c r="E118" s="1"/>
      <c r="F118" s="1"/>
      <c r="G118" s="1"/>
      <c r="H118" s="1"/>
      <c r="I118" s="1"/>
    </row>
  </sheetData>
  <printOptions/>
  <pageMargins left="0.551" right="0.551" top="0.984" bottom="0.551" header="0.5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Skamlova</cp:lastModifiedBy>
  <cp:lastPrinted>2003-09-10T07:25:10Z</cp:lastPrinted>
  <dcterms:created xsi:type="dcterms:W3CDTF">2003-08-26T09:17:07Z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