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tabRatio="903" firstSheet="2" activeTab="4"/>
  </bookViews>
  <sheets>
    <sheet name="zoznam príloh" sheetId="1" r:id="rId1"/>
    <sheet name="Pr9" sheetId="2" r:id="rId2"/>
    <sheet name="Pr1-VPI_DÚ" sheetId="3" r:id="rId3"/>
    <sheet name="Pr2-Investície_2003" sheetId="4" r:id="rId4"/>
    <sheet name="Pr3-ZVVZ" sheetId="5" r:id="rId5"/>
    <sheet name="Pr4-ÚŠZ_03" sheetId="6" r:id="rId6"/>
    <sheet name="Pr5-ÚŠZ_04" sheetId="7" r:id="rId7"/>
    <sheet name="Pr6-Výkaz Z a S" sheetId="8" r:id="rId8"/>
    <sheet name="Pr6a-Výkaz Z a S" sheetId="9" r:id="rId9"/>
    <sheet name="Pr7-súvaha" sheetId="10" r:id="rId10"/>
    <sheet name="Pr8-pomerové ukaz." sheetId="11" r:id="rId11"/>
  </sheets>
  <definedNames/>
  <calcPr fullCalcOnLoad="1"/>
</workbook>
</file>

<file path=xl/sharedStrings.xml><?xml version="1.0" encoding="utf-8"?>
<sst xmlns="http://schemas.openxmlformats.org/spreadsheetml/2006/main" count="609" uniqueCount="418">
  <si>
    <t>Inštitúcia</t>
  </si>
  <si>
    <t>Spolu</t>
  </si>
  <si>
    <t>z toho po lehote splatnosti</t>
  </si>
  <si>
    <t>spolu</t>
  </si>
  <si>
    <t>Spoločná zdravotná poisťovňa</t>
  </si>
  <si>
    <t>Daňový úrad</t>
  </si>
  <si>
    <t>SPOLU</t>
  </si>
  <si>
    <t>Lučenec</t>
  </si>
  <si>
    <t>Žilina I</t>
  </si>
  <si>
    <t>Košice I</t>
  </si>
  <si>
    <t>Košice IV</t>
  </si>
  <si>
    <t>Prešov</t>
  </si>
  <si>
    <t>Trebišov</t>
  </si>
  <si>
    <t>Rožňava</t>
  </si>
  <si>
    <t>Kr. Chlmec</t>
  </si>
  <si>
    <t>Obstarávanie DHM a DNM spolu</t>
  </si>
  <si>
    <t>Ročný roz.</t>
  </si>
  <si>
    <t>Limit</t>
  </si>
  <si>
    <t>Zúčtov.</t>
  </si>
  <si>
    <t>Uhradené</t>
  </si>
  <si>
    <t>% zúčt.</t>
  </si>
  <si>
    <t>% uhrad.</t>
  </si>
  <si>
    <t>% uhr.</t>
  </si>
  <si>
    <t>(v tis. Sk)</t>
  </si>
  <si>
    <t>dotácie za</t>
  </si>
  <si>
    <t xml:space="preserve">pr. a dod. </t>
  </si>
  <si>
    <t>z roč.</t>
  </si>
  <si>
    <t>k limitu</t>
  </si>
  <si>
    <t>rozpisu</t>
  </si>
  <si>
    <t>dotácie</t>
  </si>
  <si>
    <t xml:space="preserve">DHM  - c e l k o m </t>
  </si>
  <si>
    <t xml:space="preserve"> </t>
  </si>
  <si>
    <t>1) Cudzie zdroje štátna dotácia</t>
  </si>
  <si>
    <t>z toho: štátna dotácia- indiv. výdavky</t>
  </si>
  <si>
    <t xml:space="preserve">            z depozitného účtu r. 2001 a 2002</t>
  </si>
  <si>
    <t>2) Ost. cudzie zdroje spolu</t>
  </si>
  <si>
    <t xml:space="preserve">           príspevok ISPA z VPS</t>
  </si>
  <si>
    <t xml:space="preserve">           akreditív -Bombardier</t>
  </si>
  <si>
    <t>4) Sponzornské dary ŽSR spolu</t>
  </si>
  <si>
    <t>ZVVZ 2002</t>
  </si>
  <si>
    <t>ZVVZ 2003</t>
  </si>
  <si>
    <t>Plnenie EON</t>
  </si>
  <si>
    <t xml:space="preserve">Položka </t>
  </si>
  <si>
    <t>skutočnosť</t>
  </si>
  <si>
    <t>plán</t>
  </si>
  <si>
    <t>EON</t>
  </si>
  <si>
    <t xml:space="preserve"> ZVVZ v %</t>
  </si>
  <si>
    <t>Trate celkom (vlakové úseky v km)</t>
  </si>
  <si>
    <t>Dopravný výkon OD celkom (tis.vlkm)</t>
  </si>
  <si>
    <t>Dopravný výkon ND celkom (tis.vlkm)</t>
  </si>
  <si>
    <t>Dopravný výkon OD celkom (mil.hrtkm)</t>
  </si>
  <si>
    <t>Dopravný výkon ND celkom (mil.hrtkm)</t>
  </si>
  <si>
    <t xml:space="preserve">Ekonomicky oprávnené náklady (tis.Sk) </t>
  </si>
  <si>
    <t>1.Spotreba materiálu</t>
  </si>
  <si>
    <t>2.Spotreba energií</t>
  </si>
  <si>
    <t>3.Opravy a údržba</t>
  </si>
  <si>
    <t>4.Mzdové náklady</t>
  </si>
  <si>
    <t>5.Odpisy NIM a HIM</t>
  </si>
  <si>
    <t>6.Ostatné priame náklady</t>
  </si>
  <si>
    <t xml:space="preserve">   Zákonné soc. poistenie</t>
  </si>
  <si>
    <t xml:space="preserve">  Cestovné</t>
  </si>
  <si>
    <t xml:space="preserve">  Ostatné služby</t>
  </si>
  <si>
    <t xml:space="preserve">  Iné priame náklady</t>
  </si>
  <si>
    <t>7.Režijné náklady</t>
  </si>
  <si>
    <t xml:space="preserve">  Prevádzková réžia</t>
  </si>
  <si>
    <t xml:space="preserve">  Správna réžia</t>
  </si>
  <si>
    <t>8. Finančné náklady</t>
  </si>
  <si>
    <t xml:space="preserve">9. Konsolidačná funkcia </t>
  </si>
  <si>
    <t xml:space="preserve">  Úplné vlastné náklady</t>
  </si>
  <si>
    <t>Výnosy (tis.Sk):</t>
  </si>
  <si>
    <t>Výnosy - poplatok za ŽDC ŽS, a.s.</t>
  </si>
  <si>
    <t>Výnosy - poplatok za ŽDC iní dopravcovia</t>
  </si>
  <si>
    <t>Výnosy z fin. operácií a ost. tržby</t>
  </si>
  <si>
    <t>Výnosy celkom (tis.Sk)</t>
  </si>
  <si>
    <t>Strata celkom (tis.Sk)</t>
  </si>
  <si>
    <t>Poplatok za použitie ŽDC celkom (tis.Sk)</t>
  </si>
  <si>
    <r>
      <t>tis</t>
    </r>
    <r>
      <rPr>
        <sz val="9"/>
        <rFont val="Times New Roman CE"/>
        <family val="1"/>
      </rPr>
      <t>.vlkm celkom</t>
    </r>
  </si>
  <si>
    <t>Priemerný poplatok za ŽDC  v Sk/vlkm</t>
  </si>
  <si>
    <t>Priemerné EON v Sk/vlkm</t>
  </si>
  <si>
    <t>Strata bez zásadných vplyvov</t>
  </si>
  <si>
    <t>Plán KF</t>
  </si>
  <si>
    <t>Skutočnosť</t>
  </si>
  <si>
    <t>Plnenie KF</t>
  </si>
  <si>
    <t xml:space="preserve"> k 31.12.2003</t>
  </si>
  <si>
    <t>% plnenia</t>
  </si>
  <si>
    <t>rozdiel ku KF</t>
  </si>
  <si>
    <t>3  -  2</t>
  </si>
  <si>
    <t>3 / 2</t>
  </si>
  <si>
    <t>Tržby za predaj tovaru</t>
  </si>
  <si>
    <t>Nákl. vynaložené na obstaranie pred. tovaru</t>
  </si>
  <si>
    <t>Obchodná marža</t>
  </si>
  <si>
    <t>Výroba</t>
  </si>
  <si>
    <t>Tržby z predaja vl. výrobkov a služieb</t>
  </si>
  <si>
    <t>Zmena stavu vnútroorganizačných zásob</t>
  </si>
  <si>
    <t>Aktivácia</t>
  </si>
  <si>
    <t>Výrobná spotreba</t>
  </si>
  <si>
    <t>Spotreba materiálu, energie a ost.</t>
  </si>
  <si>
    <t>Služby</t>
  </si>
  <si>
    <t>Pridaná hodnota</t>
  </si>
  <si>
    <t>Osobné náklady</t>
  </si>
  <si>
    <t>Dane a poplatky</t>
  </si>
  <si>
    <t>Odpisy dlhodobého NM a HM</t>
  </si>
  <si>
    <t>Tržby z predaja dlh. majetku a materiálu</t>
  </si>
  <si>
    <t>Zost.cena pred. dlh. majetku a materiálu</t>
  </si>
  <si>
    <t>Tvorba rezerv a zúčt. kompl. nákl. bud. obd.</t>
  </si>
  <si>
    <t>Zúčt. rezerv a vznik kompl. nákl. bud. obd.</t>
  </si>
  <si>
    <t>Zúčt. oprav. položiek do výnosov</t>
  </si>
  <si>
    <t>Tvorba oprav.položiek do nákladov</t>
  </si>
  <si>
    <t>Ostatné náklady na hosp. činnosť</t>
  </si>
  <si>
    <t>Ostatné výnosy z hosp. činnosti</t>
  </si>
  <si>
    <t>Výnosy z hosp. činnosti spolu</t>
  </si>
  <si>
    <t>Náklady na hosp. činnosť spolu</t>
  </si>
  <si>
    <t>Výsledok hospodárenia z hosp. činnosti</t>
  </si>
  <si>
    <t>Finančné výnosy</t>
  </si>
  <si>
    <t>Finančné náklady celkom</t>
  </si>
  <si>
    <t>z toho :  úroky</t>
  </si>
  <si>
    <t xml:space="preserve">             iné fin.nákl.</t>
  </si>
  <si>
    <t>Výsledok hospodárenia z fin. činnosti</t>
  </si>
  <si>
    <t>Daň z príjmov z bežnej činnosti</t>
  </si>
  <si>
    <t>Výsledok hospodárenia z bež. činnosti</t>
  </si>
  <si>
    <t>Mimoriadne výnosy</t>
  </si>
  <si>
    <t>Mimoriadne náklady</t>
  </si>
  <si>
    <t>Daň z príjmov z mimor. činnosti</t>
  </si>
  <si>
    <t>Výsledok hospodárenia z mim. činnosti</t>
  </si>
  <si>
    <t>Výnosy celkom</t>
  </si>
  <si>
    <t>Náklady celkom</t>
  </si>
  <si>
    <t>Hospodársky výsledok</t>
  </si>
  <si>
    <t xml:space="preserve"> k 31.12.2002</t>
  </si>
  <si>
    <t>I.</t>
  </si>
  <si>
    <t>Aktíva celkom</t>
  </si>
  <si>
    <t>I.1.</t>
  </si>
  <si>
    <t>Neobežný majetok</t>
  </si>
  <si>
    <t>I.1.1.</t>
  </si>
  <si>
    <t>Dlhodobý NM</t>
  </si>
  <si>
    <t>I.1.2.</t>
  </si>
  <si>
    <t>Dlhodobý HM</t>
  </si>
  <si>
    <t>I.1.3.</t>
  </si>
  <si>
    <t>Dlhodobý FM</t>
  </si>
  <si>
    <t>I.2.</t>
  </si>
  <si>
    <t>Obežný majetok</t>
  </si>
  <si>
    <t>I.2.1.</t>
  </si>
  <si>
    <t>Zásoby</t>
  </si>
  <si>
    <t>I.2.2.</t>
  </si>
  <si>
    <t>Dlhodobé pohľadávky</t>
  </si>
  <si>
    <t>I.2.3.</t>
  </si>
  <si>
    <t>Krátkodobé pohľadávky</t>
  </si>
  <si>
    <t>I.2.4.</t>
  </si>
  <si>
    <t>Finančné účty</t>
  </si>
  <si>
    <t>I.3.</t>
  </si>
  <si>
    <t>Časové rozlíšenie</t>
  </si>
  <si>
    <t>II.</t>
  </si>
  <si>
    <t>Pasíva celkom</t>
  </si>
  <si>
    <t>II.1.</t>
  </si>
  <si>
    <t>Vlastné imanie</t>
  </si>
  <si>
    <t>II.1.1.</t>
  </si>
  <si>
    <t>Základné imanie</t>
  </si>
  <si>
    <t>II.1.2.</t>
  </si>
  <si>
    <t>Kapitálové fondy</t>
  </si>
  <si>
    <t>II.1.3.</t>
  </si>
  <si>
    <t>Fondy zo zisku</t>
  </si>
  <si>
    <t>II.1.4.</t>
  </si>
  <si>
    <t>HV minulých rokov</t>
  </si>
  <si>
    <t>II.1.5.</t>
  </si>
  <si>
    <t>HV bežného obdobia</t>
  </si>
  <si>
    <t>II.2.</t>
  </si>
  <si>
    <t>Záväzky</t>
  </si>
  <si>
    <t>II.2.1.</t>
  </si>
  <si>
    <t>Rezervy</t>
  </si>
  <si>
    <t>II.2.2.</t>
  </si>
  <si>
    <t>Dlhodobé záväzky</t>
  </si>
  <si>
    <t>II.2.3.</t>
  </si>
  <si>
    <t>Krátkodobé záväzky</t>
  </si>
  <si>
    <t>II.2.4.</t>
  </si>
  <si>
    <t>Bankové úvery a výpomoci krátk.</t>
  </si>
  <si>
    <t>II.2.5.</t>
  </si>
  <si>
    <t>Dlhodobé bankové úvery</t>
  </si>
  <si>
    <t>II.3.</t>
  </si>
  <si>
    <t>Názov položky</t>
  </si>
  <si>
    <t>Pracovný kapitál</t>
  </si>
  <si>
    <t>Ukazovatele zadĺženosti</t>
  </si>
  <si>
    <t>Zadĺženosť celková - veriteľské riziko (v %)</t>
  </si>
  <si>
    <t>nad 70 % rizik.</t>
  </si>
  <si>
    <t>Koeficient samofinancovania (v %)</t>
  </si>
  <si>
    <t>nad 30 %</t>
  </si>
  <si>
    <t>Miera zadĺženosti vlast. imania (v %)</t>
  </si>
  <si>
    <t>do 50 %</t>
  </si>
  <si>
    <t>Stupeň finančnej samostatnosti</t>
  </si>
  <si>
    <t>nad 200 %</t>
  </si>
  <si>
    <t>Úrokové zaťaženie (v %)</t>
  </si>
  <si>
    <t>10 až 15 %</t>
  </si>
  <si>
    <t>Celková úverová zadĺženosť (v %)</t>
  </si>
  <si>
    <t>&lt; 50%</t>
  </si>
  <si>
    <t>Ukazovatele aktivity</t>
  </si>
  <si>
    <t>Priemerná doba inkasa pohľadávok (d)</t>
  </si>
  <si>
    <t>&lt; 30 dní</t>
  </si>
  <si>
    <t>Doba obratu zásob (d)</t>
  </si>
  <si>
    <t>nie rast</t>
  </si>
  <si>
    <t>Doba splácania kr. záväzkov (d)</t>
  </si>
  <si>
    <t>Ukazovatele likvidity</t>
  </si>
  <si>
    <t>Likvidita 1. stupňa - pohotová</t>
  </si>
  <si>
    <t>0,2 -1,1</t>
  </si>
  <si>
    <t>Likvidita 2. stupňa - bežná</t>
  </si>
  <si>
    <t>1,0 - 1,5</t>
  </si>
  <si>
    <t>Likvidita 3. stupňa - celková</t>
  </si>
  <si>
    <t>1,5 - 2,5</t>
  </si>
  <si>
    <t>Krytie majetku (stupeň prekapitalizovania)</t>
  </si>
  <si>
    <t>Obrat zásob</t>
  </si>
  <si>
    <t>Doba obratu pohľadávok</t>
  </si>
  <si>
    <t>Doba obratu záväzkov</t>
  </si>
  <si>
    <t>obrat aktív celkom</t>
  </si>
  <si>
    <t>Schopnosť plniť záväzky</t>
  </si>
  <si>
    <t>Ukazovatele rentability (výnosnosti)</t>
  </si>
  <si>
    <t>Rentabilita celk. zdrojov - ROA (v %)</t>
  </si>
  <si>
    <t>&gt; 15%</t>
  </si>
  <si>
    <t>Rentabilita vlast. zdrojov - ROE (v %)</t>
  </si>
  <si>
    <t>&gt; ROA</t>
  </si>
  <si>
    <t>Rentabilita cudzích zdrojov(v %)</t>
  </si>
  <si>
    <t>&lt; ROA</t>
  </si>
  <si>
    <t>Ukazovatele produktivity</t>
  </si>
  <si>
    <t>Produktivita práce z výnosov</t>
  </si>
  <si>
    <t>rast</t>
  </si>
  <si>
    <t>Produktivita práce z prid. hodnoty</t>
  </si>
  <si>
    <t>Produktivita práce z výkonov (vlkm)</t>
  </si>
  <si>
    <t>Ukazovatele nákladovosti</t>
  </si>
  <si>
    <t>Nákladovosť</t>
  </si>
  <si>
    <t>&lt; 100 %</t>
  </si>
  <si>
    <t>Mzdová náročnosť</t>
  </si>
  <si>
    <t>Produktivita práce</t>
  </si>
  <si>
    <t>Produktivita práce z pridanej hodnoty</t>
  </si>
  <si>
    <t>Produktivita práce z výkonov (vlkm/zam.)</t>
  </si>
  <si>
    <t>Ďalšie vybrané ukazovatele</t>
  </si>
  <si>
    <t>Priem. prepoč. stav. zamestnancov</t>
  </si>
  <si>
    <t>Výkony vo vlkm</t>
  </si>
  <si>
    <t>Pozn. ukazovatele likvidity sú prepočítané podľa metodiky použitej v materiáli konsolidačná funkcia</t>
  </si>
  <si>
    <t>Záväzky k 01.01.2003</t>
  </si>
  <si>
    <t>I/2003</t>
  </si>
  <si>
    <t>II/2003</t>
  </si>
  <si>
    <t>III/2003</t>
  </si>
  <si>
    <t>IV/2003</t>
  </si>
  <si>
    <t>V/2003</t>
  </si>
  <si>
    <t>VI/2003</t>
  </si>
  <si>
    <t>EIB</t>
  </si>
  <si>
    <t>Depfa II.</t>
  </si>
  <si>
    <t>Banka/úroky z úverov so ŠZ</t>
  </si>
  <si>
    <t>J.P.Morgan</t>
  </si>
  <si>
    <t>Tatra banka</t>
  </si>
  <si>
    <t>VÚB</t>
  </si>
  <si>
    <t>Ľudová banka</t>
  </si>
  <si>
    <t>J.P.Morgan, Tatra banka</t>
  </si>
  <si>
    <t>Tatra banka, Slovenská sporiteľňa</t>
  </si>
  <si>
    <t>ČSOB</t>
  </si>
  <si>
    <t>Spolu - platené FNM SR</t>
  </si>
  <si>
    <t>Banka/istina z úverov so ŠZ</t>
  </si>
  <si>
    <t>Spolu - platené ŽSR</t>
  </si>
  <si>
    <t>Banky - ŠZ spolu</t>
  </si>
  <si>
    <t>Plnenie      (%)</t>
  </si>
  <si>
    <t>Rozdiel ku KF</t>
  </si>
  <si>
    <t xml:space="preserve"> hodnoty</t>
  </si>
  <si>
    <t>Odporúčané</t>
  </si>
  <si>
    <t>Prehľad záväzkov voči verejnoprávnym inštitúciám a daňovým úradom k 30.09.2003</t>
  </si>
  <si>
    <t>za 1. - 9. 2003</t>
  </si>
  <si>
    <t>k 30.9.2003</t>
  </si>
  <si>
    <t xml:space="preserve"> k 30.9.2003</t>
  </si>
  <si>
    <t>3 - 2</t>
  </si>
  <si>
    <t>(tis. Sk)</t>
  </si>
  <si>
    <t>VII/2003</t>
  </si>
  <si>
    <t>VIII/2003</t>
  </si>
  <si>
    <t>IX/2003</t>
  </si>
  <si>
    <t>Prostredníctvom FNM SR boli uhradené záväzky z úverov so štátnou zárukou v objeme 1 980 419 640,72 Sk</t>
  </si>
  <si>
    <t>Evidované záväzky k 30.09.2003</t>
  </si>
  <si>
    <t>v tom</t>
  </si>
  <si>
    <t xml:space="preserve">          Alcatel - ost. cudzie zdroje -I.et.***</t>
  </si>
  <si>
    <t xml:space="preserve">          Alcatel - ost. cudzie zdroje -II.et.***</t>
  </si>
  <si>
    <t xml:space="preserve">          úver so ŠZ december 2002 -ČSOB  </t>
  </si>
  <si>
    <t>3) Vlastné zdroje spolu*</t>
  </si>
  <si>
    <t>z toho:               - hospodársky spôs.</t>
  </si>
  <si>
    <t xml:space="preserve">                           - dodávateľský spôs.</t>
  </si>
  <si>
    <t xml:space="preserve">            </t>
  </si>
  <si>
    <t>* - rozpis obstarávania DHM a DNM  je schválený len hospod. spôsobom</t>
  </si>
  <si>
    <t>** - v sume nie sú zahrnuté úhrady faktúr z vlastných zdrojov</t>
  </si>
  <si>
    <t>*** - úver so štátnou zárukou J.P.Morgan</t>
  </si>
  <si>
    <r>
      <t>z toho:</t>
    </r>
    <r>
      <rPr>
        <sz val="10"/>
        <rFont val="Arial CE"/>
        <family val="2"/>
      </rPr>
      <t>príspevok</t>
    </r>
    <r>
      <rPr>
        <i/>
        <sz val="10"/>
        <rFont val="Arial CE"/>
        <family val="2"/>
      </rPr>
      <t xml:space="preserve"> (</t>
    </r>
    <r>
      <rPr>
        <sz val="10"/>
        <rFont val="Arial CE"/>
        <family val="2"/>
      </rPr>
      <t xml:space="preserve">program ISPA) </t>
    </r>
  </si>
  <si>
    <r>
      <t>v tom -</t>
    </r>
    <r>
      <rPr>
        <sz val="10"/>
        <rFont val="Arial CE"/>
        <family val="2"/>
      </rPr>
      <t>vlastné zdroje</t>
    </r>
  </si>
  <si>
    <t xml:space="preserve">DNM - s p o l u </t>
  </si>
  <si>
    <t xml:space="preserve">Celkom DHM a DNM ŽSR ** </t>
  </si>
  <si>
    <t>Vyrúbené a predpokladané</t>
  </si>
  <si>
    <t xml:space="preserve"> penále</t>
  </si>
  <si>
    <t>Sociálna poisťovňa *</t>
  </si>
  <si>
    <t>Národný úrad práce **</t>
  </si>
  <si>
    <t>* penále voči SP sú z predbežných údajov k 31.10.2003, nie sú definitívne, nakoľko evidujeme neuhradené záväzky po lehote splatnosti</t>
  </si>
  <si>
    <t>** penále voči NÚP sú z predbežných údajov k 31.10.2003, pričom je predpoklad, že budú odpustené</t>
  </si>
  <si>
    <t>Zvolen</t>
  </si>
  <si>
    <t>Špecifikácia vyrúbených penále podľa daňových úradov</t>
  </si>
  <si>
    <t>Penále vyrúbené</t>
  </si>
  <si>
    <t>1.-9.2003</t>
  </si>
  <si>
    <t xml:space="preserve"> 1.-9.2003</t>
  </si>
  <si>
    <t>1.-9.mesiac 2003</t>
  </si>
  <si>
    <t>10. Zisk</t>
  </si>
  <si>
    <t>Celkom (tis.Sk</t>
  </si>
  <si>
    <t>Poznámka:</t>
  </si>
  <si>
    <t xml:space="preserve"> - EON za rok 2002 = skutočnosť podľa výsledkov auditu Ernst&amp;Young;</t>
  </si>
  <si>
    <t xml:space="preserve"> - réžijné náklady (PR, SR) =  z titulu  zvýšenia priemernej mzdy o 5%, pričom v pláne ZVVZ bolo uvažované s nulovým nárastom </t>
  </si>
  <si>
    <t xml:space="preserve">   priemernej mzdy. Nárast bol prijatý v Kolektívnej zmluve na rok 2003 a bol schválený na zasadnutí SR ŽSR s dopadom na zmenu  </t>
  </si>
  <si>
    <t xml:space="preserve">   Podnikateľského plánu ŽSR na rok 2003. </t>
  </si>
  <si>
    <r>
      <t xml:space="preserve"> - nižší trend výnosov z poplatku za použitie ŽDC vyplýva zo straty tržieb  v období 01-04 </t>
    </r>
    <r>
      <rPr>
        <b/>
        <sz val="9"/>
        <rFont val="Times New Roman CE"/>
        <family val="1"/>
      </rPr>
      <t>(- 82 mil.Sk)</t>
    </r>
    <r>
      <rPr>
        <sz val="9"/>
        <rFont val="Times New Roman CE"/>
        <family val="1"/>
      </rPr>
      <t xml:space="preserve"> z titulu</t>
    </r>
  </si>
  <si>
    <t xml:space="preserve"> - iné priame náklady  = vyšší trend z titulu schválenia nového cenového výmeru až k 1.5.2003, nakoľko nájmy a telekomunikačné</t>
  </si>
  <si>
    <t xml:space="preserve">   služby pre dopravcov boli zahrnuté do poplatku za použitie ŽDC; z toho dôvodu aj náklady súvisiace s týmito činosťami</t>
  </si>
  <si>
    <r>
      <t xml:space="preserve">   v období 01-04 boli zahrnuté do EON ZVVZ </t>
    </r>
    <r>
      <rPr>
        <b/>
        <sz val="9"/>
        <rFont val="Times New Roman CE"/>
        <family val="1"/>
      </rPr>
      <t>(+ 97,7 mil.Sk)</t>
    </r>
    <r>
      <rPr>
        <sz val="9"/>
        <rFont val="Times New Roman CE"/>
        <family val="1"/>
      </rPr>
      <t xml:space="preserve">; </t>
    </r>
  </si>
  <si>
    <t xml:space="preserve">   zmeny DPH od 1.1.2003 z 10 na 14 %, ďalšie vplyvy poklesu tržieb  = štrajk železničiarov, ale najmä z dôvodu</t>
  </si>
  <si>
    <t>v tis. Sk</t>
  </si>
  <si>
    <t>Pr.č.</t>
  </si>
  <si>
    <t>dátum úhrady</t>
  </si>
  <si>
    <t xml:space="preserve">banka </t>
  </si>
  <si>
    <t>úverová zmluva</t>
  </si>
  <si>
    <t xml:space="preserve"> platba</t>
  </si>
  <si>
    <t>deň splatnosti</t>
  </si>
  <si>
    <t>výška</t>
  </si>
  <si>
    <t>Tatra banka - 3,0mld.Sk</t>
  </si>
  <si>
    <t>548/2001</t>
  </si>
  <si>
    <t>úroky</t>
  </si>
  <si>
    <t>31.2.2004</t>
  </si>
  <si>
    <t>Spolu uhradené za 02/04</t>
  </si>
  <si>
    <t>Konzorcium TABA + SLSP 1,5 mld. Sk</t>
  </si>
  <si>
    <t>1221/2002</t>
  </si>
  <si>
    <t>ČSOB - 2,1 mld.Sk</t>
  </si>
  <si>
    <t>28003/1/1996</t>
  </si>
  <si>
    <t>ĽUBA - 2,0 mld. Sk</t>
  </si>
  <si>
    <t>006579</t>
  </si>
  <si>
    <t>Spolu uhradené za 03/04</t>
  </si>
  <si>
    <t>J.P.Morgan (DB)- 200 mil.Eur</t>
  </si>
  <si>
    <t>200 mil. EUR</t>
  </si>
  <si>
    <t>úroky, istina</t>
  </si>
  <si>
    <t>Spolu uhradené za 05/04</t>
  </si>
  <si>
    <t>J.P.Morgan - 6,84 mld.Sk</t>
  </si>
  <si>
    <t>6,840 mld.Sk</t>
  </si>
  <si>
    <t>Spolu uhradené za 06/04</t>
  </si>
  <si>
    <t>Spolu uhradené za 08/04</t>
  </si>
  <si>
    <t xml:space="preserve">Spolu uhradené za 09/04 </t>
  </si>
  <si>
    <t xml:space="preserve">Spolu uhradené za 11/03 </t>
  </si>
  <si>
    <t xml:space="preserve">Spolu uhradené za 12/04  </t>
  </si>
  <si>
    <t>Spolu uhradené za rok 2004 -predpoklad</t>
  </si>
  <si>
    <t>Hospodársky výsledok - výkony vo verejnom záujme 1. - 9. 2003</t>
  </si>
  <si>
    <r>
      <t xml:space="preserve">   poklesu dopravných výkonov v nákladnej doprave a z toho vyplývajúcich nižších tržieb </t>
    </r>
    <r>
      <rPr>
        <b/>
        <sz val="9"/>
        <rFont val="Times New Roman CE"/>
        <family val="1"/>
      </rPr>
      <t>(- 574,6 mil Sk)</t>
    </r>
    <r>
      <rPr>
        <sz val="9"/>
        <rFont val="Times New Roman CE"/>
        <family val="1"/>
      </rPr>
      <t xml:space="preserve">, </t>
    </r>
  </si>
  <si>
    <t>Úvery so štátnou zárukou - obdobie 1. - 9. 2003</t>
  </si>
  <si>
    <t>(mimo úverov, ktoré prejdú k 1.1.2004 do štátneho dlhu)</t>
  </si>
  <si>
    <t>Predpoklad úhrad istín a úrokov z úverov so štátnou zárukou realizovaný MF SR (prost.FNM) za ŽSR v roku 2004</t>
  </si>
  <si>
    <t xml:space="preserve">Pozn.   Splátky úveru od Tatra banky - 3,0 mld. Sk v roku 2004 sa môžu zmeniť z dôvodu upresnenia spôsobu </t>
  </si>
  <si>
    <t>a výšky prevzatia časti tohto úveru do št.dlhu. Výpočet v tabuľke vychádza z predpokladu</t>
  </si>
  <si>
    <t>v tom     úroky</t>
  </si>
  <si>
    <t xml:space="preserve">              istina</t>
  </si>
  <si>
    <t xml:space="preserve">prevzatia časti tohto úveru vo výške 788 287 tis. Sk do štátneho dlhu. </t>
  </si>
  <si>
    <t>Súvaha</t>
  </si>
  <si>
    <t xml:space="preserve">          vzhľadom na zmenu štruktúry výkazov k 1.1.2003.</t>
  </si>
  <si>
    <t xml:space="preserve">Pozn. Skutočnosť k 31.12.2002 je prepočítaná na porovnateľnú úroveň roku 2003 </t>
  </si>
  <si>
    <t>Ukazovatele finančnej analýzy</t>
  </si>
  <si>
    <t>k 31.12.2002</t>
  </si>
  <si>
    <t>3/2</t>
  </si>
  <si>
    <t>Výkaz ziskov a strát  ŽSR celkom</t>
  </si>
  <si>
    <t>Rentabilita základného imania                                             ????</t>
  </si>
  <si>
    <t>Rentabilita tržieb                                                                   ????</t>
  </si>
  <si>
    <t xml:space="preserve">Rentabilita nákladov                                                             ???? </t>
  </si>
  <si>
    <t>Zoznam príloh</t>
  </si>
  <si>
    <t>Číslo prílohy</t>
  </si>
  <si>
    <t>Názov prílohy</t>
  </si>
  <si>
    <t>Príloha č. 1</t>
  </si>
  <si>
    <t xml:space="preserve">Prehľad záväzkov voči verejnoprávnym inštitúciám a daňovým úradom </t>
  </si>
  <si>
    <t>k 30.09.2003</t>
  </si>
  <si>
    <t>Príloha č. 2</t>
  </si>
  <si>
    <t>Obstarávanie DHM a DNM spolu za 1. - 9. 2003</t>
  </si>
  <si>
    <t>Príloha č. 3</t>
  </si>
  <si>
    <t>Príloha č. 4</t>
  </si>
  <si>
    <t>Príloha č. 5</t>
  </si>
  <si>
    <t xml:space="preserve">Predpoklad úhrad istín a úrokov z úverov so štátnou zárukou realizovaný </t>
  </si>
  <si>
    <t>MF SR (prost.FNM) za ŽSR v roku 2004</t>
  </si>
  <si>
    <t>Príloha č. 6</t>
  </si>
  <si>
    <t>Príloha č. 7</t>
  </si>
  <si>
    <t>Príloha č. 8</t>
  </si>
  <si>
    <t>Príloha č. 9</t>
  </si>
  <si>
    <t>Východiská pre zostavu podnikateľského plánu na rok 2004</t>
  </si>
  <si>
    <t>Splátky úverov a ostatných finančných záväzkov v rokoch 2004 až 2006</t>
  </si>
  <si>
    <t>Príloha č. 10</t>
  </si>
  <si>
    <t>Splátky v roku 2004</t>
  </si>
  <si>
    <t>Splátky v roku 2005</t>
  </si>
  <si>
    <t>Splátky v roku 2006</t>
  </si>
  <si>
    <t>Banka</t>
  </si>
  <si>
    <t>istiny</t>
  </si>
  <si>
    <t>úrokov</t>
  </si>
  <si>
    <t>Úvery so štátnou zárukou zostávajúce na ŽSR</t>
  </si>
  <si>
    <t>Ľudová banka-Volksbank</t>
  </si>
  <si>
    <t>J.P.Morgen+Tatra banka</t>
  </si>
  <si>
    <t>Konzorcium TABA+SLSP</t>
  </si>
  <si>
    <t>Úvery so štátnou zárukou prechádzajúce do št. dlhu</t>
  </si>
  <si>
    <t>DePfa II</t>
  </si>
  <si>
    <t>Úvery bez štátnej záruky</t>
  </si>
  <si>
    <t>DePfa III</t>
  </si>
  <si>
    <t>ČSOB - total</t>
  </si>
  <si>
    <t>Istrobanka</t>
  </si>
  <si>
    <t>Dexia Banka Slovensko, kontokorent</t>
  </si>
  <si>
    <t>UniBanka. kontokorent</t>
  </si>
  <si>
    <t>Ostatné finančné záväzky</t>
  </si>
  <si>
    <t>Splátka ŠFA 4268/2001-KM/a</t>
  </si>
  <si>
    <t>SZRB,š.p.ú</t>
  </si>
  <si>
    <t>Zmenky na úhradu ( Damovo Slovakia )</t>
  </si>
  <si>
    <t>Celkom splátky finančných záväzkov</t>
  </si>
  <si>
    <r>
      <t>z toho</t>
    </r>
    <r>
      <rPr>
        <sz val="10"/>
        <rFont val="Arial CE"/>
        <family val="0"/>
      </rPr>
      <t xml:space="preserve"> splátky prechádzajúce na vrub štátneho dlhu</t>
    </r>
  </si>
  <si>
    <t xml:space="preserve">           splátky z úverov so št. zárukou (v pasívach ŽSR)</t>
  </si>
  <si>
    <t xml:space="preserve">           ostatné splátky</t>
  </si>
  <si>
    <t xml:space="preserve"> k 30.9.2003 *)</t>
  </si>
  <si>
    <t xml:space="preserve">*) skutočnosť za podmienky odpustenia vrátenia finančnej výpomoce súvisiacej so splátkami istín a úrokov z úverov </t>
  </si>
  <si>
    <t xml:space="preserve">    so štátnou zárukou, ktoré boli realizované od mája 2003 MF SR prostredníctvom FNM SR </t>
  </si>
  <si>
    <t>k 30.9.2003 *)</t>
  </si>
  <si>
    <t>Oč. skutočnosť</t>
  </si>
  <si>
    <t>k 31.12.2003 **)</t>
  </si>
  <si>
    <t>**) vo výnosoch (mim. a fin. výnosy) nie je premietnuté odpustenie splátok úrokov a istínz ´verov so ŠZ  v objeme 2 701,772 mil. Sk</t>
  </si>
  <si>
    <t xml:space="preserve">    a rozpustenie opravnej položky k pohľadávke voči štátu v objeme 2 368,180 mil. Sk (zúčt.opr.pol.do výnosov)</t>
  </si>
  <si>
    <t>skutočná výška dotácie zo štátneho rozpočtu na výkony vo verejnom záujme za obdobie 01. - 09. 2003 predstavuje</t>
  </si>
  <si>
    <t>čiastku 1,725 mld. Sk.</t>
  </si>
  <si>
    <t>skutočná výška dotácie zo štátneho rozpočtu na výkony vo verejnom záujme  za obdobie 01. - 09. 2003 predstavuje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</si>
</sst>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\ ##0\ ##0"/>
    <numFmt numFmtId="165" formatCode="#,##0.0"/>
    <numFmt numFmtId="166" formatCode="#\ ##0"/>
    <numFmt numFmtId="167" formatCode="#,##0.0;[Red]#,##0.0"/>
    <numFmt numFmtId="168" formatCode="#,##0;[Red]#,##0"/>
    <numFmt numFmtId="169" formatCode="#,##0.00;[Red]#,##0.00"/>
    <numFmt numFmtId="170" formatCode="0.0"/>
    <numFmt numFmtId="171" formatCode="0.0%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9"/>
      <name val="Times New Roman CE"/>
      <family val="1"/>
    </font>
    <font>
      <sz val="10"/>
      <name val="Arial"/>
      <family val="0"/>
    </font>
    <font>
      <b/>
      <sz val="9"/>
      <name val="Times New Roman CE"/>
      <family val="1"/>
    </font>
    <font>
      <sz val="9"/>
      <name val="Arial CE"/>
      <family val="0"/>
    </font>
    <font>
      <b/>
      <sz val="11"/>
      <name val="Times New Roman CE"/>
      <family val="1"/>
    </font>
    <font>
      <sz val="9"/>
      <color indexed="8"/>
      <name val="Times New Roman CE"/>
      <family val="1"/>
    </font>
    <font>
      <b/>
      <sz val="16"/>
      <name val="Arial CE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 CE"/>
      <family val="2"/>
    </font>
    <font>
      <sz val="10"/>
      <color indexed="10"/>
      <name val="Times New Roman CE"/>
      <family val="1"/>
    </font>
    <font>
      <sz val="8"/>
      <color indexed="56"/>
      <name val="Times New Roman CE"/>
      <family val="1"/>
    </font>
    <font>
      <b/>
      <sz val="9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3"/>
      <name val="Arial CE"/>
      <family val="2"/>
    </font>
    <font>
      <sz val="10"/>
      <color indexed="9"/>
      <name val="Times New Roman CE"/>
      <family val="1"/>
    </font>
    <font>
      <sz val="10"/>
      <name val="Times New Roman CE"/>
      <family val="0"/>
    </font>
    <font>
      <sz val="10"/>
      <color indexed="29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i/>
      <sz val="8"/>
      <name val="Arial CE"/>
      <family val="2"/>
    </font>
    <font>
      <sz val="9"/>
      <color indexed="10"/>
      <name val="Arial CE"/>
      <family val="2"/>
    </font>
    <font>
      <sz val="9"/>
      <name val="Times New Roman"/>
      <family val="1"/>
    </font>
    <font>
      <b/>
      <i/>
      <sz val="9"/>
      <name val="Times New Roman CE"/>
      <family val="1"/>
    </font>
    <font>
      <i/>
      <sz val="9"/>
      <name val="Arial CE"/>
      <family val="2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7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70" fontId="9" fillId="0" borderId="13" xfId="0" applyNumberFormat="1" applyFont="1" applyBorder="1" applyAlignment="1">
      <alignment horizontal="center"/>
    </xf>
    <xf numFmtId="0" fontId="9" fillId="2" borderId="14" xfId="0" applyFont="1" applyFill="1" applyBorder="1" applyAlignment="1">
      <alignment vertical="center"/>
    </xf>
    <xf numFmtId="170" fontId="9" fillId="0" borderId="15" xfId="0" applyNumberFormat="1" applyFont="1" applyBorder="1" applyAlignment="1">
      <alignment horizontal="center"/>
    </xf>
    <xf numFmtId="165" fontId="7" fillId="2" borderId="16" xfId="0" applyNumberFormat="1" applyFont="1" applyFill="1" applyBorder="1" applyAlignment="1">
      <alignment horizontal="right" vertical="center"/>
    </xf>
    <xf numFmtId="165" fontId="7" fillId="2" borderId="17" xfId="0" applyNumberFormat="1" applyFont="1" applyFill="1" applyBorder="1" applyAlignment="1">
      <alignment horizontal="right" vertical="center"/>
    </xf>
    <xf numFmtId="0" fontId="9" fillId="2" borderId="16" xfId="0" applyFont="1" applyFill="1" applyBorder="1" applyAlignment="1">
      <alignment vertical="center"/>
    </xf>
    <xf numFmtId="170" fontId="9" fillId="0" borderId="18" xfId="0" applyNumberFormat="1" applyFont="1" applyBorder="1" applyAlignment="1">
      <alignment horizontal="center"/>
    </xf>
    <xf numFmtId="0" fontId="11" fillId="2" borderId="19" xfId="0" applyFont="1" applyFill="1" applyBorder="1" applyAlignment="1">
      <alignment/>
    </xf>
    <xf numFmtId="0" fontId="7" fillId="2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9" fillId="2" borderId="11" xfId="0" applyFont="1" applyFill="1" applyBorder="1" applyAlignment="1">
      <alignment vertical="center"/>
    </xf>
    <xf numFmtId="3" fontId="9" fillId="2" borderId="12" xfId="0" applyNumberFormat="1" applyFont="1" applyFill="1" applyBorder="1" applyAlignment="1">
      <alignment vertical="center"/>
    </xf>
    <xf numFmtId="3" fontId="9" fillId="2" borderId="21" xfId="0" applyNumberFormat="1" applyFont="1" applyFill="1" applyBorder="1" applyAlignment="1">
      <alignment horizontal="right" vertical="center"/>
    </xf>
    <xf numFmtId="170" fontId="9" fillId="0" borderId="21" xfId="0" applyNumberFormat="1" applyFont="1" applyBorder="1" applyAlignment="1">
      <alignment horizontal="center"/>
    </xf>
    <xf numFmtId="0" fontId="9" fillId="2" borderId="22" xfId="0" applyFont="1" applyFill="1" applyBorder="1" applyAlignment="1">
      <alignment vertical="center"/>
    </xf>
    <xf numFmtId="3" fontId="9" fillId="2" borderId="14" xfId="0" applyNumberFormat="1" applyFont="1" applyFill="1" applyBorder="1" applyAlignment="1">
      <alignment vertical="center"/>
    </xf>
    <xf numFmtId="3" fontId="9" fillId="2" borderId="14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vertical="center"/>
    </xf>
    <xf numFmtId="170" fontId="9" fillId="0" borderId="14" xfId="0" applyNumberFormat="1" applyFont="1" applyBorder="1" applyAlignment="1">
      <alignment horizontal="center"/>
    </xf>
    <xf numFmtId="3" fontId="9" fillId="2" borderId="23" xfId="0" applyNumberFormat="1" applyFont="1" applyFill="1" applyBorder="1" applyAlignment="1">
      <alignment vertical="center"/>
    </xf>
    <xf numFmtId="170" fontId="7" fillId="2" borderId="14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vertical="center"/>
    </xf>
    <xf numFmtId="3" fontId="9" fillId="2" borderId="25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11" fillId="3" borderId="19" xfId="0" applyFont="1" applyFill="1" applyBorder="1" applyAlignment="1">
      <alignment vertical="center"/>
    </xf>
    <xf numFmtId="3" fontId="11" fillId="3" borderId="26" xfId="0" applyNumberFormat="1" applyFont="1" applyFill="1" applyBorder="1" applyAlignment="1">
      <alignment vertical="center"/>
    </xf>
    <xf numFmtId="3" fontId="11" fillId="3" borderId="26" xfId="0" applyNumberFormat="1" applyFont="1" applyFill="1" applyBorder="1" applyAlignment="1">
      <alignment horizontal="right" vertical="center"/>
    </xf>
    <xf numFmtId="170" fontId="11" fillId="3" borderId="2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0" fontId="7" fillId="0" borderId="16" xfId="0" applyNumberFormat="1" applyFont="1" applyBorder="1" applyAlignment="1">
      <alignment horizontal="center"/>
    </xf>
    <xf numFmtId="0" fontId="11" fillId="2" borderId="27" xfId="0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horizontal="right" vertical="center"/>
    </xf>
    <xf numFmtId="170" fontId="11" fillId="0" borderId="28" xfId="0" applyNumberFormat="1" applyFont="1" applyBorder="1" applyAlignment="1">
      <alignment horizontal="center" vertical="center"/>
    </xf>
    <xf numFmtId="3" fontId="11" fillId="3" borderId="20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3" fontId="7" fillId="2" borderId="29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170" fontId="7" fillId="0" borderId="12" xfId="0" applyNumberFormat="1" applyFont="1" applyBorder="1" applyAlignment="1">
      <alignment horizontal="center"/>
    </xf>
    <xf numFmtId="0" fontId="12" fillId="2" borderId="30" xfId="0" applyFont="1" applyFill="1" applyBorder="1" applyAlignment="1">
      <alignment vertical="center"/>
    </xf>
    <xf numFmtId="3" fontId="7" fillId="2" borderId="16" xfId="0" applyNumberFormat="1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center"/>
    </xf>
    <xf numFmtId="170" fontId="9" fillId="2" borderId="12" xfId="0" applyNumberFormat="1" applyFont="1" applyFill="1" applyBorder="1" applyAlignment="1">
      <alignment horizontal="right" vertical="center"/>
    </xf>
    <xf numFmtId="170" fontId="9" fillId="2" borderId="29" xfId="0" applyNumberFormat="1" applyFont="1" applyFill="1" applyBorder="1" applyAlignment="1">
      <alignment horizontal="right" vertical="center"/>
    </xf>
    <xf numFmtId="170" fontId="9" fillId="2" borderId="11" xfId="0" applyNumberFormat="1" applyFont="1" applyFill="1" applyBorder="1" applyAlignment="1">
      <alignment horizontal="right" vertical="center"/>
    </xf>
    <xf numFmtId="0" fontId="9" fillId="2" borderId="30" xfId="0" applyFont="1" applyFill="1" applyBorder="1" applyAlignment="1">
      <alignment horizontal="left" vertical="center"/>
    </xf>
    <xf numFmtId="170" fontId="9" fillId="2" borderId="16" xfId="0" applyNumberFormat="1" applyFont="1" applyFill="1" applyBorder="1" applyAlignment="1">
      <alignment horizontal="right" vertical="center"/>
    </xf>
    <xf numFmtId="170" fontId="9" fillId="2" borderId="17" xfId="0" applyNumberFormat="1" applyFont="1" applyFill="1" applyBorder="1" applyAlignment="1">
      <alignment horizontal="right" vertical="center"/>
    </xf>
    <xf numFmtId="170" fontId="9" fillId="2" borderId="24" xfId="0" applyNumberFormat="1" applyFont="1" applyFill="1" applyBorder="1" applyAlignment="1">
      <alignment horizontal="right" vertical="center"/>
    </xf>
    <xf numFmtId="170" fontId="7" fillId="0" borderId="25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20" applyFont="1">
      <alignment/>
      <protection/>
    </xf>
    <xf numFmtId="0" fontId="0" fillId="0" borderId="0" xfId="20">
      <alignment/>
      <protection/>
    </xf>
    <xf numFmtId="0" fontId="0" fillId="0" borderId="2" xfId="20" applyBorder="1">
      <alignment/>
      <protection/>
    </xf>
    <xf numFmtId="49" fontId="1" fillId="0" borderId="31" xfId="20" applyNumberFormat="1" applyFont="1" applyBorder="1" applyAlignment="1">
      <alignment horizontal="center" vertical="center" wrapText="1"/>
      <protection/>
    </xf>
    <xf numFmtId="3" fontId="0" fillId="0" borderId="32" xfId="20" applyNumberFormat="1" applyFont="1" applyBorder="1" applyAlignment="1">
      <alignment vertical="center"/>
      <protection/>
    </xf>
    <xf numFmtId="3" fontId="0" fillId="0" borderId="14" xfId="20" applyNumberFormat="1" applyFont="1" applyBorder="1" applyAlignment="1">
      <alignment vertical="center"/>
      <protection/>
    </xf>
    <xf numFmtId="3" fontId="1" fillId="2" borderId="14" xfId="20" applyNumberFormat="1" applyFont="1" applyFill="1" applyBorder="1" applyAlignment="1" applyProtection="1">
      <alignment vertical="center"/>
      <protection/>
    </xf>
    <xf numFmtId="3" fontId="1" fillId="0" borderId="14" xfId="20" applyNumberFormat="1" applyFont="1" applyBorder="1" applyAlignment="1" applyProtection="1">
      <alignment vertical="center"/>
      <protection/>
    </xf>
    <xf numFmtId="3" fontId="1" fillId="0" borderId="14" xfId="20" applyNumberFormat="1" applyFont="1" applyBorder="1" applyAlignment="1" applyProtection="1">
      <alignment vertical="center"/>
      <protection hidden="1"/>
    </xf>
    <xf numFmtId="3" fontId="1" fillId="0" borderId="25" xfId="20" applyNumberFormat="1" applyFont="1" applyBorder="1" applyAlignment="1">
      <alignment vertical="center"/>
      <protection/>
    </xf>
    <xf numFmtId="3" fontId="0" fillId="0" borderId="33" xfId="20" applyNumberFormat="1" applyFont="1" applyBorder="1" applyAlignment="1">
      <alignment vertical="center"/>
      <protection/>
    </xf>
    <xf numFmtId="3" fontId="1" fillId="0" borderId="26" xfId="20" applyNumberFormat="1" applyFont="1" applyBorder="1" applyAlignment="1" applyProtection="1">
      <alignment vertical="center"/>
      <protection/>
    </xf>
    <xf numFmtId="3" fontId="0" fillId="0" borderId="12" xfId="20" applyNumberFormat="1" applyFont="1" applyBorder="1" applyAlignment="1">
      <alignment vertical="center"/>
      <protection/>
    </xf>
    <xf numFmtId="3" fontId="1" fillId="0" borderId="16" xfId="20" applyNumberFormat="1" applyFont="1" applyFill="1" applyBorder="1" applyAlignment="1">
      <alignment vertical="center"/>
      <protection/>
    </xf>
    <xf numFmtId="3" fontId="1" fillId="3" borderId="5" xfId="20" applyNumberFormat="1" applyFont="1" applyFill="1" applyBorder="1" applyAlignment="1" applyProtection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Border="1">
      <alignment/>
      <protection/>
    </xf>
    <xf numFmtId="0" fontId="8" fillId="0" borderId="0" xfId="20" applyProtection="1">
      <alignment/>
      <protection hidden="1"/>
    </xf>
    <xf numFmtId="0" fontId="4" fillId="0" borderId="0" xfId="20" applyFont="1" applyProtection="1">
      <alignment/>
      <protection locked="0"/>
    </xf>
    <xf numFmtId="0" fontId="3" fillId="2" borderId="19" xfId="20" applyFont="1" applyFill="1" applyBorder="1" applyProtection="1">
      <alignment/>
      <protection hidden="1"/>
    </xf>
    <xf numFmtId="0" fontId="3" fillId="2" borderId="26" xfId="20" applyFont="1" applyFill="1" applyBorder="1" applyProtection="1">
      <alignment/>
      <protection hidden="1"/>
    </xf>
    <xf numFmtId="3" fontId="3" fillId="2" borderId="19" xfId="20" applyNumberFormat="1" applyFont="1" applyFill="1" applyBorder="1" applyProtection="1">
      <alignment/>
      <protection hidden="1"/>
    </xf>
    <xf numFmtId="3" fontId="3" fillId="2" borderId="26" xfId="20" applyNumberFormat="1" applyFont="1" applyFill="1" applyBorder="1" applyProtection="1">
      <alignment/>
      <protection hidden="1"/>
    </xf>
    <xf numFmtId="0" fontId="8" fillId="0" borderId="11" xfId="20" applyBorder="1" applyProtection="1">
      <alignment/>
      <protection hidden="1"/>
    </xf>
    <xf numFmtId="0" fontId="8" fillId="0" borderId="12" xfId="20" applyBorder="1" applyProtection="1">
      <alignment/>
      <protection hidden="1"/>
    </xf>
    <xf numFmtId="3" fontId="15" fillId="0" borderId="11" xfId="20" applyNumberFormat="1" applyFont="1" applyBorder="1" applyProtection="1">
      <alignment/>
      <protection hidden="1"/>
    </xf>
    <xf numFmtId="3" fontId="15" fillId="0" borderId="12" xfId="20" applyNumberFormat="1" applyFont="1" applyBorder="1" applyProtection="1">
      <alignment/>
      <protection hidden="1"/>
    </xf>
    <xf numFmtId="0" fontId="1" fillId="0" borderId="22" xfId="20" applyFont="1" applyBorder="1" applyProtection="1">
      <alignment/>
      <protection hidden="1"/>
    </xf>
    <xf numFmtId="0" fontId="1" fillId="0" borderId="14" xfId="20" applyFont="1" applyBorder="1" applyProtection="1">
      <alignment/>
      <protection hidden="1"/>
    </xf>
    <xf numFmtId="3" fontId="1" fillId="0" borderId="22" xfId="20" applyNumberFormat="1" applyFont="1" applyBorder="1" applyProtection="1">
      <alignment/>
      <protection hidden="1"/>
    </xf>
    <xf numFmtId="3" fontId="1" fillId="0" borderId="14" xfId="20" applyNumberFormat="1" applyFont="1" applyBorder="1" applyProtection="1">
      <alignment/>
      <protection hidden="1"/>
    </xf>
    <xf numFmtId="0" fontId="8" fillId="0" borderId="22" xfId="20" applyBorder="1" applyProtection="1">
      <alignment/>
      <protection hidden="1"/>
    </xf>
    <xf numFmtId="0" fontId="8" fillId="0" borderId="14" xfId="20" applyBorder="1" applyProtection="1">
      <alignment/>
      <protection hidden="1"/>
    </xf>
    <xf numFmtId="3" fontId="8" fillId="0" borderId="22" xfId="20" applyNumberFormat="1" applyFont="1" applyBorder="1" applyProtection="1">
      <alignment/>
      <protection locked="0"/>
    </xf>
    <xf numFmtId="3" fontId="8" fillId="0" borderId="14" xfId="20" applyNumberFormat="1" applyFont="1" applyBorder="1" applyProtection="1">
      <alignment/>
      <protection locked="0"/>
    </xf>
    <xf numFmtId="3" fontId="15" fillId="0" borderId="22" xfId="20" applyNumberFormat="1" applyFont="1" applyBorder="1" applyProtection="1">
      <alignment/>
      <protection hidden="1"/>
    </xf>
    <xf numFmtId="3" fontId="8" fillId="0" borderId="14" xfId="20" applyNumberFormat="1" applyFont="1" applyBorder="1" applyProtection="1">
      <alignment/>
      <protection hidden="1"/>
    </xf>
    <xf numFmtId="3" fontId="8" fillId="0" borderId="22" xfId="20" applyNumberFormat="1" applyFont="1" applyBorder="1" applyProtection="1">
      <alignment/>
      <protection locked="0"/>
    </xf>
    <xf numFmtId="0" fontId="8" fillId="0" borderId="14" xfId="20" applyFont="1" applyBorder="1" applyProtection="1">
      <alignment/>
      <protection hidden="1"/>
    </xf>
    <xf numFmtId="3" fontId="1" fillId="0" borderId="22" xfId="20" applyNumberFormat="1" applyFont="1" applyBorder="1" applyProtection="1">
      <alignment/>
      <protection locked="0"/>
    </xf>
    <xf numFmtId="3" fontId="1" fillId="0" borderId="14" xfId="20" applyNumberFormat="1" applyFont="1" applyBorder="1" applyProtection="1">
      <alignment/>
      <protection locked="0"/>
    </xf>
    <xf numFmtId="0" fontId="8" fillId="0" borderId="30" xfId="20" applyBorder="1" applyProtection="1">
      <alignment/>
      <protection hidden="1"/>
    </xf>
    <xf numFmtId="0" fontId="8" fillId="0" borderId="16" xfId="20" applyBorder="1" applyProtection="1">
      <alignment/>
      <protection hidden="1"/>
    </xf>
    <xf numFmtId="3" fontId="15" fillId="0" borderId="30" xfId="20" applyNumberFormat="1" applyFont="1" applyBorder="1" applyProtection="1">
      <alignment/>
      <protection hidden="1"/>
    </xf>
    <xf numFmtId="3" fontId="8" fillId="0" borderId="16" xfId="20" applyNumberFormat="1" applyFont="1" applyBorder="1" applyProtection="1">
      <alignment/>
      <protection hidden="1"/>
    </xf>
    <xf numFmtId="3" fontId="8" fillId="0" borderId="22" xfId="20" applyNumberFormat="1" applyFont="1" applyBorder="1" applyProtection="1">
      <alignment/>
      <protection hidden="1"/>
    </xf>
    <xf numFmtId="0" fontId="1" fillId="0" borderId="30" xfId="20" applyFont="1" applyBorder="1" applyProtection="1">
      <alignment/>
      <protection hidden="1"/>
    </xf>
    <xf numFmtId="0" fontId="1" fillId="0" borderId="16" xfId="20" applyFont="1" applyBorder="1" applyProtection="1">
      <alignment/>
      <protection hidden="1"/>
    </xf>
    <xf numFmtId="3" fontId="1" fillId="0" borderId="30" xfId="20" applyNumberFormat="1" applyFont="1" applyBorder="1" applyProtection="1">
      <alignment/>
      <protection locked="0"/>
    </xf>
    <xf numFmtId="3" fontId="1" fillId="0" borderId="16" xfId="20" applyNumberFormat="1" applyFont="1" applyBorder="1" applyProtection="1">
      <alignment/>
      <protection locked="0"/>
    </xf>
    <xf numFmtId="0" fontId="0" fillId="0" borderId="0" xfId="20" applyFont="1" applyBorder="1" applyProtection="1">
      <alignment/>
      <protection hidden="1"/>
    </xf>
    <xf numFmtId="0" fontId="1" fillId="0" borderId="0" xfId="20" applyFont="1" applyBorder="1" applyProtection="1">
      <alignment/>
      <protection hidden="1"/>
    </xf>
    <xf numFmtId="3" fontId="1" fillId="0" borderId="0" xfId="20" applyNumberFormat="1" applyFont="1" applyBorder="1" applyProtection="1">
      <alignment/>
      <protection locked="0"/>
    </xf>
    <xf numFmtId="0" fontId="16" fillId="0" borderId="0" xfId="21" applyFont="1" applyFill="1" applyBorder="1">
      <alignment/>
      <protection/>
    </xf>
    <xf numFmtId="0" fontId="8" fillId="0" borderId="0" xfId="20">
      <alignment/>
      <protection/>
    </xf>
    <xf numFmtId="0" fontId="15" fillId="0" borderId="0" xfId="20" applyFont="1">
      <alignment/>
      <protection/>
    </xf>
    <xf numFmtId="0" fontId="17" fillId="0" borderId="0" xfId="21" applyFont="1" applyFill="1" applyBorder="1">
      <alignment/>
      <protection/>
    </xf>
    <xf numFmtId="0" fontId="18" fillId="0" borderId="0" xfId="21" applyFont="1" applyFill="1" applyBorder="1">
      <alignment/>
      <protection/>
    </xf>
    <xf numFmtId="0" fontId="8" fillId="0" borderId="2" xfId="20" applyBorder="1" applyProtection="1">
      <alignment/>
      <protection locked="0"/>
    </xf>
    <xf numFmtId="0" fontId="1" fillId="0" borderId="26" xfId="21" applyFont="1" applyFill="1" applyBorder="1" applyAlignment="1">
      <alignment horizontal="center" wrapText="1"/>
      <protection/>
    </xf>
    <xf numFmtId="0" fontId="20" fillId="0" borderId="26" xfId="20" applyFont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3" fontId="0" fillId="0" borderId="34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6" xfId="0" applyFont="1" applyBorder="1" applyAlignment="1">
      <alignment/>
    </xf>
    <xf numFmtId="3" fontId="3" fillId="4" borderId="26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1" fillId="0" borderId="28" xfId="21" applyFont="1" applyFill="1" applyBorder="1" applyAlignment="1">
      <alignment horizontal="center" vertical="top" wrapText="1"/>
      <protection/>
    </xf>
    <xf numFmtId="0" fontId="19" fillId="0" borderId="2" xfId="20" applyFont="1" applyBorder="1" applyAlignment="1">
      <alignment horizontal="center"/>
      <protection/>
    </xf>
    <xf numFmtId="0" fontId="0" fillId="0" borderId="44" xfId="20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0" fillId="0" borderId="0" xfId="20" applyFont="1" applyAlignment="1">
      <alignment horizontal="right"/>
      <protection/>
    </xf>
    <xf numFmtId="0" fontId="1" fillId="0" borderId="45" xfId="20" applyFont="1" applyBorder="1" applyAlignment="1">
      <alignment horizontal="center" vertical="top" wrapText="1"/>
      <protection/>
    </xf>
    <xf numFmtId="0" fontId="19" fillId="0" borderId="28" xfId="20" applyFont="1" applyBorder="1" applyAlignment="1" applyProtection="1">
      <alignment horizontal="center" vertical="top" wrapText="1"/>
      <protection hidden="1"/>
    </xf>
    <xf numFmtId="0" fontId="19" fillId="0" borderId="5" xfId="20" applyFont="1" applyFill="1" applyBorder="1" applyAlignment="1">
      <alignment horizontal="center" vertical="top" wrapText="1"/>
      <protection/>
    </xf>
    <xf numFmtId="3" fontId="0" fillId="0" borderId="25" xfId="20" applyNumberFormat="1" applyFont="1" applyBorder="1" applyAlignment="1">
      <alignment vertical="center"/>
      <protection/>
    </xf>
    <xf numFmtId="3" fontId="0" fillId="0" borderId="28" xfId="20" applyNumberFormat="1" applyFont="1" applyBorder="1" applyAlignment="1">
      <alignment vertical="center"/>
      <protection/>
    </xf>
    <xf numFmtId="3" fontId="1" fillId="0" borderId="12" xfId="20" applyNumberFormat="1" applyFont="1" applyFill="1" applyBorder="1" applyAlignment="1">
      <alignment vertical="center"/>
      <protection/>
    </xf>
    <xf numFmtId="0" fontId="0" fillId="0" borderId="28" xfId="20" applyFont="1" applyBorder="1" applyAlignment="1">
      <alignment vertical="center"/>
      <protection/>
    </xf>
    <xf numFmtId="0" fontId="0" fillId="0" borderId="14" xfId="20" applyFont="1" applyBorder="1" applyAlignment="1" applyProtection="1">
      <alignment horizontal="left" vertical="center"/>
      <protection/>
    </xf>
    <xf numFmtId="0" fontId="1" fillId="2" borderId="14" xfId="20" applyFont="1" applyFill="1" applyBorder="1" applyAlignment="1" applyProtection="1">
      <alignment horizontal="left" vertical="center"/>
      <protection/>
    </xf>
    <xf numFmtId="0" fontId="1" fillId="0" borderId="14" xfId="20" applyFont="1" applyBorder="1" applyAlignment="1" applyProtection="1">
      <alignment horizontal="left"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26" xfId="20" applyFont="1" applyBorder="1" applyAlignment="1" applyProtection="1">
      <alignment horizontal="left" vertical="center"/>
      <protection/>
    </xf>
    <xf numFmtId="0" fontId="0" fillId="0" borderId="12" xfId="20" applyFont="1" applyBorder="1" applyAlignment="1" applyProtection="1">
      <alignment horizontal="left" vertical="center"/>
      <protection/>
    </xf>
    <xf numFmtId="0" fontId="0" fillId="0" borderId="25" xfId="20" applyFont="1" applyBorder="1" applyAlignment="1" applyProtection="1">
      <alignment horizontal="left" vertical="center"/>
      <protection/>
    </xf>
    <xf numFmtId="0" fontId="0" fillId="0" borderId="28" xfId="20" applyFont="1" applyBorder="1" applyAlignment="1" applyProtection="1">
      <alignment horizontal="left" vertical="center"/>
      <protection/>
    </xf>
    <xf numFmtId="0" fontId="1" fillId="0" borderId="12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3" borderId="5" xfId="20" applyFont="1" applyFill="1" applyBorder="1" applyAlignment="1" applyProtection="1">
      <alignment horizontal="left" vertical="center"/>
      <protection/>
    </xf>
    <xf numFmtId="10" fontId="0" fillId="0" borderId="15" xfId="20" applyNumberFormat="1" applyFont="1" applyBorder="1" applyAlignment="1">
      <alignment vertical="center"/>
      <protection/>
    </xf>
    <xf numFmtId="10" fontId="1" fillId="2" borderId="15" xfId="20" applyNumberFormat="1" applyFont="1" applyFill="1" applyBorder="1" applyAlignment="1" applyProtection="1">
      <alignment vertical="center"/>
      <protection/>
    </xf>
    <xf numFmtId="10" fontId="1" fillId="0" borderId="15" xfId="20" applyNumberFormat="1" applyFont="1" applyBorder="1" applyAlignment="1" applyProtection="1">
      <alignment vertical="center"/>
      <protection/>
    </xf>
    <xf numFmtId="10" fontId="1" fillId="0" borderId="15" xfId="20" applyNumberFormat="1" applyFont="1" applyBorder="1" applyAlignment="1" applyProtection="1">
      <alignment vertical="center"/>
      <protection hidden="1"/>
    </xf>
    <xf numFmtId="10" fontId="1" fillId="0" borderId="46" xfId="20" applyNumberFormat="1" applyFont="1" applyBorder="1" applyAlignment="1">
      <alignment vertical="center"/>
      <protection/>
    </xf>
    <xf numFmtId="10" fontId="1" fillId="0" borderId="47" xfId="20" applyNumberFormat="1" applyFont="1" applyBorder="1" applyAlignment="1" applyProtection="1">
      <alignment vertical="center"/>
      <protection/>
    </xf>
    <xf numFmtId="10" fontId="0" fillId="0" borderId="48" xfId="20" applyNumberFormat="1" applyFont="1" applyBorder="1" applyAlignment="1">
      <alignment vertical="center"/>
      <protection/>
    </xf>
    <xf numFmtId="10" fontId="0" fillId="0" borderId="46" xfId="20" applyNumberFormat="1" applyFont="1" applyBorder="1" applyAlignment="1">
      <alignment vertical="center"/>
      <protection/>
    </xf>
    <xf numFmtId="10" fontId="0" fillId="0" borderId="10" xfId="20" applyNumberFormat="1" applyFont="1" applyBorder="1" applyAlignment="1">
      <alignment vertical="center"/>
      <protection/>
    </xf>
    <xf numFmtId="10" fontId="1" fillId="0" borderId="48" xfId="20" applyNumberFormat="1" applyFont="1" applyFill="1" applyBorder="1" applyAlignment="1">
      <alignment vertical="center"/>
      <protection/>
    </xf>
    <xf numFmtId="10" fontId="1" fillId="0" borderId="18" xfId="20" applyNumberFormat="1" applyFont="1" applyFill="1" applyBorder="1" applyAlignment="1">
      <alignment vertical="center"/>
      <protection/>
    </xf>
    <xf numFmtId="10" fontId="1" fillId="3" borderId="6" xfId="20" applyNumberFormat="1" applyFont="1" applyFill="1" applyBorder="1" applyAlignment="1" applyProtection="1">
      <alignment vertical="center"/>
      <protection/>
    </xf>
    <xf numFmtId="3" fontId="0" fillId="0" borderId="34" xfId="20" applyNumberFormat="1" applyFont="1" applyBorder="1" applyAlignment="1">
      <alignment vertical="center"/>
      <protection/>
    </xf>
    <xf numFmtId="3" fontId="1" fillId="2" borderId="34" xfId="20" applyNumberFormat="1" applyFont="1" applyFill="1" applyBorder="1" applyAlignment="1" applyProtection="1">
      <alignment vertical="center"/>
      <protection/>
    </xf>
    <xf numFmtId="3" fontId="1" fillId="0" borderId="34" xfId="20" applyNumberFormat="1" applyFont="1" applyBorder="1" applyAlignment="1" applyProtection="1">
      <alignment vertical="center"/>
      <protection/>
    </xf>
    <xf numFmtId="3" fontId="1" fillId="0" borderId="34" xfId="20" applyNumberFormat="1" applyFont="1" applyBorder="1" applyAlignment="1" applyProtection="1">
      <alignment vertical="center"/>
      <protection hidden="1"/>
    </xf>
    <xf numFmtId="3" fontId="1" fillId="0" borderId="49" xfId="20" applyNumberFormat="1" applyFont="1" applyBorder="1" applyAlignment="1">
      <alignment vertical="center"/>
      <protection/>
    </xf>
    <xf numFmtId="3" fontId="1" fillId="0" borderId="31" xfId="20" applyNumberFormat="1" applyFont="1" applyBorder="1" applyAlignment="1" applyProtection="1">
      <alignment vertical="center"/>
      <protection/>
    </xf>
    <xf numFmtId="3" fontId="0" fillId="0" borderId="49" xfId="20" applyNumberFormat="1" applyFont="1" applyBorder="1" applyAlignment="1">
      <alignment vertical="center"/>
      <protection/>
    </xf>
    <xf numFmtId="3" fontId="1" fillId="0" borderId="32" xfId="20" applyNumberFormat="1" applyFont="1" applyFill="1" applyBorder="1" applyAlignment="1">
      <alignment vertical="center"/>
      <protection/>
    </xf>
    <xf numFmtId="3" fontId="1" fillId="0" borderId="50" xfId="20" applyNumberFormat="1" applyFont="1" applyFill="1" applyBorder="1" applyAlignment="1">
      <alignment vertical="center"/>
      <protection/>
    </xf>
    <xf numFmtId="3" fontId="1" fillId="3" borderId="26" xfId="20" applyNumberFormat="1" applyFont="1" applyFill="1" applyBorder="1" applyAlignment="1" applyProtection="1">
      <alignment vertical="center"/>
      <protection/>
    </xf>
    <xf numFmtId="49" fontId="1" fillId="0" borderId="47" xfId="20" applyNumberFormat="1" applyFont="1" applyBorder="1" applyAlignment="1">
      <alignment horizontal="center" vertical="center" wrapText="1"/>
      <protection/>
    </xf>
    <xf numFmtId="0" fontId="1" fillId="0" borderId="49" xfId="20" applyFont="1" applyBorder="1" applyAlignment="1">
      <alignment horizontal="center" vertical="top" wrapText="1"/>
      <protection/>
    </xf>
    <xf numFmtId="0" fontId="1" fillId="0" borderId="28" xfId="20" applyFont="1" applyBorder="1" applyAlignment="1">
      <alignment horizontal="center" vertical="top" wrapText="1"/>
      <protection/>
    </xf>
    <xf numFmtId="0" fontId="1" fillId="0" borderId="51" xfId="20" applyFont="1" applyBorder="1" applyAlignment="1">
      <alignment horizontal="center" vertical="top" wrapText="1"/>
      <protection/>
    </xf>
    <xf numFmtId="0" fontId="0" fillId="0" borderId="26" xfId="20" applyFont="1" applyBorder="1" applyAlignment="1">
      <alignment vertical="center"/>
      <protection/>
    </xf>
    <xf numFmtId="0" fontId="1" fillId="0" borderId="26" xfId="20" applyFont="1" applyBorder="1" applyAlignment="1">
      <alignment horizontal="center" vertical="center" wrapText="1"/>
      <protection/>
    </xf>
    <xf numFmtId="49" fontId="1" fillId="0" borderId="36" xfId="20" applyNumberFormat="1" applyFont="1" applyBorder="1" applyAlignment="1">
      <alignment horizontal="center" vertical="center" wrapText="1"/>
      <protection/>
    </xf>
    <xf numFmtId="3" fontId="3" fillId="2" borderId="36" xfId="20" applyNumberFormat="1" applyFont="1" applyFill="1" applyBorder="1" applyProtection="1">
      <alignment/>
      <protection hidden="1"/>
    </xf>
    <xf numFmtId="3" fontId="8" fillId="0" borderId="35" xfId="20" applyNumberFormat="1" applyFont="1" applyBorder="1" applyProtection="1">
      <alignment/>
      <protection hidden="1"/>
    </xf>
    <xf numFmtId="3" fontId="1" fillId="0" borderId="1" xfId="20" applyNumberFormat="1" applyFont="1" applyBorder="1" applyProtection="1">
      <alignment/>
      <protection hidden="1"/>
    </xf>
    <xf numFmtId="3" fontId="8" fillId="0" borderId="1" xfId="20" applyNumberFormat="1" applyFont="1" applyBorder="1" applyProtection="1">
      <alignment/>
      <protection locked="0"/>
    </xf>
    <xf numFmtId="3" fontId="8" fillId="0" borderId="1" xfId="20" applyNumberFormat="1" applyFont="1" applyBorder="1" applyProtection="1">
      <alignment/>
      <protection hidden="1"/>
    </xf>
    <xf numFmtId="3" fontId="1" fillId="0" borderId="1" xfId="20" applyNumberFormat="1" applyFont="1" applyBorder="1" applyProtection="1">
      <alignment/>
      <protection locked="0"/>
    </xf>
    <xf numFmtId="3" fontId="8" fillId="0" borderId="43" xfId="20" applyNumberFormat="1" applyFont="1" applyBorder="1" applyProtection="1">
      <alignment/>
      <protection hidden="1"/>
    </xf>
    <xf numFmtId="3" fontId="15" fillId="0" borderId="35" xfId="20" applyNumberFormat="1" applyFont="1" applyBorder="1" applyProtection="1">
      <alignment/>
      <protection hidden="1"/>
    </xf>
    <xf numFmtId="0" fontId="1" fillId="0" borderId="52" xfId="20" applyFont="1" applyBorder="1" applyAlignment="1">
      <alignment horizontal="center" vertical="top" wrapText="1"/>
      <protection/>
    </xf>
    <xf numFmtId="10" fontId="3" fillId="2" borderId="47" xfId="20" applyNumberFormat="1" applyFont="1" applyFill="1" applyBorder="1" applyProtection="1">
      <alignment/>
      <protection hidden="1"/>
    </xf>
    <xf numFmtId="10" fontId="8" fillId="0" borderId="48" xfId="20" applyNumberFormat="1" applyFont="1" applyBorder="1" applyProtection="1">
      <alignment/>
      <protection hidden="1"/>
    </xf>
    <xf numFmtId="10" fontId="1" fillId="0" borderId="15" xfId="20" applyNumberFormat="1" applyFont="1" applyBorder="1" applyProtection="1">
      <alignment/>
      <protection hidden="1"/>
    </xf>
    <xf numFmtId="10" fontId="8" fillId="0" borderId="15" xfId="20" applyNumberFormat="1" applyFont="1" applyBorder="1" applyProtection="1">
      <alignment/>
      <protection locked="0"/>
    </xf>
    <xf numFmtId="10" fontId="8" fillId="0" borderId="15" xfId="20" applyNumberFormat="1" applyFont="1" applyBorder="1" applyProtection="1">
      <alignment/>
      <protection hidden="1"/>
    </xf>
    <xf numFmtId="10" fontId="1" fillId="0" borderId="15" xfId="20" applyNumberFormat="1" applyFont="1" applyBorder="1" applyProtection="1">
      <alignment/>
      <protection locked="0"/>
    </xf>
    <xf numFmtId="10" fontId="8" fillId="0" borderId="18" xfId="20" applyNumberFormat="1" applyFont="1" applyBorder="1" applyProtection="1">
      <alignment/>
      <protection hidden="1"/>
    </xf>
    <xf numFmtId="10" fontId="15" fillId="0" borderId="48" xfId="20" applyNumberFormat="1" applyFont="1" applyBorder="1" applyProtection="1">
      <alignment/>
      <protection hidden="1"/>
    </xf>
    <xf numFmtId="3" fontId="1" fillId="0" borderId="43" xfId="20" applyNumberFormat="1" applyFont="1" applyBorder="1" applyProtection="1">
      <alignment/>
      <protection locked="0"/>
    </xf>
    <xf numFmtId="10" fontId="1" fillId="0" borderId="18" xfId="20" applyNumberFormat="1" applyFont="1" applyBorder="1" applyProtection="1">
      <alignment/>
      <protection locked="0"/>
    </xf>
    <xf numFmtId="0" fontId="0" fillId="0" borderId="53" xfId="20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1" fillId="0" borderId="19" xfId="20" applyFont="1" applyBorder="1" applyAlignment="1" applyProtection="1">
      <alignment horizontal="center" wrapText="1"/>
      <protection hidden="1"/>
    </xf>
    <xf numFmtId="0" fontId="1" fillId="0" borderId="26" xfId="20" applyFont="1" applyBorder="1" applyAlignment="1" applyProtection="1">
      <alignment horizontal="center" wrapText="1"/>
      <protection hidden="1"/>
    </xf>
    <xf numFmtId="0" fontId="19" fillId="0" borderId="55" xfId="20" applyFont="1" applyBorder="1" applyAlignment="1">
      <alignment horizontal="center" vertical="top" wrapText="1"/>
      <protection/>
    </xf>
    <xf numFmtId="49" fontId="20" fillId="0" borderId="37" xfId="20" applyNumberFormat="1" applyFont="1" applyBorder="1" applyAlignment="1">
      <alignment horizontal="center" vertical="center" wrapText="1"/>
      <protection/>
    </xf>
    <xf numFmtId="0" fontId="16" fillId="0" borderId="26" xfId="20" applyFont="1" applyFill="1" applyBorder="1" applyAlignment="1">
      <alignment horizontal="center" wrapText="1"/>
      <protection/>
    </xf>
    <xf numFmtId="0" fontId="19" fillId="0" borderId="33" xfId="20" applyFont="1" applyBorder="1" applyAlignment="1">
      <alignment horizontal="center" vertical="top" wrapText="1"/>
      <protection/>
    </xf>
    <xf numFmtId="49" fontId="20" fillId="0" borderId="31" xfId="2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3" fontId="4" fillId="0" borderId="4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5" xfId="0" applyNumberFormat="1" applyBorder="1" applyAlignment="1">
      <alignment/>
    </xf>
    <xf numFmtId="0" fontId="2" fillId="0" borderId="2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30" xfId="0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8" fillId="0" borderId="0" xfId="0" applyAlignment="1">
      <alignment/>
    </xf>
    <xf numFmtId="0" fontId="8" fillId="0" borderId="0" xfId="0" applyFill="1" applyAlignment="1">
      <alignment/>
    </xf>
    <xf numFmtId="0" fontId="25" fillId="5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2" fontId="8" fillId="0" borderId="0" xfId="0" applyNumberFormat="1" applyAlignment="1">
      <alignment/>
    </xf>
    <xf numFmtId="0" fontId="1" fillId="0" borderId="26" xfId="0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1" fillId="6" borderId="26" xfId="0" applyFont="1" applyFill="1" applyBorder="1" applyAlignment="1" quotePrefix="1">
      <alignment horizontal="left"/>
    </xf>
    <xf numFmtId="165" fontId="1" fillId="6" borderId="26" xfId="0" applyNumberFormat="1" applyFont="1" applyFill="1" applyBorder="1" applyAlignment="1">
      <alignment/>
    </xf>
    <xf numFmtId="166" fontId="1" fillId="6" borderId="26" xfId="0" applyNumberFormat="1" applyFont="1" applyFill="1" applyBorder="1" applyAlignment="1">
      <alignment/>
    </xf>
    <xf numFmtId="3" fontId="1" fillId="6" borderId="26" xfId="0" applyNumberFormat="1" applyFont="1" applyFill="1" applyBorder="1" applyAlignment="1">
      <alignment/>
    </xf>
    <xf numFmtId="167" fontId="1" fillId="6" borderId="26" xfId="0" applyNumberFormat="1" applyFont="1" applyFill="1" applyBorder="1" applyAlignment="1">
      <alignment/>
    </xf>
    <xf numFmtId="2" fontId="1" fillId="6" borderId="54" xfId="0" applyNumberFormat="1" applyFont="1" applyFill="1" applyBorder="1" applyAlignment="1">
      <alignment/>
    </xf>
    <xf numFmtId="2" fontId="1" fillId="6" borderId="26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2" fontId="0" fillId="0" borderId="45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0" fontId="1" fillId="0" borderId="28" xfId="0" applyFont="1" applyBorder="1" applyAlignment="1" quotePrefix="1">
      <alignment horizontal="left"/>
    </xf>
    <xf numFmtId="166" fontId="1" fillId="0" borderId="28" xfId="16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166" fontId="0" fillId="0" borderId="28" xfId="16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28" xfId="0" applyNumberFormat="1" applyFont="1" applyBorder="1" applyAlignment="1">
      <alignment/>
    </xf>
    <xf numFmtId="166" fontId="0" fillId="0" borderId="28" xfId="16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167" fontId="1" fillId="0" borderId="28" xfId="16" applyNumberFormat="1" applyFont="1" applyBorder="1" applyAlignment="1">
      <alignment/>
    </xf>
    <xf numFmtId="3" fontId="1" fillId="0" borderId="28" xfId="16" applyNumberFormat="1" applyFont="1" applyBorder="1" applyAlignment="1">
      <alignment/>
    </xf>
    <xf numFmtId="0" fontId="6" fillId="0" borderId="28" xfId="0" applyFont="1" applyBorder="1" applyAlignment="1" quotePrefix="1">
      <alignment horizontal="left"/>
    </xf>
    <xf numFmtId="166" fontId="0" fillId="0" borderId="28" xfId="16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6" fillId="0" borderId="28" xfId="0" applyFont="1" applyBorder="1" applyAlignment="1">
      <alignment horizontal="left"/>
    </xf>
    <xf numFmtId="0" fontId="0" fillId="0" borderId="28" xfId="0" applyFont="1" applyBorder="1" applyAlignment="1" quotePrefix="1">
      <alignment horizontal="left"/>
    </xf>
    <xf numFmtId="168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168" fontId="0" fillId="0" borderId="28" xfId="16" applyNumberFormat="1" applyFont="1" applyBorder="1" applyAlignment="1">
      <alignment/>
    </xf>
    <xf numFmtId="167" fontId="0" fillId="0" borderId="28" xfId="16" applyNumberFormat="1" applyFont="1" applyBorder="1" applyAlignment="1">
      <alignment/>
    </xf>
    <xf numFmtId="167" fontId="0" fillId="0" borderId="28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166" fontId="1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3" fontId="0" fillId="0" borderId="28" xfId="16" applyNumberFormat="1" applyFont="1" applyBorder="1" applyAlignment="1">
      <alignment/>
    </xf>
    <xf numFmtId="169" fontId="0" fillId="0" borderId="0" xfId="0" applyNumberFormat="1" applyFont="1" applyAlignment="1">
      <alignment/>
    </xf>
    <xf numFmtId="166" fontId="0" fillId="0" borderId="28" xfId="16" applyNumberFormat="1" applyFont="1" applyBorder="1" applyAlignment="1">
      <alignment/>
    </xf>
    <xf numFmtId="166" fontId="1" fillId="0" borderId="28" xfId="0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166" fontId="1" fillId="0" borderId="5" xfId="0" applyNumberFormat="1" applyFont="1" applyBorder="1" applyAlignment="1">
      <alignment/>
    </xf>
    <xf numFmtId="166" fontId="0" fillId="0" borderId="28" xfId="0" applyNumberFormat="1" applyFont="1" applyBorder="1" applyAlignment="1">
      <alignment horizontal="right"/>
    </xf>
    <xf numFmtId="166" fontId="0" fillId="0" borderId="5" xfId="0" applyNumberFormat="1" applyFont="1" applyBorder="1" applyAlignment="1">
      <alignment horizontal="right"/>
    </xf>
    <xf numFmtId="2" fontId="0" fillId="0" borderId="4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166" fontId="1" fillId="6" borderId="26" xfId="16" applyNumberFormat="1" applyFont="1" applyFill="1" applyBorder="1" applyAlignment="1">
      <alignment/>
    </xf>
    <xf numFmtId="2" fontId="27" fillId="6" borderId="58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6" fontId="0" fillId="0" borderId="33" xfId="0" applyNumberFormat="1" applyFont="1" applyBorder="1" applyAlignment="1">
      <alignment/>
    </xf>
    <xf numFmtId="0" fontId="0" fillId="0" borderId="28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1" fillId="6" borderId="26" xfId="0" applyFont="1" applyFill="1" applyBorder="1" applyAlignment="1">
      <alignment/>
    </xf>
    <xf numFmtId="167" fontId="1" fillId="6" borderId="26" xfId="16" applyNumberFormat="1" applyFont="1" applyFill="1" applyBorder="1" applyAlignment="1">
      <alignment horizontal="right"/>
    </xf>
    <xf numFmtId="166" fontId="1" fillId="6" borderId="26" xfId="16" applyNumberFormat="1" applyFont="1" applyFill="1" applyBorder="1" applyAlignment="1">
      <alignment horizontal="right"/>
    </xf>
    <xf numFmtId="3" fontId="1" fillId="6" borderId="26" xfId="16" applyNumberFormat="1" applyFont="1" applyFill="1" applyBorder="1" applyAlignment="1">
      <alignment horizontal="right"/>
    </xf>
    <xf numFmtId="2" fontId="1" fillId="6" borderId="26" xfId="0" applyNumberFormat="1" applyFont="1" applyFill="1" applyBorder="1" applyAlignment="1">
      <alignment horizontal="right"/>
    </xf>
    <xf numFmtId="2" fontId="1" fillId="6" borderId="26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right"/>
    </xf>
    <xf numFmtId="0" fontId="1" fillId="6" borderId="26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3" fontId="1" fillId="0" borderId="47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1" fillId="0" borderId="47" xfId="0" applyFont="1" applyBorder="1" applyAlignment="1">
      <alignment horizontal="center"/>
    </xf>
    <xf numFmtId="3" fontId="0" fillId="0" borderId="59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1" fillId="0" borderId="58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12" xfId="0" applyFont="1" applyBorder="1" applyAlignment="1">
      <alignment/>
    </xf>
    <xf numFmtId="3" fontId="0" fillId="0" borderId="60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3" fontId="0" fillId="0" borderId="25" xfId="0" applyNumberForma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51" xfId="0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65" fontId="9" fillId="0" borderId="65" xfId="0" applyNumberFormat="1" applyFont="1" applyFill="1" applyBorder="1" applyAlignment="1">
      <alignment horizontal="right" vertical="center"/>
    </xf>
    <xf numFmtId="165" fontId="9" fillId="0" borderId="22" xfId="0" applyNumberFormat="1" applyFont="1" applyFill="1" applyBorder="1" applyAlignment="1">
      <alignment horizontal="right" vertical="center"/>
    </xf>
    <xf numFmtId="165" fontId="9" fillId="0" borderId="24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vertical="center"/>
    </xf>
    <xf numFmtId="3" fontId="9" fillId="2" borderId="29" xfId="0" applyNumberFormat="1" applyFont="1" applyFill="1" applyBorder="1" applyAlignment="1">
      <alignment vertical="center"/>
    </xf>
    <xf numFmtId="3" fontId="9" fillId="7" borderId="11" xfId="0" applyNumberFormat="1" applyFont="1" applyFill="1" applyBorder="1" applyAlignment="1">
      <alignment vertical="center"/>
    </xf>
    <xf numFmtId="3" fontId="9" fillId="7" borderId="22" xfId="0" applyNumberFormat="1" applyFont="1" applyFill="1" applyBorder="1" applyAlignment="1">
      <alignment vertical="center"/>
    </xf>
    <xf numFmtId="3" fontId="9" fillId="7" borderId="30" xfId="0" applyNumberFormat="1" applyFont="1" applyFill="1" applyBorder="1" applyAlignment="1">
      <alignment vertical="center"/>
    </xf>
    <xf numFmtId="3" fontId="11" fillId="3" borderId="47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3" fontId="11" fillId="2" borderId="19" xfId="0" applyNumberFormat="1" applyFont="1" applyFill="1" applyBorder="1" applyAlignment="1">
      <alignment vertical="center"/>
    </xf>
    <xf numFmtId="2" fontId="3" fillId="0" borderId="26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8" fillId="0" borderId="0" xfId="0" applyNumberFormat="1" applyAlignment="1">
      <alignment/>
    </xf>
    <xf numFmtId="0" fontId="1" fillId="4" borderId="54" xfId="0" applyFont="1" applyFill="1" applyBorder="1" applyAlignment="1">
      <alignment/>
    </xf>
    <xf numFmtId="0" fontId="3" fillId="4" borderId="36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/>
    </xf>
    <xf numFmtId="49" fontId="3" fillId="4" borderId="36" xfId="0" applyNumberFormat="1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8" fillId="0" borderId="62" xfId="0" applyBorder="1" applyAlignment="1">
      <alignment/>
    </xf>
    <xf numFmtId="14" fontId="8" fillId="0" borderId="32" xfId="0" applyNumberFormat="1" applyBorder="1" applyAlignment="1">
      <alignment horizontal="left"/>
    </xf>
    <xf numFmtId="0" fontId="8" fillId="0" borderId="1" xfId="0" applyBorder="1" applyAlignment="1">
      <alignment horizontal="left"/>
    </xf>
    <xf numFmtId="49" fontId="8" fillId="0" borderId="1" xfId="0" applyNumberFormat="1" applyBorder="1" applyAlignment="1">
      <alignment horizontal="center"/>
    </xf>
    <xf numFmtId="0" fontId="8" fillId="0" borderId="1" xfId="0" applyBorder="1" applyAlignment="1">
      <alignment horizontal="center"/>
    </xf>
    <xf numFmtId="14" fontId="8" fillId="0" borderId="35" xfId="0" applyNumberFormat="1" applyBorder="1" applyAlignment="1">
      <alignment horizontal="center"/>
    </xf>
    <xf numFmtId="4" fontId="8" fillId="0" borderId="42" xfId="0" applyNumberFormat="1" applyBorder="1" applyAlignment="1">
      <alignment/>
    </xf>
    <xf numFmtId="0" fontId="8" fillId="4" borderId="63" xfId="0" applyFill="1" applyBorder="1" applyAlignment="1">
      <alignment/>
    </xf>
    <xf numFmtId="14" fontId="1" fillId="4" borderId="34" xfId="0" applyNumberFormat="1" applyFont="1" applyFill="1" applyBorder="1" applyAlignment="1">
      <alignment horizontal="left"/>
    </xf>
    <xf numFmtId="0" fontId="8" fillId="4" borderId="1" xfId="0" applyFill="1" applyBorder="1" applyAlignment="1">
      <alignment horizontal="left"/>
    </xf>
    <xf numFmtId="49" fontId="8" fillId="4" borderId="1" xfId="0" applyNumberFormat="1" applyFill="1" applyBorder="1" applyAlignment="1">
      <alignment horizontal="center"/>
    </xf>
    <xf numFmtId="0" fontId="8" fillId="4" borderId="1" xfId="0" applyFill="1" applyBorder="1" applyAlignment="1">
      <alignment horizontal="center"/>
    </xf>
    <xf numFmtId="14" fontId="8" fillId="4" borderId="1" xfId="0" applyNumberFormat="1" applyFill="1" applyBorder="1" applyAlignment="1">
      <alignment horizontal="center"/>
    </xf>
    <xf numFmtId="4" fontId="1" fillId="4" borderId="59" xfId="0" applyNumberFormat="1" applyFont="1" applyFill="1" applyBorder="1" applyAlignment="1">
      <alignment/>
    </xf>
    <xf numFmtId="0" fontId="8" fillId="0" borderId="63" xfId="0" applyBorder="1" applyAlignment="1">
      <alignment/>
    </xf>
    <xf numFmtId="14" fontId="8" fillId="0" borderId="34" xfId="0" applyNumberFormat="1" applyBorder="1" applyAlignment="1">
      <alignment horizontal="left"/>
    </xf>
    <xf numFmtId="14" fontId="8" fillId="0" borderId="1" xfId="0" applyNumberFormat="1" applyBorder="1" applyAlignment="1">
      <alignment horizontal="center"/>
    </xf>
    <xf numFmtId="4" fontId="8" fillId="0" borderId="59" xfId="0" applyNumberFormat="1" applyBorder="1" applyAlignment="1">
      <alignment/>
    </xf>
    <xf numFmtId="14" fontId="8" fillId="0" borderId="1" xfId="0" applyNumberFormat="1" applyBorder="1" applyAlignment="1">
      <alignment horizontal="left"/>
    </xf>
    <xf numFmtId="0" fontId="8" fillId="0" borderId="63" xfId="0" applyFill="1" applyBorder="1" applyAlignment="1">
      <alignment/>
    </xf>
    <xf numFmtId="0" fontId="8" fillId="0" borderId="35" xfId="0" applyBorder="1" applyAlignment="1">
      <alignment horizontal="left"/>
    </xf>
    <xf numFmtId="49" fontId="8" fillId="0" borderId="35" xfId="0" applyNumberFormat="1" applyBorder="1" applyAlignment="1">
      <alignment horizontal="center"/>
    </xf>
    <xf numFmtId="0" fontId="8" fillId="0" borderId="35" xfId="0" applyBorder="1" applyAlignment="1">
      <alignment horizontal="center"/>
    </xf>
    <xf numFmtId="14" fontId="1" fillId="0" borderId="34" xfId="0" applyNumberFormat="1" applyFont="1" applyFill="1" applyBorder="1" applyAlignment="1">
      <alignment horizontal="left"/>
    </xf>
    <xf numFmtId="4" fontId="0" fillId="0" borderId="59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8" fillId="0" borderId="1" xfId="0" applyFill="1" applyBorder="1" applyAlignment="1">
      <alignment horizontal="center"/>
    </xf>
    <xf numFmtId="14" fontId="8" fillId="0" borderId="1" xfId="0" applyNumberFormat="1" applyFill="1" applyBorder="1" applyAlignment="1">
      <alignment horizontal="center"/>
    </xf>
    <xf numFmtId="4" fontId="1" fillId="0" borderId="59" xfId="0" applyNumberFormat="1" applyFont="1" applyFill="1" applyBorder="1" applyAlignment="1">
      <alignment/>
    </xf>
    <xf numFmtId="0" fontId="8" fillId="4" borderId="64" xfId="0" applyFill="1" applyBorder="1" applyAlignment="1">
      <alignment/>
    </xf>
    <xf numFmtId="14" fontId="1" fillId="4" borderId="49" xfId="0" applyNumberFormat="1" applyFont="1" applyFill="1" applyBorder="1" applyAlignment="1">
      <alignment horizontal="left"/>
    </xf>
    <xf numFmtId="0" fontId="8" fillId="4" borderId="56" xfId="0" applyFill="1" applyBorder="1" applyAlignment="1">
      <alignment horizontal="left"/>
    </xf>
    <xf numFmtId="49" fontId="8" fillId="4" borderId="56" xfId="0" applyNumberFormat="1" applyFill="1" applyBorder="1" applyAlignment="1">
      <alignment horizontal="center"/>
    </xf>
    <xf numFmtId="0" fontId="8" fillId="4" borderId="56" xfId="0" applyFill="1" applyBorder="1" applyAlignment="1">
      <alignment horizontal="center"/>
    </xf>
    <xf numFmtId="14" fontId="8" fillId="4" borderId="56" xfId="0" applyNumberFormat="1" applyFill="1" applyBorder="1" applyAlignment="1">
      <alignment horizontal="center"/>
    </xf>
    <xf numFmtId="4" fontId="1" fillId="4" borderId="9" xfId="0" applyNumberFormat="1" applyFont="1" applyFill="1" applyBorder="1" applyAlignment="1">
      <alignment/>
    </xf>
    <xf numFmtId="0" fontId="28" fillId="8" borderId="19" xfId="0" applyFont="1" applyFill="1" applyBorder="1" applyAlignment="1">
      <alignment/>
    </xf>
    <xf numFmtId="0" fontId="3" fillId="8" borderId="20" xfId="0" applyFont="1" applyFill="1" applyBorder="1" applyAlignment="1">
      <alignment/>
    </xf>
    <xf numFmtId="0" fontId="4" fillId="8" borderId="20" xfId="0" applyFont="1" applyFill="1" applyBorder="1" applyAlignment="1">
      <alignment/>
    </xf>
    <xf numFmtId="49" fontId="4" fillId="8" borderId="20" xfId="0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4" fontId="3" fillId="8" borderId="47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65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5" xfId="0" applyFont="1" applyBorder="1" applyAlignment="1">
      <alignment/>
    </xf>
    <xf numFmtId="4" fontId="14" fillId="0" borderId="5" xfId="0" applyNumberFormat="1" applyFont="1" applyBorder="1" applyAlignment="1">
      <alignment/>
    </xf>
    <xf numFmtId="4" fontId="14" fillId="0" borderId="26" xfId="0" applyNumberFormat="1" applyFont="1" applyBorder="1" applyAlignment="1">
      <alignment/>
    </xf>
    <xf numFmtId="0" fontId="0" fillId="0" borderId="0" xfId="20" applyFont="1">
      <alignment/>
      <protection/>
    </xf>
    <xf numFmtId="0" fontId="1" fillId="0" borderId="44" xfId="20" applyFont="1" applyBorder="1" applyAlignment="1">
      <alignment horizontal="center"/>
      <protection/>
    </xf>
    <xf numFmtId="0" fontId="1" fillId="0" borderId="28" xfId="20" applyFont="1" applyBorder="1" applyAlignment="1">
      <alignment horizontal="center" vertical="center" wrapText="1"/>
      <protection/>
    </xf>
    <xf numFmtId="3" fontId="0" fillId="0" borderId="21" xfId="20" applyNumberFormat="1" applyFont="1" applyBorder="1" applyAlignment="1">
      <alignment vertical="center"/>
      <protection/>
    </xf>
    <xf numFmtId="0" fontId="1" fillId="0" borderId="27" xfId="20" applyFont="1" applyBorder="1" applyAlignment="1">
      <alignment horizontal="center" vertical="top" wrapText="1"/>
      <protection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3" fontId="16" fillId="0" borderId="0" xfId="21" applyNumberFormat="1" applyFont="1" applyFill="1" applyBorder="1">
      <alignment/>
      <protection/>
    </xf>
    <xf numFmtId="10" fontId="16" fillId="0" borderId="55" xfId="21" applyNumberFormat="1" applyFont="1" applyFill="1" applyBorder="1">
      <alignment/>
      <protection/>
    </xf>
    <xf numFmtId="0" fontId="0" fillId="0" borderId="28" xfId="20" applyFont="1" applyBorder="1" applyAlignment="1">
      <alignment horizontal="center"/>
      <protection/>
    </xf>
    <xf numFmtId="0" fontId="1" fillId="0" borderId="14" xfId="21" applyFont="1" applyFill="1" applyBorder="1" applyAlignment="1">
      <alignment horizontal="left"/>
      <protection/>
    </xf>
    <xf numFmtId="4" fontId="21" fillId="0" borderId="14" xfId="21" applyNumberFormat="1" applyFont="1" applyFill="1" applyBorder="1">
      <alignment/>
      <protection/>
    </xf>
    <xf numFmtId="4" fontId="21" fillId="0" borderId="23" xfId="21" applyNumberFormat="1" applyFont="1" applyFill="1" applyBorder="1">
      <alignment/>
      <protection/>
    </xf>
    <xf numFmtId="10" fontId="21" fillId="0" borderId="23" xfId="21" applyNumberFormat="1" applyFont="1" applyFill="1" applyBorder="1">
      <alignment/>
      <protection/>
    </xf>
    <xf numFmtId="0" fontId="16" fillId="0" borderId="14" xfId="20" applyFont="1" applyFill="1" applyBorder="1" applyAlignment="1">
      <alignment horizontal="center"/>
      <protection/>
    </xf>
    <xf numFmtId="0" fontId="16" fillId="0" borderId="14" xfId="21" applyFont="1" applyFill="1" applyBorder="1">
      <alignment/>
      <protection/>
    </xf>
    <xf numFmtId="0" fontId="16" fillId="2" borderId="12" xfId="20" applyFont="1" applyFill="1" applyBorder="1" applyAlignment="1">
      <alignment horizontal="center"/>
      <protection/>
    </xf>
    <xf numFmtId="0" fontId="16" fillId="2" borderId="14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16" fillId="2" borderId="25" xfId="20" applyFont="1" applyFill="1" applyBorder="1" applyAlignment="1">
      <alignment horizontal="center"/>
      <protection/>
    </xf>
    <xf numFmtId="0" fontId="1" fillId="4" borderId="14" xfId="21" applyFont="1" applyFill="1" applyBorder="1" applyAlignment="1">
      <alignment horizontal="left"/>
      <protection/>
    </xf>
    <xf numFmtId="4" fontId="21" fillId="4" borderId="14" xfId="21" applyNumberFormat="1" applyFont="1" applyFill="1" applyBorder="1">
      <alignment/>
      <protection/>
    </xf>
    <xf numFmtId="4" fontId="21" fillId="4" borderId="23" xfId="21" applyNumberFormat="1" applyFont="1" applyFill="1" applyBorder="1">
      <alignment/>
      <protection/>
    </xf>
    <xf numFmtId="10" fontId="21" fillId="4" borderId="39" xfId="21" applyNumberFormat="1" applyFont="1" applyFill="1" applyBorder="1">
      <alignment/>
      <protection/>
    </xf>
    <xf numFmtId="4" fontId="22" fillId="0" borderId="14" xfId="21" applyNumberFormat="1" applyFont="1" applyFill="1" applyBorder="1">
      <alignment/>
      <protection/>
    </xf>
    <xf numFmtId="4" fontId="22" fillId="0" borderId="23" xfId="21" applyNumberFormat="1" applyFont="1" applyFill="1" applyBorder="1">
      <alignment/>
      <protection/>
    </xf>
    <xf numFmtId="10" fontId="22" fillId="0" borderId="39" xfId="21" applyNumberFormat="1" applyFont="1" applyFill="1" applyBorder="1">
      <alignment/>
      <protection/>
    </xf>
    <xf numFmtId="10" fontId="21" fillId="0" borderId="39" xfId="21" applyNumberFormat="1" applyFont="1" applyFill="1" applyBorder="1">
      <alignment/>
      <protection/>
    </xf>
    <xf numFmtId="4" fontId="22" fillId="0" borderId="12" xfId="21" applyNumberFormat="1" applyFont="1" applyFill="1" applyBorder="1">
      <alignment/>
      <protection/>
    </xf>
    <xf numFmtId="4" fontId="22" fillId="0" borderId="29" xfId="21" applyNumberFormat="1" applyFont="1" applyFill="1" applyBorder="1">
      <alignment/>
      <protection/>
    </xf>
    <xf numFmtId="10" fontId="22" fillId="0" borderId="38" xfId="21" applyNumberFormat="1" applyFont="1" applyFill="1" applyBorder="1">
      <alignment/>
      <protection/>
    </xf>
    <xf numFmtId="4" fontId="22" fillId="0" borderId="25" xfId="21" applyNumberFormat="1" applyFont="1" applyFill="1" applyBorder="1">
      <alignment/>
      <protection/>
    </xf>
    <xf numFmtId="4" fontId="22" fillId="0" borderId="69" xfId="21" applyNumberFormat="1" applyFont="1" applyFill="1" applyBorder="1">
      <alignment/>
      <protection/>
    </xf>
    <xf numFmtId="10" fontId="22" fillId="0" borderId="57" xfId="21" applyNumberFormat="1" applyFont="1" applyFill="1" applyBorder="1">
      <alignment/>
      <protection/>
    </xf>
    <xf numFmtId="0" fontId="23" fillId="0" borderId="14" xfId="21" applyFont="1" applyFill="1" applyBorder="1" applyAlignment="1">
      <alignment horizontal="left"/>
      <protection/>
    </xf>
    <xf numFmtId="0" fontId="0" fillId="0" borderId="14" xfId="20" applyFont="1" applyBorder="1">
      <alignment/>
      <protection/>
    </xf>
    <xf numFmtId="0" fontId="14" fillId="0" borderId="2" xfId="20" applyFont="1" applyBorder="1" applyAlignment="1">
      <alignment horizontal="center"/>
      <protection/>
    </xf>
    <xf numFmtId="0" fontId="10" fillId="0" borderId="12" xfId="21" applyFont="1" applyFill="1" applyBorder="1">
      <alignment/>
      <protection/>
    </xf>
    <xf numFmtId="3" fontId="10" fillId="0" borderId="28" xfId="21" applyNumberFormat="1" applyFont="1" applyFill="1" applyBorder="1">
      <alignment/>
      <protection/>
    </xf>
    <xf numFmtId="0" fontId="10" fillId="0" borderId="14" xfId="21" applyFont="1" applyFill="1" applyBorder="1">
      <alignment/>
      <protection/>
    </xf>
    <xf numFmtId="4" fontId="10" fillId="0" borderId="12" xfId="21" applyNumberFormat="1" applyFont="1" applyFill="1" applyBorder="1">
      <alignment/>
      <protection/>
    </xf>
    <xf numFmtId="4" fontId="10" fillId="0" borderId="29" xfId="21" applyNumberFormat="1" applyFont="1" applyFill="1" applyBorder="1">
      <alignment/>
      <protection/>
    </xf>
    <xf numFmtId="10" fontId="10" fillId="0" borderId="38" xfId="21" applyNumberFormat="1" applyFont="1" applyFill="1" applyBorder="1">
      <alignment/>
      <protection/>
    </xf>
    <xf numFmtId="0" fontId="10" fillId="2" borderId="12" xfId="20" applyFont="1" applyFill="1" applyBorder="1" applyAlignment="1">
      <alignment horizontal="center"/>
      <protection/>
    </xf>
    <xf numFmtId="4" fontId="10" fillId="0" borderId="14" xfId="21" applyNumberFormat="1" applyFont="1" applyFill="1" applyBorder="1">
      <alignment/>
      <protection/>
    </xf>
    <xf numFmtId="4" fontId="10" fillId="0" borderId="23" xfId="21" applyNumberFormat="1" applyFont="1" applyFill="1" applyBorder="1">
      <alignment/>
      <protection/>
    </xf>
    <xf numFmtId="10" fontId="10" fillId="0" borderId="39" xfId="21" applyNumberFormat="1" applyFont="1" applyFill="1" applyBorder="1">
      <alignment/>
      <protection/>
    </xf>
    <xf numFmtId="0" fontId="10" fillId="2" borderId="14" xfId="20" applyFont="1" applyFill="1" applyBorder="1" applyAlignment="1">
      <alignment horizontal="center"/>
      <protection/>
    </xf>
    <xf numFmtId="4" fontId="10" fillId="0" borderId="25" xfId="21" applyNumberFormat="1" applyFont="1" applyFill="1" applyBorder="1">
      <alignment/>
      <protection/>
    </xf>
    <xf numFmtId="4" fontId="10" fillId="0" borderId="69" xfId="21" applyNumberFormat="1" applyFont="1" applyFill="1" applyBorder="1">
      <alignment/>
      <protection/>
    </xf>
    <xf numFmtId="10" fontId="10" fillId="0" borderId="57" xfId="21" applyNumberFormat="1" applyFont="1" applyFill="1" applyBorder="1">
      <alignment/>
      <protection/>
    </xf>
    <xf numFmtId="0" fontId="10" fillId="2" borderId="25" xfId="20" applyFont="1" applyFill="1" applyBorder="1" applyAlignment="1">
      <alignment horizontal="center"/>
      <protection/>
    </xf>
    <xf numFmtId="4" fontId="31" fillId="0" borderId="14" xfId="21" applyNumberFormat="1" applyFont="1" applyFill="1" applyBorder="1">
      <alignment/>
      <protection/>
    </xf>
    <xf numFmtId="4" fontId="31" fillId="0" borderId="23" xfId="21" applyNumberFormat="1" applyFont="1" applyFill="1" applyBorder="1">
      <alignment/>
      <protection/>
    </xf>
    <xf numFmtId="10" fontId="31" fillId="0" borderId="39" xfId="21" applyNumberFormat="1" applyFont="1" applyFill="1" applyBorder="1">
      <alignment/>
      <protection/>
    </xf>
    <xf numFmtId="2" fontId="10" fillId="0" borderId="12" xfId="20" applyNumberFormat="1" applyFont="1" applyBorder="1">
      <alignment/>
      <protection/>
    </xf>
    <xf numFmtId="2" fontId="10" fillId="0" borderId="29" xfId="20" applyNumberFormat="1" applyFont="1" applyBorder="1">
      <alignment/>
      <protection/>
    </xf>
    <xf numFmtId="10" fontId="10" fillId="0" borderId="38" xfId="20" applyNumberFormat="1" applyFont="1" applyBorder="1">
      <alignment/>
      <protection/>
    </xf>
    <xf numFmtId="0" fontId="10" fillId="0" borderId="14" xfId="20" applyFont="1" applyBorder="1" applyAlignment="1" applyProtection="1">
      <alignment horizontal="center"/>
      <protection/>
    </xf>
    <xf numFmtId="2" fontId="10" fillId="0" borderId="14" xfId="20" applyNumberFormat="1" applyFont="1" applyBorder="1">
      <alignment/>
      <protection/>
    </xf>
    <xf numFmtId="2" fontId="10" fillId="0" borderId="23" xfId="20" applyNumberFormat="1" applyFont="1" applyBorder="1">
      <alignment/>
      <protection/>
    </xf>
    <xf numFmtId="10" fontId="10" fillId="0" borderId="39" xfId="20" applyNumberFormat="1" applyFont="1" applyBorder="1">
      <alignment/>
      <protection/>
    </xf>
    <xf numFmtId="3" fontId="10" fillId="0" borderId="12" xfId="20" applyNumberFormat="1" applyFont="1" applyBorder="1">
      <alignment/>
      <protection/>
    </xf>
    <xf numFmtId="3" fontId="10" fillId="0" borderId="29" xfId="20" applyNumberFormat="1" applyFont="1" applyBorder="1">
      <alignment/>
      <protection/>
    </xf>
    <xf numFmtId="0" fontId="10" fillId="0" borderId="14" xfId="20" applyFont="1" applyBorder="1" applyAlignment="1">
      <alignment horizontal="center"/>
      <protection/>
    </xf>
    <xf numFmtId="3" fontId="10" fillId="0" borderId="14" xfId="20" applyNumberFormat="1" applyFont="1" applyBorder="1">
      <alignment/>
      <protection/>
    </xf>
    <xf numFmtId="3" fontId="10" fillId="0" borderId="23" xfId="20" applyNumberFormat="1" applyFont="1" applyBorder="1">
      <alignment/>
      <protection/>
    </xf>
    <xf numFmtId="3" fontId="32" fillId="0" borderId="14" xfId="19" applyNumberFormat="1" applyFont="1" applyBorder="1">
      <alignment/>
      <protection/>
    </xf>
    <xf numFmtId="3" fontId="32" fillId="0" borderId="23" xfId="19" applyNumberFormat="1" applyFont="1" applyBorder="1">
      <alignment/>
      <protection/>
    </xf>
    <xf numFmtId="10" fontId="32" fillId="0" borderId="39" xfId="19" applyNumberFormat="1" applyFont="1" applyBorder="1">
      <alignment/>
      <protection/>
    </xf>
    <xf numFmtId="0" fontId="10" fillId="0" borderId="14" xfId="20" applyFont="1" applyBorder="1">
      <alignment/>
      <protection/>
    </xf>
    <xf numFmtId="0" fontId="10" fillId="0" borderId="16" xfId="21" applyFont="1" applyFill="1" applyBorder="1">
      <alignment/>
      <protection/>
    </xf>
    <xf numFmtId="3" fontId="32" fillId="0" borderId="16" xfId="19" applyNumberFormat="1" applyFont="1" applyBorder="1">
      <alignment/>
      <protection/>
    </xf>
    <xf numFmtId="3" fontId="32" fillId="0" borderId="17" xfId="19" applyNumberFormat="1" applyFont="1" applyBorder="1">
      <alignment/>
      <protection/>
    </xf>
    <xf numFmtId="10" fontId="32" fillId="0" borderId="70" xfId="19" applyNumberFormat="1" applyFont="1" applyBorder="1">
      <alignment/>
      <protection/>
    </xf>
    <xf numFmtId="0" fontId="10" fillId="0" borderId="16" xfId="20" applyFont="1" applyBorder="1">
      <alignment/>
      <protection/>
    </xf>
    <xf numFmtId="0" fontId="9" fillId="2" borderId="65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3" fontId="9" fillId="2" borderId="21" xfId="0" applyNumberFormat="1" applyFont="1" applyFill="1" applyBorder="1" applyAlignment="1">
      <alignment vertical="center"/>
    </xf>
    <xf numFmtId="3" fontId="9" fillId="2" borderId="71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3" fontId="9" fillId="2" borderId="23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2" borderId="16" xfId="0" applyNumberFormat="1" applyFont="1" applyFill="1" applyBorder="1" applyAlignment="1">
      <alignment vertical="center"/>
    </xf>
    <xf numFmtId="3" fontId="9" fillId="2" borderId="17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170" fontId="9" fillId="0" borderId="16" xfId="0" applyNumberFormat="1" applyFont="1" applyBorder="1" applyAlignment="1">
      <alignment horizontal="center"/>
    </xf>
    <xf numFmtId="0" fontId="33" fillId="2" borderId="22" xfId="0" applyFont="1" applyFill="1" applyBorder="1" applyAlignment="1">
      <alignment vertical="center"/>
    </xf>
    <xf numFmtId="3" fontId="33" fillId="2" borderId="14" xfId="0" applyNumberFormat="1" applyFont="1" applyFill="1" applyBorder="1" applyAlignment="1">
      <alignment vertical="center"/>
    </xf>
    <xf numFmtId="3" fontId="33" fillId="2" borderId="14" xfId="0" applyNumberFormat="1" applyFont="1" applyFill="1" applyBorder="1" applyAlignment="1">
      <alignment horizontal="right" vertical="center"/>
    </xf>
    <xf numFmtId="3" fontId="33" fillId="7" borderId="22" xfId="0" applyNumberFormat="1" applyFont="1" applyFill="1" applyBorder="1" applyAlignment="1">
      <alignment vertical="center"/>
    </xf>
    <xf numFmtId="3" fontId="33" fillId="0" borderId="23" xfId="0" applyNumberFormat="1" applyFont="1" applyFill="1" applyBorder="1" applyAlignment="1">
      <alignment vertical="center"/>
    </xf>
    <xf numFmtId="3" fontId="33" fillId="0" borderId="22" xfId="0" applyNumberFormat="1" applyFont="1" applyFill="1" applyBorder="1" applyAlignment="1">
      <alignment vertical="center"/>
    </xf>
    <xf numFmtId="165" fontId="9" fillId="2" borderId="21" xfId="0" applyNumberFormat="1" applyFont="1" applyFill="1" applyBorder="1" applyAlignment="1">
      <alignment horizontal="right" vertical="center"/>
    </xf>
    <xf numFmtId="165" fontId="9" fillId="2" borderId="71" xfId="0" applyNumberFormat="1" applyFont="1" applyFill="1" applyBorder="1" applyAlignment="1">
      <alignment horizontal="right" vertical="center"/>
    </xf>
    <xf numFmtId="165" fontId="9" fillId="2" borderId="14" xfId="0" applyNumberFormat="1" applyFont="1" applyFill="1" applyBorder="1" applyAlignment="1">
      <alignment horizontal="right" vertical="center"/>
    </xf>
    <xf numFmtId="165" fontId="9" fillId="2" borderId="23" xfId="0" applyNumberFormat="1" applyFont="1" applyFill="1" applyBorder="1" applyAlignment="1">
      <alignment horizontal="right" vertical="center"/>
    </xf>
    <xf numFmtId="165" fontId="9" fillId="2" borderId="16" xfId="0" applyNumberFormat="1" applyFont="1" applyFill="1" applyBorder="1" applyAlignment="1">
      <alignment horizontal="right" vertical="center"/>
    </xf>
    <xf numFmtId="165" fontId="9" fillId="2" borderId="17" xfId="0" applyNumberFormat="1" applyFont="1" applyFill="1" applyBorder="1" applyAlignment="1">
      <alignment horizontal="right" vertical="center"/>
    </xf>
    <xf numFmtId="0" fontId="8" fillId="0" borderId="0" xfId="0" applyAlignment="1">
      <alignment horizontal="centerContinuous"/>
    </xf>
    <xf numFmtId="0" fontId="5" fillId="0" borderId="0" xfId="0" applyFont="1" applyAlignment="1">
      <alignment/>
    </xf>
    <xf numFmtId="0" fontId="8" fillId="0" borderId="0" xfId="0" applyAlignment="1">
      <alignment horizontal="left"/>
    </xf>
    <xf numFmtId="0" fontId="8" fillId="0" borderId="0" xfId="0" applyFont="1" applyAlignment="1">
      <alignment/>
    </xf>
    <xf numFmtId="0" fontId="34" fillId="0" borderId="0" xfId="0" applyFont="1" applyAlignment="1">
      <alignment horizontal="right"/>
    </xf>
    <xf numFmtId="0" fontId="8" fillId="0" borderId="2" xfId="0" applyBorder="1" applyAlignment="1">
      <alignment/>
    </xf>
    <xf numFmtId="0" fontId="8" fillId="0" borderId="2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2" xfId="0" applyBorder="1" applyAlignment="1">
      <alignment horizontal="center"/>
    </xf>
    <xf numFmtId="0" fontId="8" fillId="0" borderId="40" xfId="0" applyBorder="1" applyAlignment="1">
      <alignment horizontal="center"/>
    </xf>
    <xf numFmtId="0" fontId="8" fillId="0" borderId="42" xfId="0" applyBorder="1" applyAlignment="1">
      <alignment horizontal="center"/>
    </xf>
    <xf numFmtId="0" fontId="8" fillId="0" borderId="72" xfId="0" applyBorder="1" applyAlignment="1">
      <alignment horizontal="center"/>
    </xf>
    <xf numFmtId="0" fontId="8" fillId="0" borderId="73" xfId="0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63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0" fontId="8" fillId="2" borderId="14" xfId="0" applyFill="1" applyBorder="1" applyAlignment="1">
      <alignment/>
    </xf>
    <xf numFmtId="3" fontId="0" fillId="3" borderId="12" xfId="20" applyNumberFormat="1" applyFont="1" applyFill="1" applyBorder="1" applyAlignment="1">
      <alignment vertical="center"/>
      <protection/>
    </xf>
    <xf numFmtId="3" fontId="8" fillId="2" borderId="63" xfId="0" applyNumberFormat="1" applyFill="1" applyBorder="1" applyAlignment="1">
      <alignment/>
    </xf>
    <xf numFmtId="3" fontId="8" fillId="2" borderId="59" xfId="0" applyNumberFormat="1" applyFill="1" applyBorder="1" applyAlignment="1">
      <alignment/>
    </xf>
    <xf numFmtId="3" fontId="8" fillId="2" borderId="34" xfId="0" applyNumberFormat="1" applyFill="1" applyBorder="1" applyAlignment="1">
      <alignment/>
    </xf>
    <xf numFmtId="3" fontId="8" fillId="2" borderId="39" xfId="0" applyNumberFormat="1" applyFill="1" applyBorder="1" applyAlignment="1">
      <alignment/>
    </xf>
    <xf numFmtId="0" fontId="8" fillId="2" borderId="0" xfId="0" applyFill="1" applyAlignment="1">
      <alignment/>
    </xf>
    <xf numFmtId="0" fontId="0" fillId="2" borderId="14" xfId="0" applyFont="1" applyFill="1" applyBorder="1" applyAlignment="1">
      <alignment/>
    </xf>
    <xf numFmtId="3" fontId="0" fillId="2" borderId="63" xfId="0" applyNumberFormat="1" applyFont="1" applyFill="1" applyBorder="1" applyAlignment="1">
      <alignment/>
    </xf>
    <xf numFmtId="3" fontId="0" fillId="2" borderId="59" xfId="0" applyNumberFormat="1" applyFont="1" applyFill="1" applyBorder="1" applyAlignment="1">
      <alignment/>
    </xf>
    <xf numFmtId="3" fontId="0" fillId="2" borderId="34" xfId="0" applyNumberFormat="1" applyFont="1" applyFill="1" applyBorder="1" applyAlignment="1">
      <alignment/>
    </xf>
    <xf numFmtId="3" fontId="0" fillId="2" borderId="39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1" fillId="2" borderId="63" xfId="0" applyNumberFormat="1" applyFont="1" applyFill="1" applyBorder="1" applyAlignment="1">
      <alignment/>
    </xf>
    <xf numFmtId="3" fontId="1" fillId="2" borderId="59" xfId="0" applyNumberFormat="1" applyFont="1" applyFill="1" applyBorder="1" applyAlignment="1">
      <alignment/>
    </xf>
    <xf numFmtId="3" fontId="1" fillId="2" borderId="34" xfId="0" applyNumberFormat="1" applyFont="1" applyFill="1" applyBorder="1" applyAlignment="1">
      <alignment/>
    </xf>
    <xf numFmtId="3" fontId="1" fillId="2" borderId="39" xfId="0" applyNumberFormat="1" applyFont="1" applyFill="1" applyBorder="1" applyAlignment="1">
      <alignment/>
    </xf>
    <xf numFmtId="0" fontId="8" fillId="0" borderId="14" xfId="0" applyBorder="1" applyAlignment="1">
      <alignment/>
    </xf>
    <xf numFmtId="3" fontId="8" fillId="0" borderId="63" xfId="0" applyNumberFormat="1" applyBorder="1" applyAlignment="1">
      <alignment/>
    </xf>
    <xf numFmtId="3" fontId="8" fillId="0" borderId="59" xfId="0" applyNumberFormat="1" applyBorder="1" applyAlignment="1">
      <alignment/>
    </xf>
    <xf numFmtId="3" fontId="8" fillId="0" borderId="34" xfId="0" applyNumberFormat="1" applyBorder="1" applyAlignment="1">
      <alignment/>
    </xf>
    <xf numFmtId="3" fontId="8" fillId="0" borderId="39" xfId="0" applyNumberFormat="1" applyBorder="1" applyAlignment="1">
      <alignment/>
    </xf>
    <xf numFmtId="0" fontId="1" fillId="0" borderId="16" xfId="0" applyFont="1" applyBorder="1" applyAlignment="1">
      <alignment horizontal="left"/>
    </xf>
    <xf numFmtId="3" fontId="1" fillId="2" borderId="8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50" xfId="0" applyNumberFormat="1" applyFont="1" applyFill="1" applyBorder="1" applyAlignment="1">
      <alignment/>
    </xf>
    <xf numFmtId="3" fontId="1" fillId="2" borderId="70" xfId="0" applyNumberFormat="1" applyFont="1" applyFill="1" applyBorder="1" applyAlignment="1">
      <alignment/>
    </xf>
    <xf numFmtId="0" fontId="8" fillId="0" borderId="0" xfId="0" applyBorder="1" applyAlignment="1">
      <alignment horizontal="left"/>
    </xf>
    <xf numFmtId="3" fontId="8" fillId="2" borderId="0" xfId="0" applyNumberFormat="1" applyFill="1" applyBorder="1" applyAlignment="1">
      <alignment/>
    </xf>
    <xf numFmtId="0" fontId="1" fillId="0" borderId="21" xfId="0" applyFont="1" applyBorder="1" applyAlignment="1">
      <alignment horizontal="left"/>
    </xf>
    <xf numFmtId="3" fontId="8" fillId="2" borderId="40" xfId="0" applyNumberFormat="1" applyFill="1" applyBorder="1" applyAlignment="1">
      <alignment/>
    </xf>
    <xf numFmtId="3" fontId="8" fillId="2" borderId="42" xfId="0" applyNumberFormat="1" applyFill="1" applyBorder="1" applyAlignment="1">
      <alignment/>
    </xf>
    <xf numFmtId="0" fontId="8" fillId="0" borderId="28" xfId="0" applyBorder="1" applyAlignment="1">
      <alignment/>
    </xf>
    <xf numFmtId="0" fontId="8" fillId="0" borderId="16" xfId="0" applyFill="1" applyBorder="1" applyAlignment="1">
      <alignment horizontal="left"/>
    </xf>
    <xf numFmtId="3" fontId="8" fillId="0" borderId="64" xfId="0" applyNumberFormat="1" applyBorder="1" applyAlignment="1">
      <alignment/>
    </xf>
    <xf numFmtId="3" fontId="8" fillId="0" borderId="51" xfId="0" applyNumberFormat="1" applyBorder="1" applyAlignment="1">
      <alignment/>
    </xf>
    <xf numFmtId="0" fontId="1" fillId="0" borderId="37" xfId="0" applyFont="1" applyBorder="1" applyAlignment="1">
      <alignment horizontal="left"/>
    </xf>
    <xf numFmtId="3" fontId="8" fillId="0" borderId="0" xfId="0" applyNumberFormat="1" applyAlignment="1">
      <alignment/>
    </xf>
    <xf numFmtId="0" fontId="1" fillId="0" borderId="21" xfId="0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8" fillId="0" borderId="16" xfId="0" applyBorder="1" applyAlignment="1">
      <alignment/>
    </xf>
    <xf numFmtId="3" fontId="8" fillId="0" borderId="8" xfId="0" applyNumberFormat="1" applyBorder="1" applyAlignment="1">
      <alignment/>
    </xf>
    <xf numFmtId="3" fontId="8" fillId="0" borderId="9" xfId="0" applyNumberFormat="1" applyBorder="1" applyAlignment="1">
      <alignment/>
    </xf>
    <xf numFmtId="3" fontId="8" fillId="3" borderId="14" xfId="20" applyNumberFormat="1" applyFont="1" applyFill="1" applyBorder="1" applyProtection="1">
      <alignment/>
      <protection locked="0"/>
    </xf>
    <xf numFmtId="0" fontId="35" fillId="0" borderId="0" xfId="0" applyFont="1" applyAlignment="1">
      <alignment/>
    </xf>
    <xf numFmtId="0" fontId="1" fillId="0" borderId="47" xfId="20" applyFont="1" applyBorder="1" applyAlignment="1">
      <alignment horizontal="center"/>
      <protection/>
    </xf>
    <xf numFmtId="3" fontId="0" fillId="3" borderId="14" xfId="20" applyNumberFormat="1" applyFont="1" applyFill="1" applyBorder="1" applyAlignment="1">
      <alignment vertical="center"/>
      <protection/>
    </xf>
    <xf numFmtId="3" fontId="1" fillId="9" borderId="14" xfId="20" applyNumberFormat="1" applyFont="1" applyFill="1" applyBorder="1" applyAlignment="1">
      <alignment vertical="center"/>
      <protection/>
    </xf>
    <xf numFmtId="3" fontId="1" fillId="9" borderId="12" xfId="20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9" fillId="2" borderId="40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71" xfId="20" applyFont="1" applyBorder="1" applyAlignment="1">
      <alignment horizontal="center"/>
      <protection/>
    </xf>
    <xf numFmtId="0" fontId="1" fillId="0" borderId="13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1" fillId="0" borderId="19" xfId="20" applyFont="1" applyBorder="1" applyAlignment="1">
      <alignment horizontal="center"/>
      <protection/>
    </xf>
    <xf numFmtId="0" fontId="13" fillId="0" borderId="0" xfId="20" applyFont="1" applyAlignment="1" applyProtection="1">
      <alignment horizontal="center"/>
      <protection hidden="1"/>
    </xf>
    <xf numFmtId="0" fontId="19" fillId="0" borderId="20" xfId="20" applyFont="1" applyBorder="1" applyAlignment="1">
      <alignment horizontal="center"/>
      <protection/>
    </xf>
    <xf numFmtId="0" fontId="29" fillId="0" borderId="0" xfId="20" applyFont="1" applyAlignment="1">
      <alignment horizontal="center"/>
      <protection/>
    </xf>
    <xf numFmtId="0" fontId="10" fillId="0" borderId="0" xfId="20" applyFont="1" applyBorder="1">
      <alignment/>
      <protection/>
    </xf>
    <xf numFmtId="0" fontId="0" fillId="0" borderId="0" xfId="20" applyFont="1" applyBorder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e_Hárok1" xfId="19"/>
    <cellStyle name="normálne_Príl.č.8 - nová" xfId="20"/>
    <cellStyle name="normální_Lis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323975"/>
          <a:ext cx="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10077450" y="523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Rectangle 19"/>
        <xdr:cNvSpPr>
          <a:spLocks/>
        </xdr:cNvSpPr>
      </xdr:nvSpPr>
      <xdr:spPr>
        <a:xfrm>
          <a:off x="10077450" y="523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Rectangle 20"/>
        <xdr:cNvSpPr>
          <a:spLocks/>
        </xdr:cNvSpPr>
      </xdr:nvSpPr>
      <xdr:spPr>
        <a:xfrm>
          <a:off x="10077450" y="523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Rectangle 21"/>
        <xdr:cNvSpPr>
          <a:spLocks/>
        </xdr:cNvSpPr>
      </xdr:nvSpPr>
      <xdr:spPr>
        <a:xfrm>
          <a:off x="10077450" y="523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" name="Rectangle 22"/>
        <xdr:cNvSpPr>
          <a:spLocks/>
        </xdr:cNvSpPr>
      </xdr:nvSpPr>
      <xdr:spPr>
        <a:xfrm>
          <a:off x="100774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0077450" y="523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Rectangle 24"/>
        <xdr:cNvSpPr>
          <a:spLocks/>
        </xdr:cNvSpPr>
      </xdr:nvSpPr>
      <xdr:spPr>
        <a:xfrm>
          <a:off x="10077450" y="523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workbookViewId="0" topLeftCell="A1">
      <selection activeCell="E33" sqref="E33"/>
    </sheetView>
  </sheetViews>
  <sheetFormatPr defaultColWidth="9.00390625" defaultRowHeight="12.75"/>
  <cols>
    <col min="1" max="1" width="6.125" style="265" customWidth="1"/>
    <col min="2" max="2" width="17.00390625" style="265" bestFit="1" customWidth="1"/>
    <col min="3" max="16384" width="9.125" style="265" customWidth="1"/>
  </cols>
  <sheetData>
    <row r="1" spans="2:9" ht="18">
      <c r="B1" s="3" t="s">
        <v>361</v>
      </c>
      <c r="C1" s="580"/>
      <c r="D1" s="580"/>
      <c r="E1" s="580"/>
      <c r="F1" s="580"/>
      <c r="G1" s="580"/>
      <c r="H1" s="580"/>
      <c r="I1" s="580"/>
    </row>
    <row r="2" ht="18">
      <c r="B2" s="581"/>
    </row>
    <row r="3" ht="18">
      <c r="B3" s="581"/>
    </row>
    <row r="4" ht="18">
      <c r="B4" s="581"/>
    </row>
    <row r="5" ht="18">
      <c r="B5" s="581"/>
    </row>
    <row r="6" spans="2:3" ht="12.75">
      <c r="B6" s="351" t="s">
        <v>362</v>
      </c>
      <c r="C6" s="351" t="s">
        <v>363</v>
      </c>
    </row>
    <row r="7" spans="2:3" ht="12.75">
      <c r="B7" s="351"/>
      <c r="C7" s="351"/>
    </row>
    <row r="8" ht="15.75">
      <c r="B8" s="1"/>
    </row>
    <row r="10" spans="2:9" ht="12.75">
      <c r="B10" s="265" t="s">
        <v>364</v>
      </c>
      <c r="C10" s="273" t="s">
        <v>365</v>
      </c>
      <c r="D10" s="582"/>
      <c r="E10" s="582"/>
      <c r="F10" s="582"/>
      <c r="G10" s="582"/>
      <c r="H10" s="582"/>
      <c r="I10" s="582"/>
    </row>
    <row r="11" spans="3:9" ht="12.75">
      <c r="C11" s="273" t="s">
        <v>366</v>
      </c>
      <c r="D11" s="582"/>
      <c r="E11" s="582"/>
      <c r="F11" s="582"/>
      <c r="G11" s="582"/>
      <c r="H11" s="582"/>
      <c r="I11" s="582"/>
    </row>
    <row r="12" spans="3:9" ht="12.75">
      <c r="C12" s="582"/>
      <c r="D12" s="582"/>
      <c r="E12" s="582"/>
      <c r="F12" s="582"/>
      <c r="G12" s="582"/>
      <c r="H12" s="582"/>
      <c r="I12" s="582"/>
    </row>
    <row r="13" spans="2:9" ht="12.75">
      <c r="B13" s="265" t="s">
        <v>367</v>
      </c>
      <c r="C13" s="273" t="s">
        <v>368</v>
      </c>
      <c r="D13" s="582"/>
      <c r="E13" s="582"/>
      <c r="F13" s="582"/>
      <c r="G13" s="582"/>
      <c r="H13" s="582"/>
      <c r="I13" s="582"/>
    </row>
    <row r="14" spans="3:9" ht="12.75">
      <c r="C14" s="273"/>
      <c r="D14" s="582"/>
      <c r="E14" s="582"/>
      <c r="F14" s="582"/>
      <c r="G14" s="582"/>
      <c r="H14" s="582"/>
      <c r="I14" s="582"/>
    </row>
    <row r="15" spans="3:9" ht="12.75">
      <c r="C15" s="273"/>
      <c r="D15" s="582"/>
      <c r="E15" s="582"/>
      <c r="F15" s="582"/>
      <c r="G15" s="582"/>
      <c r="H15" s="582"/>
      <c r="I15" s="582"/>
    </row>
    <row r="16" spans="2:9" ht="12.75">
      <c r="B16" s="265" t="s">
        <v>369</v>
      </c>
      <c r="C16" s="649" t="s">
        <v>341</v>
      </c>
      <c r="D16" s="649"/>
      <c r="E16" s="649"/>
      <c r="F16" s="649"/>
      <c r="G16" s="649"/>
      <c r="H16" s="649"/>
      <c r="I16" s="582"/>
    </row>
    <row r="17" spans="3:9" ht="12.75">
      <c r="C17" s="273"/>
      <c r="D17" s="273"/>
      <c r="E17" s="273"/>
      <c r="F17" s="273"/>
      <c r="G17" s="273"/>
      <c r="H17" s="273"/>
      <c r="I17" s="582"/>
    </row>
    <row r="18" spans="3:9" ht="12.75">
      <c r="C18" s="582"/>
      <c r="D18" s="582"/>
      <c r="E18" s="582"/>
      <c r="F18" s="582"/>
      <c r="G18" s="582"/>
      <c r="H18" s="582"/>
      <c r="I18" s="582"/>
    </row>
    <row r="19" spans="2:9" ht="12.75">
      <c r="B19" s="265" t="s">
        <v>370</v>
      </c>
      <c r="C19" s="649" t="s">
        <v>343</v>
      </c>
      <c r="D19" s="649"/>
      <c r="E19" s="649"/>
      <c r="F19" s="649"/>
      <c r="G19" s="649"/>
      <c r="H19" s="649"/>
      <c r="I19" s="649"/>
    </row>
    <row r="20" spans="3:9" ht="12.75">
      <c r="C20" s="273"/>
      <c r="D20" s="273"/>
      <c r="E20" s="273"/>
      <c r="F20" s="273"/>
      <c r="G20" s="273"/>
      <c r="H20" s="273"/>
      <c r="I20" s="273"/>
    </row>
    <row r="21" spans="3:9" ht="12.75">
      <c r="C21" s="582"/>
      <c r="D21" s="582"/>
      <c r="E21" s="582"/>
      <c r="F21" s="582"/>
      <c r="G21" s="582"/>
      <c r="H21" s="582"/>
      <c r="I21" s="582"/>
    </row>
    <row r="22" spans="2:9" ht="12.75">
      <c r="B22" s="265" t="s">
        <v>371</v>
      </c>
      <c r="C22" s="273" t="s">
        <v>372</v>
      </c>
      <c r="D22" s="582"/>
      <c r="E22" s="582"/>
      <c r="F22" s="582"/>
      <c r="G22" s="582"/>
      <c r="H22" s="582"/>
      <c r="I22" s="582"/>
    </row>
    <row r="23" spans="3:9" ht="12.75">
      <c r="C23" s="273" t="s">
        <v>373</v>
      </c>
      <c r="D23" s="582"/>
      <c r="E23" s="582"/>
      <c r="F23" s="582"/>
      <c r="G23" s="582"/>
      <c r="H23" s="582"/>
      <c r="I23" s="582"/>
    </row>
    <row r="24" spans="3:9" ht="12.75">
      <c r="C24" s="582"/>
      <c r="D24" s="582"/>
      <c r="E24" s="582"/>
      <c r="F24" s="582"/>
      <c r="G24" s="582"/>
      <c r="H24" s="582"/>
      <c r="I24" s="582"/>
    </row>
    <row r="25" spans="2:9" ht="12.75">
      <c r="B25" s="265" t="s">
        <v>374</v>
      </c>
      <c r="C25" s="582" t="s">
        <v>357</v>
      </c>
      <c r="D25" s="582"/>
      <c r="E25" s="582"/>
      <c r="F25" s="582"/>
      <c r="G25" s="582"/>
      <c r="H25" s="582"/>
      <c r="I25" s="582"/>
    </row>
    <row r="26" spans="3:9" ht="12.75">
      <c r="C26" s="582"/>
      <c r="D26" s="582"/>
      <c r="E26" s="582"/>
      <c r="F26" s="582"/>
      <c r="G26" s="582"/>
      <c r="H26" s="582"/>
      <c r="I26" s="582"/>
    </row>
    <row r="27" spans="3:9" ht="12.75">
      <c r="C27" s="582"/>
      <c r="D27" s="582"/>
      <c r="E27" s="582"/>
      <c r="F27" s="582"/>
      <c r="G27" s="582"/>
      <c r="H27" s="582"/>
      <c r="I27" s="582"/>
    </row>
    <row r="28" spans="2:9" ht="12.75">
      <c r="B28" s="265" t="s">
        <v>375</v>
      </c>
      <c r="C28" s="582" t="s">
        <v>351</v>
      </c>
      <c r="D28" s="582"/>
      <c r="E28" s="582"/>
      <c r="F28" s="582"/>
      <c r="G28" s="582"/>
      <c r="H28" s="582"/>
      <c r="I28" s="582"/>
    </row>
    <row r="29" spans="3:9" ht="12.75">
      <c r="C29" s="582"/>
      <c r="D29" s="582"/>
      <c r="E29" s="582"/>
      <c r="F29" s="582"/>
      <c r="G29" s="582"/>
      <c r="H29" s="582"/>
      <c r="I29" s="582"/>
    </row>
    <row r="30" spans="3:9" ht="12.75">
      <c r="C30" s="582"/>
      <c r="D30" s="582"/>
      <c r="E30" s="582"/>
      <c r="F30" s="582"/>
      <c r="G30" s="582"/>
      <c r="H30" s="582"/>
      <c r="I30" s="582"/>
    </row>
    <row r="31" spans="2:9" ht="12.75">
      <c r="B31" s="265" t="s">
        <v>376</v>
      </c>
      <c r="C31" s="582" t="s">
        <v>354</v>
      </c>
      <c r="D31" s="582"/>
      <c r="E31" s="582"/>
      <c r="F31" s="582"/>
      <c r="G31" s="582"/>
      <c r="H31" s="582"/>
      <c r="I31" s="582"/>
    </row>
    <row r="32" spans="3:9" ht="12.75">
      <c r="C32" s="582"/>
      <c r="D32" s="582"/>
      <c r="E32" s="582"/>
      <c r="F32" s="582"/>
      <c r="G32" s="582"/>
      <c r="H32" s="582"/>
      <c r="I32" s="582"/>
    </row>
    <row r="34" spans="2:3" ht="12.75">
      <c r="B34" s="583" t="s">
        <v>377</v>
      </c>
      <c r="C34" s="583" t="s">
        <v>379</v>
      </c>
    </row>
    <row r="35" spans="2:3" ht="12.75">
      <c r="B35" s="583"/>
      <c r="C35" s="583"/>
    </row>
    <row r="37" spans="2:3" ht="12.75">
      <c r="B37" s="583" t="s">
        <v>380</v>
      </c>
      <c r="C37" s="583" t="s">
        <v>378</v>
      </c>
    </row>
  </sheetData>
  <mergeCells count="2">
    <mergeCell ref="C16:H16"/>
    <mergeCell ref="C19:I19"/>
  </mergeCells>
  <printOptions/>
  <pageMargins left="0.75" right="0.48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workbookViewId="0" topLeftCell="A1">
      <selection activeCell="A41" sqref="A41:A42"/>
    </sheetView>
  </sheetViews>
  <sheetFormatPr defaultColWidth="9.00390625" defaultRowHeight="12.75"/>
  <cols>
    <col min="1" max="1" width="6.375" style="96" customWidth="1"/>
    <col min="2" max="2" width="28.875" style="96" customWidth="1"/>
    <col min="3" max="5" width="15.25390625" style="96" customWidth="1"/>
    <col min="6" max="6" width="11.625" style="96" hidden="1" customWidth="1"/>
    <col min="7" max="7" width="10.375" style="96" hidden="1" customWidth="1"/>
    <col min="8" max="8" width="15.75390625" style="96" customWidth="1"/>
    <col min="9" max="16384" width="9.125" style="96" customWidth="1"/>
  </cols>
  <sheetData>
    <row r="1" spans="1:5" ht="19.5" customHeight="1">
      <c r="A1" s="664" t="s">
        <v>351</v>
      </c>
      <c r="B1" s="664"/>
      <c r="C1" s="664"/>
      <c r="D1" s="664"/>
      <c r="E1" s="664"/>
    </row>
    <row r="2" spans="1:7" ht="15" thickBot="1">
      <c r="A2" s="97"/>
      <c r="B2" s="175"/>
      <c r="E2" s="175" t="s">
        <v>23</v>
      </c>
      <c r="G2" s="175" t="s">
        <v>23</v>
      </c>
    </row>
    <row r="3" spans="1:8" ht="15" customHeight="1" thickBot="1">
      <c r="A3" s="81"/>
      <c r="B3" s="173"/>
      <c r="C3" s="174" t="s">
        <v>81</v>
      </c>
      <c r="D3" s="174" t="s">
        <v>80</v>
      </c>
      <c r="E3" s="174" t="s">
        <v>81</v>
      </c>
      <c r="F3" s="663" t="s">
        <v>82</v>
      </c>
      <c r="G3" s="645"/>
      <c r="H3" s="174" t="s">
        <v>81</v>
      </c>
    </row>
    <row r="4" spans="1:8" ht="26.25" thickBot="1">
      <c r="A4" s="182"/>
      <c r="B4" s="243"/>
      <c r="C4" s="219" t="s">
        <v>127</v>
      </c>
      <c r="D4" s="219" t="s">
        <v>83</v>
      </c>
      <c r="E4" s="219" t="s">
        <v>262</v>
      </c>
      <c r="F4" s="176" t="s">
        <v>256</v>
      </c>
      <c r="G4" s="232" t="s">
        <v>255</v>
      </c>
      <c r="H4" s="219" t="s">
        <v>407</v>
      </c>
    </row>
    <row r="5" spans="1:8" ht="13.5" thickBot="1">
      <c r="A5" s="244"/>
      <c r="B5" s="244"/>
      <c r="C5" s="245">
        <v>1</v>
      </c>
      <c r="D5" s="246">
        <v>2</v>
      </c>
      <c r="E5" s="246">
        <v>3</v>
      </c>
      <c r="F5" s="223" t="s">
        <v>86</v>
      </c>
      <c r="G5" s="217" t="s">
        <v>87</v>
      </c>
      <c r="H5" s="246">
        <v>3</v>
      </c>
    </row>
    <row r="6" spans="1:8" ht="15.75" thickBot="1">
      <c r="A6" s="98" t="s">
        <v>128</v>
      </c>
      <c r="B6" s="99" t="s">
        <v>129</v>
      </c>
      <c r="C6" s="100">
        <v>73732815</v>
      </c>
      <c r="D6" s="101">
        <v>72126308</v>
      </c>
      <c r="E6" s="101">
        <v>70852948</v>
      </c>
      <c r="F6" s="224">
        <f>E6-D6</f>
        <v>-1273360</v>
      </c>
      <c r="G6" s="233">
        <f>E6/D6</f>
        <v>0.9823454154897268</v>
      </c>
      <c r="H6" s="101">
        <v>70852948</v>
      </c>
    </row>
    <row r="7" spans="1:8" ht="12.75">
      <c r="A7" s="102"/>
      <c r="B7" s="103"/>
      <c r="C7" s="104"/>
      <c r="D7" s="105"/>
      <c r="E7" s="105"/>
      <c r="F7" s="225"/>
      <c r="G7" s="234"/>
      <c r="H7" s="105"/>
    </row>
    <row r="8" spans="1:8" ht="12.75">
      <c r="A8" s="106" t="s">
        <v>130</v>
      </c>
      <c r="B8" s="107" t="s">
        <v>131</v>
      </c>
      <c r="C8" s="108">
        <v>54919309</v>
      </c>
      <c r="D8" s="109">
        <v>56044515</v>
      </c>
      <c r="E8" s="109">
        <v>55639913</v>
      </c>
      <c r="F8" s="226">
        <f aca="true" t="shared" si="0" ref="F8:F37">E8-D8</f>
        <v>-404602</v>
      </c>
      <c r="G8" s="235">
        <f aca="true" t="shared" si="1" ref="G8:G37">E8/D8</f>
        <v>0.9927807029822633</v>
      </c>
      <c r="H8" s="109">
        <v>55639913</v>
      </c>
    </row>
    <row r="9" spans="1:8" ht="12.75">
      <c r="A9" s="110" t="s">
        <v>132</v>
      </c>
      <c r="B9" s="111" t="s">
        <v>133</v>
      </c>
      <c r="C9" s="112">
        <v>254381</v>
      </c>
      <c r="D9" s="113">
        <v>254381</v>
      </c>
      <c r="E9" s="113">
        <v>252353</v>
      </c>
      <c r="F9" s="227">
        <f t="shared" si="0"/>
        <v>-2028</v>
      </c>
      <c r="G9" s="236">
        <f t="shared" si="1"/>
        <v>0.9920277064717884</v>
      </c>
      <c r="H9" s="113">
        <v>252353</v>
      </c>
    </row>
    <row r="10" spans="1:8" ht="12.75">
      <c r="A10" s="110" t="s">
        <v>134</v>
      </c>
      <c r="B10" s="111" t="s">
        <v>135</v>
      </c>
      <c r="C10" s="112">
        <v>54577765</v>
      </c>
      <c r="D10" s="113">
        <v>55702971</v>
      </c>
      <c r="E10" s="113">
        <v>55300397</v>
      </c>
      <c r="F10" s="227">
        <f t="shared" si="0"/>
        <v>-402574</v>
      </c>
      <c r="G10" s="236">
        <f t="shared" si="1"/>
        <v>0.992772845096539</v>
      </c>
      <c r="H10" s="113">
        <v>55300397</v>
      </c>
    </row>
    <row r="11" spans="1:8" ht="12.75">
      <c r="A11" s="110" t="s">
        <v>136</v>
      </c>
      <c r="B11" s="111" t="s">
        <v>137</v>
      </c>
      <c r="C11" s="112">
        <v>87163</v>
      </c>
      <c r="D11" s="113">
        <v>87163</v>
      </c>
      <c r="E11" s="113">
        <v>87163</v>
      </c>
      <c r="F11" s="227">
        <f t="shared" si="0"/>
        <v>0</v>
      </c>
      <c r="G11" s="236">
        <f t="shared" si="1"/>
        <v>1</v>
      </c>
      <c r="H11" s="113">
        <v>87163</v>
      </c>
    </row>
    <row r="12" spans="1:8" ht="12.75">
      <c r="A12" s="110"/>
      <c r="B12" s="111"/>
      <c r="C12" s="114"/>
      <c r="D12" s="115"/>
      <c r="E12" s="115"/>
      <c r="F12" s="228"/>
      <c r="G12" s="237"/>
      <c r="H12" s="115"/>
    </row>
    <row r="13" spans="1:8" ht="12.75">
      <c r="A13" s="106" t="s">
        <v>138</v>
      </c>
      <c r="B13" s="107" t="s">
        <v>139</v>
      </c>
      <c r="C13" s="108">
        <v>18554220</v>
      </c>
      <c r="D13" s="109">
        <v>15865507</v>
      </c>
      <c r="E13" s="109">
        <v>15049002</v>
      </c>
      <c r="F13" s="226">
        <f t="shared" si="0"/>
        <v>-816505</v>
      </c>
      <c r="G13" s="235">
        <f t="shared" si="1"/>
        <v>0.9485358394156581</v>
      </c>
      <c r="H13" s="109">
        <v>15049002</v>
      </c>
    </row>
    <row r="14" spans="1:8" ht="12.75">
      <c r="A14" s="110" t="s">
        <v>140</v>
      </c>
      <c r="B14" s="111" t="s">
        <v>141</v>
      </c>
      <c r="C14" s="116">
        <v>1050955</v>
      </c>
      <c r="D14" s="113">
        <v>930000</v>
      </c>
      <c r="E14" s="113">
        <v>987625</v>
      </c>
      <c r="F14" s="227">
        <f t="shared" si="0"/>
        <v>57625</v>
      </c>
      <c r="G14" s="236">
        <f t="shared" si="1"/>
        <v>1.061962365591398</v>
      </c>
      <c r="H14" s="113">
        <v>987625</v>
      </c>
    </row>
    <row r="15" spans="1:8" ht="12.75">
      <c r="A15" s="110" t="s">
        <v>142</v>
      </c>
      <c r="B15" s="111" t="s">
        <v>143</v>
      </c>
      <c r="C15" s="116">
        <v>4100</v>
      </c>
      <c r="D15" s="113">
        <v>4100</v>
      </c>
      <c r="E15" s="113">
        <v>228931</v>
      </c>
      <c r="F15" s="227">
        <f t="shared" si="0"/>
        <v>224831</v>
      </c>
      <c r="G15" s="236">
        <f t="shared" si="1"/>
        <v>55.83682926829268</v>
      </c>
      <c r="H15" s="113">
        <v>228931</v>
      </c>
    </row>
    <row r="16" spans="1:8" ht="12.75">
      <c r="A16" s="110" t="s">
        <v>144</v>
      </c>
      <c r="B16" s="111" t="s">
        <v>145</v>
      </c>
      <c r="C16" s="116">
        <v>15094779</v>
      </c>
      <c r="D16" s="113">
        <v>13638779</v>
      </c>
      <c r="E16" s="113">
        <v>13028913</v>
      </c>
      <c r="F16" s="227">
        <f t="shared" si="0"/>
        <v>-609866</v>
      </c>
      <c r="G16" s="236">
        <f t="shared" si="1"/>
        <v>0.9552844136560905</v>
      </c>
      <c r="H16" s="113">
        <v>13028913</v>
      </c>
    </row>
    <row r="17" spans="1:8" ht="12.75">
      <c r="A17" s="110" t="s">
        <v>146</v>
      </c>
      <c r="B17" s="117" t="s">
        <v>147</v>
      </c>
      <c r="C17" s="116">
        <v>2404386</v>
      </c>
      <c r="D17" s="113">
        <v>1292628</v>
      </c>
      <c r="E17" s="113">
        <v>803533</v>
      </c>
      <c r="F17" s="227">
        <f t="shared" si="0"/>
        <v>-489095</v>
      </c>
      <c r="G17" s="236">
        <f t="shared" si="1"/>
        <v>0.6216274133006557</v>
      </c>
      <c r="H17" s="113">
        <v>803533</v>
      </c>
    </row>
    <row r="18" spans="1:8" ht="12.75">
      <c r="A18" s="110"/>
      <c r="B18" s="111"/>
      <c r="C18" s="114"/>
      <c r="D18" s="115"/>
      <c r="E18" s="115"/>
      <c r="F18" s="228"/>
      <c r="G18" s="237"/>
      <c r="H18" s="115"/>
    </row>
    <row r="19" spans="1:8" ht="12.75">
      <c r="A19" s="106" t="s">
        <v>148</v>
      </c>
      <c r="B19" s="107" t="s">
        <v>149</v>
      </c>
      <c r="C19" s="118">
        <v>259286</v>
      </c>
      <c r="D19" s="119">
        <v>216286</v>
      </c>
      <c r="E19" s="119">
        <v>164033</v>
      </c>
      <c r="F19" s="229">
        <f t="shared" si="0"/>
        <v>-52253</v>
      </c>
      <c r="G19" s="238">
        <f t="shared" si="1"/>
        <v>0.7584078488667783</v>
      </c>
      <c r="H19" s="119">
        <v>164033</v>
      </c>
    </row>
    <row r="20" spans="1:8" ht="13.5" thickBot="1">
      <c r="A20" s="120"/>
      <c r="B20" s="121"/>
      <c r="C20" s="122"/>
      <c r="D20" s="123"/>
      <c r="E20" s="123"/>
      <c r="F20" s="230"/>
      <c r="G20" s="239"/>
      <c r="H20" s="123"/>
    </row>
    <row r="21" spans="1:8" ht="15.75" thickBot="1">
      <c r="A21" s="98" t="s">
        <v>150</v>
      </c>
      <c r="B21" s="99" t="s">
        <v>151</v>
      </c>
      <c r="C21" s="100">
        <v>73732815</v>
      </c>
      <c r="D21" s="101">
        <v>72126308</v>
      </c>
      <c r="E21" s="101">
        <v>70852948</v>
      </c>
      <c r="F21" s="224">
        <f t="shared" si="0"/>
        <v>-1273360</v>
      </c>
      <c r="G21" s="233">
        <f t="shared" si="1"/>
        <v>0.9823454154897268</v>
      </c>
      <c r="H21" s="101">
        <v>70852948</v>
      </c>
    </row>
    <row r="22" spans="1:8" ht="12.75">
      <c r="A22" s="102"/>
      <c r="B22" s="103"/>
      <c r="C22" s="104"/>
      <c r="D22" s="105"/>
      <c r="E22" s="105"/>
      <c r="F22" s="231"/>
      <c r="G22" s="240"/>
      <c r="H22" s="105"/>
    </row>
    <row r="23" spans="1:8" ht="12.75">
      <c r="A23" s="106" t="s">
        <v>152</v>
      </c>
      <c r="B23" s="107" t="s">
        <v>153</v>
      </c>
      <c r="C23" s="108">
        <v>21526129</v>
      </c>
      <c r="D23" s="109">
        <v>21456743</v>
      </c>
      <c r="E23" s="109">
        <v>19945978</v>
      </c>
      <c r="F23" s="226">
        <f t="shared" si="0"/>
        <v>-1510765</v>
      </c>
      <c r="G23" s="235">
        <f t="shared" si="1"/>
        <v>0.929590199220823</v>
      </c>
      <c r="H23" s="109">
        <v>21926398</v>
      </c>
    </row>
    <row r="24" spans="1:8" ht="12.75">
      <c r="A24" s="110" t="s">
        <v>154</v>
      </c>
      <c r="B24" s="111" t="s">
        <v>155</v>
      </c>
      <c r="C24" s="116">
        <v>21737740</v>
      </c>
      <c r="D24" s="113">
        <v>21737740</v>
      </c>
      <c r="E24" s="113">
        <v>21737754</v>
      </c>
      <c r="F24" s="227">
        <f t="shared" si="0"/>
        <v>14</v>
      </c>
      <c r="G24" s="236">
        <f t="shared" si="1"/>
        <v>1.0000006440411928</v>
      </c>
      <c r="H24" s="113">
        <v>21737754</v>
      </c>
    </row>
    <row r="25" spans="1:8" ht="12.75">
      <c r="A25" s="110" t="s">
        <v>156</v>
      </c>
      <c r="B25" s="111" t="s">
        <v>157</v>
      </c>
      <c r="C25" s="116">
        <v>10353831</v>
      </c>
      <c r="D25" s="113">
        <v>10353831</v>
      </c>
      <c r="E25" s="113">
        <v>10512641</v>
      </c>
      <c r="F25" s="227">
        <f t="shared" si="0"/>
        <v>158810</v>
      </c>
      <c r="G25" s="236">
        <f t="shared" si="1"/>
        <v>1.0153382839646503</v>
      </c>
      <c r="H25" s="113">
        <v>10512641</v>
      </c>
    </row>
    <row r="26" spans="1:8" ht="12.75">
      <c r="A26" s="110" t="s">
        <v>158</v>
      </c>
      <c r="B26" s="111" t="s">
        <v>159</v>
      </c>
      <c r="C26" s="116">
        <v>856303</v>
      </c>
      <c r="D26" s="113">
        <v>856303</v>
      </c>
      <c r="E26" s="113">
        <v>856303</v>
      </c>
      <c r="F26" s="227">
        <f t="shared" si="0"/>
        <v>0</v>
      </c>
      <c r="G26" s="236">
        <f t="shared" si="1"/>
        <v>1</v>
      </c>
      <c r="H26" s="113">
        <v>856303</v>
      </c>
    </row>
    <row r="27" spans="1:8" ht="12.75">
      <c r="A27" s="110" t="s">
        <v>160</v>
      </c>
      <c r="B27" s="111" t="s">
        <v>161</v>
      </c>
      <c r="C27" s="116">
        <v>-8354784</v>
      </c>
      <c r="D27" s="113">
        <v>-11421745</v>
      </c>
      <c r="E27" s="113">
        <v>-11421745</v>
      </c>
      <c r="F27" s="227">
        <f t="shared" si="0"/>
        <v>0</v>
      </c>
      <c r="G27" s="236">
        <f t="shared" si="1"/>
        <v>1</v>
      </c>
      <c r="H27" s="113">
        <v>-11421745</v>
      </c>
    </row>
    <row r="28" spans="1:8" ht="12.75">
      <c r="A28" s="110" t="s">
        <v>162</v>
      </c>
      <c r="B28" s="111" t="s">
        <v>163</v>
      </c>
      <c r="C28" s="116">
        <v>-3066961</v>
      </c>
      <c r="D28" s="113">
        <v>-69386</v>
      </c>
      <c r="E28" s="113">
        <v>-1738975</v>
      </c>
      <c r="F28" s="227">
        <f t="shared" si="0"/>
        <v>-1669589</v>
      </c>
      <c r="G28" s="236">
        <f t="shared" si="1"/>
        <v>25.062332458997492</v>
      </c>
      <c r="H28" s="643">
        <f>-1738975+1980420</f>
        <v>241445</v>
      </c>
    </row>
    <row r="29" spans="1:8" ht="12.75">
      <c r="A29" s="110"/>
      <c r="B29" s="111"/>
      <c r="C29" s="114"/>
      <c r="D29" s="115"/>
      <c r="E29" s="115"/>
      <c r="F29" s="228"/>
      <c r="G29" s="237"/>
      <c r="H29" s="115"/>
    </row>
    <row r="30" spans="1:8" ht="12.75">
      <c r="A30" s="106" t="s">
        <v>164</v>
      </c>
      <c r="B30" s="107" t="s">
        <v>165</v>
      </c>
      <c r="C30" s="108">
        <v>50727263</v>
      </c>
      <c r="D30" s="109">
        <v>46978865</v>
      </c>
      <c r="E30" s="109">
        <v>49162736</v>
      </c>
      <c r="F30" s="226">
        <f t="shared" si="0"/>
        <v>2183871</v>
      </c>
      <c r="G30" s="235">
        <f t="shared" si="1"/>
        <v>1.0464862443994762</v>
      </c>
      <c r="H30" s="109">
        <v>47182316</v>
      </c>
    </row>
    <row r="31" spans="1:8" ht="12.75">
      <c r="A31" s="110" t="s">
        <v>166</v>
      </c>
      <c r="B31" s="111" t="s">
        <v>167</v>
      </c>
      <c r="C31" s="116">
        <v>1086873</v>
      </c>
      <c r="D31" s="113">
        <v>1057603</v>
      </c>
      <c r="E31" s="113">
        <v>871956</v>
      </c>
      <c r="F31" s="227">
        <f t="shared" si="0"/>
        <v>-185647</v>
      </c>
      <c r="G31" s="236">
        <f t="shared" si="1"/>
        <v>0.8244643784104243</v>
      </c>
      <c r="H31" s="113">
        <v>871956</v>
      </c>
    </row>
    <row r="32" spans="1:8" ht="12.75">
      <c r="A32" s="110" t="s">
        <v>168</v>
      </c>
      <c r="B32" s="111" t="s">
        <v>169</v>
      </c>
      <c r="C32" s="116">
        <v>1166138</v>
      </c>
      <c r="D32" s="113">
        <v>1044060</v>
      </c>
      <c r="E32" s="113">
        <v>3245819</v>
      </c>
      <c r="F32" s="227">
        <f t="shared" si="0"/>
        <v>2201759</v>
      </c>
      <c r="G32" s="236">
        <f t="shared" si="1"/>
        <v>3.1088433614926347</v>
      </c>
      <c r="H32" s="643">
        <f>3245819-1980420</f>
        <v>1265399</v>
      </c>
    </row>
    <row r="33" spans="1:8" ht="12.75">
      <c r="A33" s="110" t="s">
        <v>170</v>
      </c>
      <c r="B33" s="111" t="s">
        <v>171</v>
      </c>
      <c r="C33" s="116">
        <v>9418284</v>
      </c>
      <c r="D33" s="113">
        <v>6103119</v>
      </c>
      <c r="E33" s="113">
        <v>5455941</v>
      </c>
      <c r="F33" s="227">
        <f t="shared" si="0"/>
        <v>-647178</v>
      </c>
      <c r="G33" s="236">
        <f t="shared" si="1"/>
        <v>0.8939594656437143</v>
      </c>
      <c r="H33" s="113">
        <v>5455941</v>
      </c>
    </row>
    <row r="34" spans="1:8" ht="12.75">
      <c r="A34" s="110" t="s">
        <v>172</v>
      </c>
      <c r="B34" s="117" t="s">
        <v>173</v>
      </c>
      <c r="C34" s="116">
        <v>602568</v>
      </c>
      <c r="D34" s="113">
        <v>494349</v>
      </c>
      <c r="E34" s="113">
        <v>572472</v>
      </c>
      <c r="F34" s="227">
        <f t="shared" si="0"/>
        <v>78123</v>
      </c>
      <c r="G34" s="236">
        <f t="shared" si="1"/>
        <v>1.1580320785517924</v>
      </c>
      <c r="H34" s="113">
        <v>572472</v>
      </c>
    </row>
    <row r="35" spans="1:8" ht="12.75">
      <c r="A35" s="110" t="s">
        <v>174</v>
      </c>
      <c r="B35" s="111" t="s">
        <v>175</v>
      </c>
      <c r="C35" s="124">
        <v>38453400</v>
      </c>
      <c r="D35" s="115">
        <v>38279734</v>
      </c>
      <c r="E35" s="115">
        <v>39016548</v>
      </c>
      <c r="F35" s="228">
        <f t="shared" si="0"/>
        <v>736814</v>
      </c>
      <c r="G35" s="237">
        <f t="shared" si="1"/>
        <v>1.0192481483805504</v>
      </c>
      <c r="H35" s="115">
        <v>39016548</v>
      </c>
    </row>
    <row r="36" spans="1:8" ht="12.75">
      <c r="A36" s="110"/>
      <c r="B36" s="111"/>
      <c r="C36" s="124"/>
      <c r="D36" s="115"/>
      <c r="E36" s="115"/>
      <c r="F36" s="228"/>
      <c r="G36" s="237"/>
      <c r="H36" s="115"/>
    </row>
    <row r="37" spans="1:8" ht="13.5" thickBot="1">
      <c r="A37" s="125" t="s">
        <v>176</v>
      </c>
      <c r="B37" s="126" t="s">
        <v>149</v>
      </c>
      <c r="C37" s="127">
        <v>1479423</v>
      </c>
      <c r="D37" s="128">
        <v>3690700</v>
      </c>
      <c r="E37" s="128">
        <v>1744234</v>
      </c>
      <c r="F37" s="241">
        <f t="shared" si="0"/>
        <v>-1946466</v>
      </c>
      <c r="G37" s="242">
        <f t="shared" si="1"/>
        <v>0.47260248733302623</v>
      </c>
      <c r="H37" s="128">
        <v>1744234</v>
      </c>
    </row>
    <row r="38" spans="1:5" ht="12.75">
      <c r="A38" s="129"/>
      <c r="B38" s="130"/>
      <c r="C38" s="131"/>
      <c r="D38" s="131"/>
      <c r="E38" s="131"/>
    </row>
    <row r="39" ht="12.75">
      <c r="A39" s="132" t="s">
        <v>353</v>
      </c>
    </row>
    <row r="40" ht="12.75">
      <c r="A40" s="132" t="s">
        <v>352</v>
      </c>
    </row>
    <row r="41" ht="12.75">
      <c r="A41" s="644" t="s">
        <v>408</v>
      </c>
    </row>
    <row r="42" ht="12.75">
      <c r="A42" s="644" t="s">
        <v>409</v>
      </c>
    </row>
  </sheetData>
  <mergeCells count="2">
    <mergeCell ref="F3:G3"/>
    <mergeCell ref="A1:E1"/>
  </mergeCells>
  <printOptions/>
  <pageMargins left="1.29" right="0.3" top="1.88" bottom="0.77" header="1.02" footer="0.4921259845"/>
  <pageSetup fitToHeight="1" fitToWidth="1" horizontalDpi="300" verticalDpi="300" orientation="portrait" paperSize="9" scale="89" r:id="rId1"/>
  <headerFooter alignWithMargins="0">
    <oddHeader>&amp;LPlnenie konsolidačnej funkcie k 30.09.2003&amp;R&amp;"Arial CE,Tučné"&amp;12
Príloha č.7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A1" sqref="A1:G1"/>
    </sheetView>
  </sheetViews>
  <sheetFormatPr defaultColWidth="9.00390625" defaultRowHeight="12.75"/>
  <cols>
    <col min="1" max="1" width="37.25390625" style="133" customWidth="1"/>
    <col min="2" max="2" width="14.25390625" style="134" customWidth="1"/>
    <col min="3" max="3" width="14.625" style="133" customWidth="1"/>
    <col min="4" max="4" width="14.25390625" style="133" customWidth="1"/>
    <col min="5" max="5" width="10.625" style="133" hidden="1" customWidth="1"/>
    <col min="6" max="6" width="9.75390625" style="133" hidden="1" customWidth="1"/>
    <col min="7" max="7" width="15.75390625" style="133" customWidth="1"/>
    <col min="8" max="16384" width="9.125" style="133" customWidth="1"/>
  </cols>
  <sheetData>
    <row r="1" spans="1:7" ht="15.75">
      <c r="A1" s="666" t="s">
        <v>354</v>
      </c>
      <c r="B1" s="666"/>
      <c r="C1" s="666"/>
      <c r="D1" s="666"/>
      <c r="E1" s="666"/>
      <c r="F1" s="666"/>
      <c r="G1" s="666"/>
    </row>
    <row r="2" spans="1:6" ht="15" thickBot="1">
      <c r="A2" s="97"/>
      <c r="B2" s="135"/>
      <c r="C2" s="136"/>
      <c r="D2" s="136"/>
      <c r="E2" s="136"/>
      <c r="F2" s="136"/>
    </row>
    <row r="3" spans="1:7" ht="13.5" thickBot="1">
      <c r="A3" s="137"/>
      <c r="B3" s="172" t="s">
        <v>81</v>
      </c>
      <c r="C3" s="172" t="s">
        <v>80</v>
      </c>
      <c r="D3" s="172" t="s">
        <v>81</v>
      </c>
      <c r="E3" s="665" t="s">
        <v>82</v>
      </c>
      <c r="F3" s="665"/>
      <c r="G3" s="516" t="s">
        <v>258</v>
      </c>
    </row>
    <row r="4" spans="1:7" ht="24.75" thickBot="1">
      <c r="A4" s="171" t="s">
        <v>177</v>
      </c>
      <c r="B4" s="177" t="s">
        <v>127</v>
      </c>
      <c r="C4" s="177" t="s">
        <v>83</v>
      </c>
      <c r="D4" s="177" t="s">
        <v>262</v>
      </c>
      <c r="E4" s="250" t="s">
        <v>256</v>
      </c>
      <c r="F4" s="247" t="s">
        <v>255</v>
      </c>
      <c r="G4" s="178" t="s">
        <v>257</v>
      </c>
    </row>
    <row r="5" spans="1:7" ht="13.5" thickBot="1">
      <c r="A5" s="138"/>
      <c r="B5" s="139">
        <v>1</v>
      </c>
      <c r="C5" s="139">
        <v>2</v>
      </c>
      <c r="D5" s="139">
        <v>3</v>
      </c>
      <c r="E5" s="251" t="s">
        <v>263</v>
      </c>
      <c r="F5" s="248" t="s">
        <v>87</v>
      </c>
      <c r="G5" s="249"/>
    </row>
    <row r="6" spans="1:7" ht="12.75">
      <c r="A6" s="517" t="s">
        <v>178</v>
      </c>
      <c r="B6" s="518">
        <v>8533368</v>
      </c>
      <c r="C6" s="518">
        <v>9268039</v>
      </c>
      <c r="D6" s="518">
        <v>9020589</v>
      </c>
      <c r="E6" s="487">
        <f>D6-C6</f>
        <v>-247450</v>
      </c>
      <c r="F6" s="488">
        <f>D6/C6</f>
        <v>0.9733007165809293</v>
      </c>
      <c r="G6" s="489"/>
    </row>
    <row r="7" spans="1:7" ht="12.75">
      <c r="A7" s="490" t="s">
        <v>179</v>
      </c>
      <c r="B7" s="491"/>
      <c r="C7" s="491"/>
      <c r="D7" s="491"/>
      <c r="E7" s="492"/>
      <c r="F7" s="493"/>
      <c r="G7" s="494"/>
    </row>
    <row r="8" spans="1:7" ht="12.75">
      <c r="A8" s="519" t="s">
        <v>180</v>
      </c>
      <c r="B8" s="520">
        <v>70.80522559731376</v>
      </c>
      <c r="C8" s="520">
        <v>70.25115579186446</v>
      </c>
      <c r="D8" s="520">
        <v>71.84876767583475</v>
      </c>
      <c r="E8" s="521">
        <f aca="true" t="shared" si="0" ref="E8:E49">D8-C8</f>
        <v>1.5976118839702877</v>
      </c>
      <c r="F8" s="522">
        <f aca="true" t="shared" si="1" ref="F8:F49">D8/C8</f>
        <v>1.022741432022892</v>
      </c>
      <c r="G8" s="523" t="s">
        <v>181</v>
      </c>
    </row>
    <row r="9" spans="1:7" ht="12.75">
      <c r="A9" s="519" t="s">
        <v>182</v>
      </c>
      <c r="B9" s="524">
        <v>29.194774402686242</v>
      </c>
      <c r="C9" s="524">
        <v>29.748844208135537</v>
      </c>
      <c r="D9" s="524">
        <v>28.151232324165253</v>
      </c>
      <c r="E9" s="525">
        <f t="shared" si="0"/>
        <v>-1.5976118839702842</v>
      </c>
      <c r="F9" s="526">
        <f t="shared" si="1"/>
        <v>0.9462966738205789</v>
      </c>
      <c r="G9" s="527" t="s">
        <v>183</v>
      </c>
    </row>
    <row r="10" spans="1:7" ht="12.75">
      <c r="A10" s="519" t="s">
        <v>184</v>
      </c>
      <c r="B10" s="524">
        <v>242.52705165893968</v>
      </c>
      <c r="C10" s="524">
        <v>236.1475131617133</v>
      </c>
      <c r="D10" s="524">
        <v>255.22423618435758</v>
      </c>
      <c r="E10" s="525">
        <f t="shared" si="0"/>
        <v>19.076723022644273</v>
      </c>
      <c r="F10" s="526">
        <f t="shared" si="1"/>
        <v>1.0807830782007033</v>
      </c>
      <c r="G10" s="527" t="s">
        <v>185</v>
      </c>
    </row>
    <row r="11" spans="1:7" ht="12.75">
      <c r="A11" s="519" t="s">
        <v>186</v>
      </c>
      <c r="B11" s="524">
        <v>41.23251378185545</v>
      </c>
      <c r="C11" s="524">
        <v>42.34641248646994</v>
      </c>
      <c r="D11" s="524">
        <v>39.18123196096723</v>
      </c>
      <c r="E11" s="525">
        <f t="shared" si="0"/>
        <v>-3.1651805255027057</v>
      </c>
      <c r="F11" s="526">
        <f t="shared" si="1"/>
        <v>0.9252550490194651</v>
      </c>
      <c r="G11" s="527" t="s">
        <v>187</v>
      </c>
    </row>
    <row r="12" spans="1:7" ht="12.75">
      <c r="A12" s="519" t="s">
        <v>188</v>
      </c>
      <c r="B12" s="524">
        <v>-419.11737076487424</v>
      </c>
      <c r="C12" s="524">
        <v>102.36762671576673</v>
      </c>
      <c r="D12" s="524">
        <v>-1687.3588027915678</v>
      </c>
      <c r="E12" s="525">
        <f t="shared" si="0"/>
        <v>-1789.7264295073346</v>
      </c>
      <c r="F12" s="526">
        <f t="shared" si="1"/>
        <v>-16.48332443494736</v>
      </c>
      <c r="G12" s="527" t="s">
        <v>189</v>
      </c>
    </row>
    <row r="13" spans="1:7" ht="12.75">
      <c r="A13" s="519" t="s">
        <v>190</v>
      </c>
      <c r="B13" s="524">
        <v>181.43516653644508</v>
      </c>
      <c r="C13" s="524">
        <v>180.70814848274037</v>
      </c>
      <c r="D13" s="524">
        <v>198.481217616905</v>
      </c>
      <c r="E13" s="525">
        <f t="shared" si="0"/>
        <v>17.773069134164643</v>
      </c>
      <c r="F13" s="526">
        <f t="shared" si="1"/>
        <v>1.0983523393017454</v>
      </c>
      <c r="G13" s="527" t="s">
        <v>191</v>
      </c>
    </row>
    <row r="14" spans="1:7" ht="12.75">
      <c r="A14" s="490" t="s">
        <v>192</v>
      </c>
      <c r="B14" s="491"/>
      <c r="C14" s="491"/>
      <c r="D14" s="491"/>
      <c r="E14" s="492"/>
      <c r="F14" s="493"/>
      <c r="G14" s="498"/>
    </row>
    <row r="15" spans="1:7" ht="12.75">
      <c r="A15" s="519" t="s">
        <v>193</v>
      </c>
      <c r="B15" s="520">
        <v>540.6175916686647</v>
      </c>
      <c r="C15" s="520">
        <v>497.55052585231545</v>
      </c>
      <c r="D15" s="520">
        <v>450.08335700303223</v>
      </c>
      <c r="E15" s="521">
        <f t="shared" si="0"/>
        <v>-47.46716884928321</v>
      </c>
      <c r="F15" s="522">
        <f t="shared" si="1"/>
        <v>0.9045982942778106</v>
      </c>
      <c r="G15" s="523" t="s">
        <v>194</v>
      </c>
    </row>
    <row r="16" spans="1:7" ht="12.75">
      <c r="A16" s="519" t="s">
        <v>195</v>
      </c>
      <c r="B16" s="524">
        <v>37.63981977160059</v>
      </c>
      <c r="C16" s="524">
        <v>33.92693649795582</v>
      </c>
      <c r="D16" s="524">
        <v>34.11747207615246</v>
      </c>
      <c r="E16" s="525">
        <f t="shared" si="0"/>
        <v>0.1905355781966378</v>
      </c>
      <c r="F16" s="526">
        <f t="shared" si="1"/>
        <v>1.0056160560859397</v>
      </c>
      <c r="G16" s="527" t="s">
        <v>196</v>
      </c>
    </row>
    <row r="17" spans="1:7" ht="12.75">
      <c r="A17" s="519" t="s">
        <v>197</v>
      </c>
      <c r="B17" s="528">
        <v>983.9524997968588</v>
      </c>
      <c r="C17" s="528">
        <v>710.9914491635558</v>
      </c>
      <c r="D17" s="528">
        <v>454.93920675078385</v>
      </c>
      <c r="E17" s="529">
        <f t="shared" si="0"/>
        <v>-256.05224241277193</v>
      </c>
      <c r="F17" s="530">
        <f t="shared" si="1"/>
        <v>0.6398659326859641</v>
      </c>
      <c r="G17" s="531" t="s">
        <v>194</v>
      </c>
    </row>
    <row r="18" spans="1:7" ht="12.75">
      <c r="A18" s="490" t="s">
        <v>198</v>
      </c>
      <c r="B18" s="491"/>
      <c r="C18" s="491"/>
      <c r="D18" s="491"/>
      <c r="E18" s="492"/>
      <c r="F18" s="493"/>
      <c r="G18" s="498"/>
    </row>
    <row r="19" spans="1:7" ht="12.75">
      <c r="A19" s="519" t="s">
        <v>199</v>
      </c>
      <c r="B19" s="520">
        <v>0.26</v>
      </c>
      <c r="C19" s="520">
        <v>0.21179793479366862</v>
      </c>
      <c r="D19" s="520">
        <v>0.14727670258897593</v>
      </c>
      <c r="E19" s="521">
        <f t="shared" si="0"/>
        <v>-0.06452123220469269</v>
      </c>
      <c r="F19" s="522">
        <f t="shared" si="1"/>
        <v>0.6953642051913839</v>
      </c>
      <c r="G19" s="523" t="s">
        <v>200</v>
      </c>
    </row>
    <row r="20" spans="1:7" ht="12.75">
      <c r="A20" s="519" t="s">
        <v>201</v>
      </c>
      <c r="B20" s="524">
        <v>1.86</v>
      </c>
      <c r="C20" s="524">
        <v>2.446520705232849</v>
      </c>
      <c r="D20" s="524">
        <v>2.535299776885417</v>
      </c>
      <c r="E20" s="525">
        <f t="shared" si="0"/>
        <v>0.08877907165256804</v>
      </c>
      <c r="F20" s="526">
        <f t="shared" si="1"/>
        <v>1.036287888944769</v>
      </c>
      <c r="G20" s="527" t="s">
        <v>202</v>
      </c>
    </row>
    <row r="21" spans="1:7" ht="12.75">
      <c r="A21" s="519" t="s">
        <v>203</v>
      </c>
      <c r="B21" s="524">
        <v>1.97</v>
      </c>
      <c r="C21" s="524">
        <v>2.598901807420108</v>
      </c>
      <c r="D21" s="524">
        <v>2.71631804669442</v>
      </c>
      <c r="E21" s="525">
        <f t="shared" si="0"/>
        <v>0.11741623927431233</v>
      </c>
      <c r="F21" s="526">
        <f t="shared" si="1"/>
        <v>1.045179174888054</v>
      </c>
      <c r="G21" s="527" t="s">
        <v>204</v>
      </c>
    </row>
    <row r="22" spans="1:7" ht="12.75">
      <c r="A22" s="519" t="s">
        <v>205</v>
      </c>
      <c r="B22" s="524">
        <v>0.391959210557438</v>
      </c>
      <c r="C22" s="524">
        <v>0.3828517920085489</v>
      </c>
      <c r="D22" s="524">
        <v>0.35848327081316606</v>
      </c>
      <c r="E22" s="525">
        <f t="shared" si="0"/>
        <v>-0.024368521195382853</v>
      </c>
      <c r="F22" s="526">
        <f t="shared" si="1"/>
        <v>0.9363499878959983</v>
      </c>
      <c r="G22" s="527"/>
    </row>
    <row r="23" spans="1:7" ht="12.75" hidden="1">
      <c r="A23" s="500" t="s">
        <v>192</v>
      </c>
      <c r="B23" s="501"/>
      <c r="C23" s="501"/>
      <c r="D23" s="501"/>
      <c r="E23" s="502">
        <f t="shared" si="0"/>
        <v>0</v>
      </c>
      <c r="F23" s="503" t="e">
        <f t="shared" si="1"/>
        <v>#DIV/0!</v>
      </c>
      <c r="G23" s="497"/>
    </row>
    <row r="24" spans="1:7" ht="12.75" hidden="1">
      <c r="A24" s="495" t="s">
        <v>206</v>
      </c>
      <c r="B24" s="504"/>
      <c r="C24" s="504"/>
      <c r="D24" s="504"/>
      <c r="E24" s="505">
        <f t="shared" si="0"/>
        <v>0</v>
      </c>
      <c r="F24" s="506" t="e">
        <f t="shared" si="1"/>
        <v>#DIV/0!</v>
      </c>
      <c r="G24" s="497"/>
    </row>
    <row r="25" spans="1:7" ht="12.75" hidden="1">
      <c r="A25" s="495" t="s">
        <v>207</v>
      </c>
      <c r="B25" s="504"/>
      <c r="C25" s="504"/>
      <c r="D25" s="504"/>
      <c r="E25" s="505">
        <f t="shared" si="0"/>
        <v>0</v>
      </c>
      <c r="F25" s="506" t="e">
        <f t="shared" si="1"/>
        <v>#DIV/0!</v>
      </c>
      <c r="G25" s="497"/>
    </row>
    <row r="26" spans="1:7" ht="12.75" hidden="1">
      <c r="A26" s="495" t="s">
        <v>208</v>
      </c>
      <c r="B26" s="504"/>
      <c r="C26" s="504"/>
      <c r="D26" s="504"/>
      <c r="E26" s="505">
        <f t="shared" si="0"/>
        <v>0</v>
      </c>
      <c r="F26" s="506" t="e">
        <f t="shared" si="1"/>
        <v>#DIV/0!</v>
      </c>
      <c r="G26" s="497"/>
    </row>
    <row r="27" spans="1:7" ht="12.75" hidden="1">
      <c r="A27" s="495" t="s">
        <v>209</v>
      </c>
      <c r="B27" s="504"/>
      <c r="C27" s="504"/>
      <c r="D27" s="504"/>
      <c r="E27" s="505">
        <f t="shared" si="0"/>
        <v>0</v>
      </c>
      <c r="F27" s="506" t="e">
        <f t="shared" si="1"/>
        <v>#DIV/0!</v>
      </c>
      <c r="G27" s="497"/>
    </row>
    <row r="28" spans="1:7" ht="12.75" hidden="1">
      <c r="A28" s="495" t="s">
        <v>210</v>
      </c>
      <c r="B28" s="504"/>
      <c r="C28" s="504"/>
      <c r="D28" s="504"/>
      <c r="E28" s="505">
        <f t="shared" si="0"/>
        <v>0</v>
      </c>
      <c r="F28" s="506" t="e">
        <f t="shared" si="1"/>
        <v>#DIV/0!</v>
      </c>
      <c r="G28" s="497"/>
    </row>
    <row r="29" spans="1:7" ht="12.75">
      <c r="A29" s="490" t="s">
        <v>211</v>
      </c>
      <c r="B29" s="491"/>
      <c r="C29" s="491"/>
      <c r="D29" s="491"/>
      <c r="E29" s="492"/>
      <c r="F29" s="507"/>
      <c r="G29" s="498"/>
    </row>
    <row r="30" spans="1:7" ht="12.75">
      <c r="A30" s="519" t="s">
        <v>212</v>
      </c>
      <c r="B30" s="524">
        <v>-0.8012755243374338</v>
      </c>
      <c r="C30" s="524">
        <v>-0.1</v>
      </c>
      <c r="D30" s="524">
        <v>-3.2724585197687657</v>
      </c>
      <c r="E30" s="525">
        <f t="shared" si="0"/>
        <v>-3.1724585197687656</v>
      </c>
      <c r="F30" s="526">
        <f t="shared" si="1"/>
        <v>32.72458519768765</v>
      </c>
      <c r="G30" s="523" t="s">
        <v>213</v>
      </c>
    </row>
    <row r="31" spans="1:7" ht="12.75">
      <c r="A31" s="519" t="s">
        <v>214</v>
      </c>
      <c r="B31" s="524">
        <v>-14.24761971834323</v>
      </c>
      <c r="C31" s="524">
        <v>-0.32337619926752165</v>
      </c>
      <c r="D31" s="524">
        <v>-11.624565781298534</v>
      </c>
      <c r="E31" s="525">
        <f t="shared" si="0"/>
        <v>-11.301189582031013</v>
      </c>
      <c r="F31" s="526">
        <f t="shared" si="1"/>
        <v>35.947499561282804</v>
      </c>
      <c r="G31" s="527" t="s">
        <v>215</v>
      </c>
    </row>
    <row r="32" spans="1:7" ht="12.75" hidden="1">
      <c r="A32" s="519" t="s">
        <v>358</v>
      </c>
      <c r="B32" s="524"/>
      <c r="C32" s="524"/>
      <c r="D32" s="532"/>
      <c r="E32" s="533">
        <f t="shared" si="0"/>
        <v>0</v>
      </c>
      <c r="F32" s="534" t="e">
        <f t="shared" si="1"/>
        <v>#DIV/0!</v>
      </c>
      <c r="G32" s="531"/>
    </row>
    <row r="33" spans="1:7" ht="12.75" hidden="1">
      <c r="A33" s="519" t="s">
        <v>359</v>
      </c>
      <c r="B33" s="524"/>
      <c r="C33" s="524"/>
      <c r="D33" s="532"/>
      <c r="E33" s="533">
        <f t="shared" si="0"/>
        <v>0</v>
      </c>
      <c r="F33" s="534" t="e">
        <f t="shared" si="1"/>
        <v>#DIV/0!</v>
      </c>
      <c r="G33" s="523"/>
    </row>
    <row r="34" spans="1:7" ht="12.75" hidden="1">
      <c r="A34" s="519" t="s">
        <v>360</v>
      </c>
      <c r="B34" s="524"/>
      <c r="C34" s="524"/>
      <c r="D34" s="532"/>
      <c r="E34" s="533">
        <f t="shared" si="0"/>
        <v>0</v>
      </c>
      <c r="F34" s="534" t="e">
        <f t="shared" si="1"/>
        <v>#DIV/0!</v>
      </c>
      <c r="G34" s="527"/>
    </row>
    <row r="35" spans="1:7" ht="12.75">
      <c r="A35" s="519" t="s">
        <v>216</v>
      </c>
      <c r="B35" s="528">
        <v>4.742990198611725</v>
      </c>
      <c r="C35" s="528">
        <v>5.9207139433701474</v>
      </c>
      <c r="D35" s="528">
        <v>4.299822467008611</v>
      </c>
      <c r="E35" s="529">
        <f t="shared" si="0"/>
        <v>-1.6208914763615363</v>
      </c>
      <c r="F35" s="530">
        <f t="shared" si="1"/>
        <v>0.7262337799351772</v>
      </c>
      <c r="G35" s="531" t="s">
        <v>217</v>
      </c>
    </row>
    <row r="36" spans="1:7" ht="12.75" hidden="1">
      <c r="A36" s="490" t="s">
        <v>218</v>
      </c>
      <c r="B36" s="491"/>
      <c r="C36" s="491"/>
      <c r="D36" s="491"/>
      <c r="E36" s="492">
        <f t="shared" si="0"/>
        <v>0</v>
      </c>
      <c r="F36" s="493" t="e">
        <f t="shared" si="1"/>
        <v>#DIV/0!</v>
      </c>
      <c r="G36" s="498"/>
    </row>
    <row r="37" spans="1:7" ht="12.75" hidden="1">
      <c r="A37" s="495" t="s">
        <v>219</v>
      </c>
      <c r="B37" s="508">
        <v>795418.512232934</v>
      </c>
      <c r="C37" s="508">
        <v>712015.4560886269</v>
      </c>
      <c r="D37" s="508"/>
      <c r="E37" s="509">
        <f t="shared" si="0"/>
        <v>-712015.4560886269</v>
      </c>
      <c r="F37" s="510">
        <f t="shared" si="1"/>
        <v>0</v>
      </c>
      <c r="G37" s="496" t="s">
        <v>220</v>
      </c>
    </row>
    <row r="38" spans="1:7" ht="12.75" hidden="1">
      <c r="A38" s="495" t="s">
        <v>221</v>
      </c>
      <c r="B38" s="504">
        <v>285753.12949578627</v>
      </c>
      <c r="C38" s="504">
        <v>299653.39944608236</v>
      </c>
      <c r="D38" s="504"/>
      <c r="E38" s="505">
        <f t="shared" si="0"/>
        <v>-299653.39944608236</v>
      </c>
      <c r="F38" s="506">
        <f t="shared" si="1"/>
        <v>0</v>
      </c>
      <c r="G38" s="497" t="s">
        <v>220</v>
      </c>
    </row>
    <row r="39" spans="1:7" ht="12.75" hidden="1">
      <c r="A39" s="495" t="s">
        <v>222</v>
      </c>
      <c r="B39" s="511">
        <v>2500.2840380880043</v>
      </c>
      <c r="C39" s="511">
        <v>2341.776110068793</v>
      </c>
      <c r="D39" s="511"/>
      <c r="E39" s="512">
        <f t="shared" si="0"/>
        <v>-2341.776110068793</v>
      </c>
      <c r="F39" s="513">
        <f t="shared" si="1"/>
        <v>0</v>
      </c>
      <c r="G39" s="499" t="s">
        <v>220</v>
      </c>
    </row>
    <row r="40" spans="1:7" ht="12.75">
      <c r="A40" s="490" t="s">
        <v>223</v>
      </c>
      <c r="B40" s="491"/>
      <c r="C40" s="491"/>
      <c r="D40" s="491"/>
      <c r="E40" s="492"/>
      <c r="F40" s="493"/>
      <c r="G40" s="498"/>
    </row>
    <row r="41" spans="1:7" ht="12.75">
      <c r="A41" s="519" t="s">
        <v>224</v>
      </c>
      <c r="B41" s="535">
        <v>116.95</v>
      </c>
      <c r="C41" s="535">
        <v>100.43531730431769</v>
      </c>
      <c r="D41" s="535">
        <v>114.45534046058086</v>
      </c>
      <c r="E41" s="536">
        <f t="shared" si="0"/>
        <v>14.020023156263164</v>
      </c>
      <c r="F41" s="537">
        <f t="shared" si="1"/>
        <v>1.1395925609891058</v>
      </c>
      <c r="G41" s="538" t="s">
        <v>225</v>
      </c>
    </row>
    <row r="42" spans="1:7" ht="12.75">
      <c r="A42" s="519" t="s">
        <v>226</v>
      </c>
      <c r="B42" s="539">
        <v>32.782965653734536</v>
      </c>
      <c r="C42" s="539">
        <v>37.947094887829216</v>
      </c>
      <c r="D42" s="539">
        <v>36.51397512365562</v>
      </c>
      <c r="E42" s="540">
        <f t="shared" si="0"/>
        <v>-1.4331197641735969</v>
      </c>
      <c r="F42" s="541">
        <f t="shared" si="1"/>
        <v>0.9622337423086045</v>
      </c>
      <c r="G42" s="538" t="s">
        <v>196</v>
      </c>
    </row>
    <row r="43" spans="1:7" ht="12.75">
      <c r="A43" s="490" t="s">
        <v>227</v>
      </c>
      <c r="B43" s="514"/>
      <c r="C43" s="491"/>
      <c r="D43" s="491"/>
      <c r="E43" s="492"/>
      <c r="F43" s="507"/>
      <c r="G43" s="515"/>
    </row>
    <row r="44" spans="1:7" ht="12.75">
      <c r="A44" s="519" t="s">
        <v>219</v>
      </c>
      <c r="B44" s="542">
        <v>795418.512232934</v>
      </c>
      <c r="C44" s="542">
        <v>712015.4560886269</v>
      </c>
      <c r="D44" s="542">
        <v>541598.3702503152</v>
      </c>
      <c r="E44" s="543">
        <f t="shared" si="0"/>
        <v>-170417.0858383117</v>
      </c>
      <c r="F44" s="537">
        <f t="shared" si="1"/>
        <v>0.7606553560305026</v>
      </c>
      <c r="G44" s="544" t="s">
        <v>220</v>
      </c>
    </row>
    <row r="45" spans="1:7" ht="12.75">
      <c r="A45" s="519" t="s">
        <v>228</v>
      </c>
      <c r="B45" s="545">
        <v>285753.12949578627</v>
      </c>
      <c r="C45" s="545">
        <v>299653.39944608236</v>
      </c>
      <c r="D45" s="545">
        <v>203578.8312623807</v>
      </c>
      <c r="E45" s="546">
        <f t="shared" si="0"/>
        <v>-96074.56818370166</v>
      </c>
      <c r="F45" s="541">
        <f t="shared" si="1"/>
        <v>0.6793810169973103</v>
      </c>
      <c r="G45" s="544" t="s">
        <v>220</v>
      </c>
    </row>
    <row r="46" spans="1:7" ht="12.75">
      <c r="A46" s="519" t="s">
        <v>229</v>
      </c>
      <c r="B46" s="545">
        <v>2500.2840380880043</v>
      </c>
      <c r="C46" s="545">
        <v>2341.776110068793</v>
      </c>
      <c r="D46" s="545">
        <v>1655.7319016747704</v>
      </c>
      <c r="E46" s="546">
        <f t="shared" si="0"/>
        <v>-686.0442083940227</v>
      </c>
      <c r="F46" s="541">
        <f t="shared" si="1"/>
        <v>0.7070410764529197</v>
      </c>
      <c r="G46" s="544"/>
    </row>
    <row r="47" spans="1:7" ht="12.75">
      <c r="A47" s="490" t="s">
        <v>230</v>
      </c>
      <c r="B47" s="491"/>
      <c r="C47" s="491"/>
      <c r="D47" s="491"/>
      <c r="E47" s="492"/>
      <c r="F47" s="493"/>
      <c r="G47" s="498"/>
    </row>
    <row r="48" spans="1:7" ht="12.75">
      <c r="A48" s="519" t="s">
        <v>231</v>
      </c>
      <c r="B48" s="547">
        <v>22750.47</v>
      </c>
      <c r="C48" s="547">
        <v>22386</v>
      </c>
      <c r="D48" s="547">
        <v>22212</v>
      </c>
      <c r="E48" s="548">
        <f t="shared" si="0"/>
        <v>-174</v>
      </c>
      <c r="F48" s="549">
        <f t="shared" si="1"/>
        <v>0.9922272849102117</v>
      </c>
      <c r="G48" s="550"/>
    </row>
    <row r="49" spans="1:7" ht="13.5" thickBot="1">
      <c r="A49" s="551" t="s">
        <v>232</v>
      </c>
      <c r="B49" s="552">
        <v>56882637</v>
      </c>
      <c r="C49" s="552">
        <v>52423000</v>
      </c>
      <c r="D49" s="552">
        <v>36777117</v>
      </c>
      <c r="E49" s="553">
        <f t="shared" si="0"/>
        <v>-15645883</v>
      </c>
      <c r="F49" s="554">
        <f t="shared" si="1"/>
        <v>0.7015454476088739</v>
      </c>
      <c r="G49" s="555"/>
    </row>
    <row r="51" ht="12.75">
      <c r="A51" s="132" t="s">
        <v>233</v>
      </c>
    </row>
  </sheetData>
  <mergeCells count="2">
    <mergeCell ref="E3:F3"/>
    <mergeCell ref="A1:G1"/>
  </mergeCells>
  <printOptions/>
  <pageMargins left="1.67" right="0.75" top="1.03" bottom="0.41" header="0.61" footer="0.16"/>
  <pageSetup fitToHeight="1" fitToWidth="1" horizontalDpi="300" verticalDpi="300" orientation="landscape" paperSize="9" r:id="rId1"/>
  <headerFooter alignWithMargins="0">
    <oddHeader>&amp;LPlnenie konsolidačnej funkcie k 30.09.2003&amp;R&amp;"Arial CE,Tučné"&amp;12Príloha č. 8&amp;"Arial CE,Normálne"&amp;10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6" sqref="A16"/>
    </sheetView>
  </sheetViews>
  <sheetFormatPr defaultColWidth="9.00390625" defaultRowHeight="12.75"/>
  <cols>
    <col min="1" max="1" width="48.75390625" style="265" customWidth="1"/>
    <col min="2" max="16384" width="9.125" style="265" customWidth="1"/>
  </cols>
  <sheetData>
    <row r="1" ht="15.75">
      <c r="A1" s="1" t="s">
        <v>379</v>
      </c>
    </row>
    <row r="2" spans="3:7" ht="13.5" thickBot="1">
      <c r="C2" s="584"/>
      <c r="G2" s="584" t="s">
        <v>309</v>
      </c>
    </row>
    <row r="3" spans="1:7" ht="13.5" thickBot="1">
      <c r="A3" s="585"/>
      <c r="B3" s="650" t="s">
        <v>381</v>
      </c>
      <c r="C3" s="651"/>
      <c r="D3" s="650" t="s">
        <v>382</v>
      </c>
      <c r="E3" s="651"/>
      <c r="F3" s="650" t="s">
        <v>383</v>
      </c>
      <c r="G3" s="651"/>
    </row>
    <row r="4" spans="1:7" ht="13.5" thickBot="1">
      <c r="A4" s="586" t="s">
        <v>384</v>
      </c>
      <c r="B4" s="364" t="s">
        <v>385</v>
      </c>
      <c r="C4" s="587" t="s">
        <v>386</v>
      </c>
      <c r="D4" s="364" t="s">
        <v>385</v>
      </c>
      <c r="E4" s="587" t="s">
        <v>386</v>
      </c>
      <c r="F4" s="364" t="s">
        <v>385</v>
      </c>
      <c r="G4" s="587" t="s">
        <v>386</v>
      </c>
    </row>
    <row r="5" spans="1:7" ht="12.75">
      <c r="A5" s="588"/>
      <c r="B5" s="589"/>
      <c r="C5" s="590"/>
      <c r="D5" s="591"/>
      <c r="E5" s="592"/>
      <c r="F5" s="589"/>
      <c r="G5" s="590"/>
    </row>
    <row r="6" spans="1:7" ht="12.75">
      <c r="A6" s="593" t="s">
        <v>387</v>
      </c>
      <c r="B6" s="594"/>
      <c r="C6" s="595"/>
      <c r="D6" s="596"/>
      <c r="E6" s="597"/>
      <c r="F6" s="594"/>
      <c r="G6" s="595"/>
    </row>
    <row r="7" spans="1:7" s="604" customFormat="1" ht="12.75">
      <c r="A7" s="598" t="s">
        <v>244</v>
      </c>
      <c r="B7" s="600">
        <v>0</v>
      </c>
      <c r="C7" s="601">
        <v>658768</v>
      </c>
      <c r="D7" s="602">
        <v>0</v>
      </c>
      <c r="E7" s="603">
        <v>661744</v>
      </c>
      <c r="F7" s="600">
        <v>0</v>
      </c>
      <c r="G7" s="601">
        <v>661744</v>
      </c>
    </row>
    <row r="8" spans="1:7" s="604" customFormat="1" ht="12.75">
      <c r="A8" s="598" t="s">
        <v>245</v>
      </c>
      <c r="B8" s="600">
        <f>76263.34+76263.34+76263.34</f>
        <v>228790.02</v>
      </c>
      <c r="C8" s="601">
        <f>40804.02+40804.02+39396.7+37990.13</f>
        <v>158994.87</v>
      </c>
      <c r="D8" s="602">
        <f>0.7372*413800</f>
        <v>305053.36</v>
      </c>
      <c r="E8" s="603">
        <f>0.7372*187044</f>
        <v>137888.8368</v>
      </c>
      <c r="F8" s="600">
        <f>0.7372*413800</f>
        <v>305053.36</v>
      </c>
      <c r="G8" s="601">
        <f>0.7372*156506</f>
        <v>115376.2232</v>
      </c>
    </row>
    <row r="9" spans="1:7" s="610" customFormat="1" ht="12.75">
      <c r="A9" s="605" t="s">
        <v>388</v>
      </c>
      <c r="B9" s="606">
        <v>0</v>
      </c>
      <c r="C9" s="607">
        <f>31901+31901+32251+32251</f>
        <v>128304</v>
      </c>
      <c r="D9" s="608">
        <v>0</v>
      </c>
      <c r="E9" s="609">
        <v>127953</v>
      </c>
      <c r="F9" s="606">
        <v>181500</v>
      </c>
      <c r="G9" s="607">
        <v>124697</v>
      </c>
    </row>
    <row r="10" spans="1:7" s="610" customFormat="1" ht="12.75">
      <c r="A10" s="605" t="s">
        <v>389</v>
      </c>
      <c r="B10" s="606">
        <v>0</v>
      </c>
      <c r="C10" s="607">
        <f>343043+144701</f>
        <v>487744</v>
      </c>
      <c r="D10" s="608">
        <v>0</v>
      </c>
      <c r="E10" s="609">
        <v>486412</v>
      </c>
      <c r="F10" s="606">
        <v>0</v>
      </c>
      <c r="G10" s="607">
        <v>486412</v>
      </c>
    </row>
    <row r="11" spans="1:7" s="610" customFormat="1" ht="12.75">
      <c r="A11" s="605" t="s">
        <v>250</v>
      </c>
      <c r="B11" s="606">
        <v>0</v>
      </c>
      <c r="C11" s="607">
        <f>35088+35474+35474+35088</f>
        <v>141124</v>
      </c>
      <c r="D11" s="608">
        <v>58000</v>
      </c>
      <c r="E11" s="609">
        <v>140738</v>
      </c>
      <c r="F11" s="606">
        <v>232000</v>
      </c>
      <c r="G11" s="607">
        <v>131004</v>
      </c>
    </row>
    <row r="12" spans="1:7" s="610" customFormat="1" ht="12.75">
      <c r="A12" s="605" t="s">
        <v>390</v>
      </c>
      <c r="B12" s="606">
        <v>0</v>
      </c>
      <c r="C12" s="607">
        <f>25632+25913+25913+25632</f>
        <v>103090</v>
      </c>
      <c r="D12" s="608">
        <v>104000</v>
      </c>
      <c r="E12" s="609">
        <v>101920</v>
      </c>
      <c r="F12" s="606">
        <v>208000</v>
      </c>
      <c r="G12" s="607">
        <v>90320</v>
      </c>
    </row>
    <row r="13" spans="1:7" s="610" customFormat="1" ht="12.75">
      <c r="A13" s="593" t="s">
        <v>1</v>
      </c>
      <c r="B13" s="611">
        <f aca="true" t="shared" si="0" ref="B13:G13">SUM(B7:B12)</f>
        <v>228790.02</v>
      </c>
      <c r="C13" s="612">
        <f t="shared" si="0"/>
        <v>1678024.87</v>
      </c>
      <c r="D13" s="613">
        <f t="shared" si="0"/>
        <v>467053.36</v>
      </c>
      <c r="E13" s="614">
        <f t="shared" si="0"/>
        <v>1656655.8368</v>
      </c>
      <c r="F13" s="611">
        <f t="shared" si="0"/>
        <v>926553.36</v>
      </c>
      <c r="G13" s="612">
        <f t="shared" si="0"/>
        <v>1609553.2232</v>
      </c>
    </row>
    <row r="14" spans="1:7" s="610" customFormat="1" ht="12.75">
      <c r="A14" s="593"/>
      <c r="B14" s="606"/>
      <c r="C14" s="607"/>
      <c r="D14" s="608"/>
      <c r="E14" s="609"/>
      <c r="F14" s="606"/>
      <c r="G14" s="607"/>
    </row>
    <row r="15" spans="1:7" s="604" customFormat="1" ht="12.75">
      <c r="A15" s="593" t="s">
        <v>391</v>
      </c>
      <c r="B15" s="611"/>
      <c r="C15" s="612"/>
      <c r="D15" s="613"/>
      <c r="E15" s="614"/>
      <c r="F15" s="611"/>
      <c r="G15" s="612"/>
    </row>
    <row r="16" spans="1:7" s="604" customFormat="1" ht="12.75">
      <c r="A16" s="598" t="s">
        <v>241</v>
      </c>
      <c r="B16" s="600">
        <v>320610</v>
      </c>
      <c r="C16" s="601">
        <v>333999</v>
      </c>
      <c r="D16" s="602">
        <v>688820</v>
      </c>
      <c r="E16" s="603">
        <v>305502</v>
      </c>
      <c r="F16" s="600">
        <v>688820</v>
      </c>
      <c r="G16" s="601">
        <v>272475</v>
      </c>
    </row>
    <row r="17" spans="1:7" s="604" customFormat="1" ht="12.75">
      <c r="A17" s="598" t="s">
        <v>392</v>
      </c>
      <c r="B17" s="600">
        <v>620535</v>
      </c>
      <c r="C17" s="601">
        <v>40365</v>
      </c>
      <c r="D17" s="602">
        <v>311535</v>
      </c>
      <c r="E17" s="603">
        <v>4189</v>
      </c>
      <c r="F17" s="600"/>
      <c r="G17" s="601"/>
    </row>
    <row r="18" spans="1:7" s="604" customFormat="1" ht="12.75">
      <c r="A18" s="598" t="s">
        <v>246</v>
      </c>
      <c r="B18" s="600">
        <v>392000</v>
      </c>
      <c r="C18" s="601">
        <v>393770</v>
      </c>
      <c r="D18" s="602">
        <v>784000</v>
      </c>
      <c r="E18" s="603">
        <v>349638</v>
      </c>
      <c r="F18" s="600">
        <v>784000</v>
      </c>
      <c r="G18" s="601">
        <v>292406</v>
      </c>
    </row>
    <row r="19" spans="1:7" s="604" customFormat="1" ht="12.75">
      <c r="A19" s="598" t="s">
        <v>245</v>
      </c>
      <c r="B19" s="600">
        <v>81559.98</v>
      </c>
      <c r="C19" s="601">
        <v>56679.13</v>
      </c>
      <c r="D19" s="602">
        <f>413800-D8</f>
        <v>108746.64000000001</v>
      </c>
      <c r="E19" s="603">
        <f>187044-E8</f>
        <v>49155.16320000001</v>
      </c>
      <c r="F19" s="600">
        <f>413800-F8</f>
        <v>108746.64000000001</v>
      </c>
      <c r="G19" s="601">
        <f>156506-G8</f>
        <v>41129.77680000001</v>
      </c>
    </row>
    <row r="20" spans="1:7" s="604" customFormat="1" ht="12.75">
      <c r="A20" s="593" t="s">
        <v>1</v>
      </c>
      <c r="B20" s="611">
        <f aca="true" t="shared" si="1" ref="B20:G20">SUM(B16:B19)</f>
        <v>1414704.98</v>
      </c>
      <c r="C20" s="612">
        <f t="shared" si="1"/>
        <v>824813.13</v>
      </c>
      <c r="D20" s="613">
        <f t="shared" si="1"/>
        <v>1893101.6400000001</v>
      </c>
      <c r="E20" s="614">
        <f t="shared" si="1"/>
        <v>708484.1632000001</v>
      </c>
      <c r="F20" s="611">
        <f t="shared" si="1"/>
        <v>1581566.6400000001</v>
      </c>
      <c r="G20" s="612">
        <f t="shared" si="1"/>
        <v>606010.7768</v>
      </c>
    </row>
    <row r="21" spans="1:7" s="604" customFormat="1" ht="12.75">
      <c r="A21" s="593"/>
      <c r="B21" s="600"/>
      <c r="C21" s="601"/>
      <c r="D21" s="602"/>
      <c r="E21" s="603"/>
      <c r="F21" s="600"/>
      <c r="G21" s="601"/>
    </row>
    <row r="22" spans="1:7" ht="12.75">
      <c r="A22" s="593" t="s">
        <v>393</v>
      </c>
      <c r="B22" s="611"/>
      <c r="C22" s="612"/>
      <c r="D22" s="613"/>
      <c r="E22" s="614"/>
      <c r="F22" s="611"/>
      <c r="G22" s="612"/>
    </row>
    <row r="23" spans="1:7" ht="12.75">
      <c r="A23" s="598" t="s">
        <v>394</v>
      </c>
      <c r="B23" s="600">
        <f>432336+432337</f>
        <v>864673</v>
      </c>
      <c r="C23" s="601">
        <v>31613</v>
      </c>
      <c r="D23" s="602"/>
      <c r="E23" s="603"/>
      <c r="F23" s="600"/>
      <c r="G23" s="601"/>
    </row>
    <row r="24" spans="1:7" ht="12.75">
      <c r="A24" s="615" t="s">
        <v>395</v>
      </c>
      <c r="B24" s="616">
        <v>16259</v>
      </c>
      <c r="C24" s="617">
        <v>598</v>
      </c>
      <c r="D24" s="618"/>
      <c r="E24" s="619"/>
      <c r="F24" s="616"/>
      <c r="G24" s="617"/>
    </row>
    <row r="25" spans="1:7" ht="12.75">
      <c r="A25" s="615" t="s">
        <v>396</v>
      </c>
      <c r="B25" s="616">
        <v>27767</v>
      </c>
      <c r="C25" s="617">
        <v>1380</v>
      </c>
      <c r="D25" s="618"/>
      <c r="E25" s="619"/>
      <c r="F25" s="616"/>
      <c r="G25" s="617"/>
    </row>
    <row r="26" spans="1:7" ht="12.75">
      <c r="A26" s="615" t="s">
        <v>397</v>
      </c>
      <c r="B26" s="616">
        <v>130000</v>
      </c>
      <c r="C26" s="617">
        <v>2779</v>
      </c>
      <c r="D26" s="618"/>
      <c r="E26" s="619"/>
      <c r="F26" s="616"/>
      <c r="G26" s="617"/>
    </row>
    <row r="27" spans="1:7" s="604" customFormat="1" ht="12.75">
      <c r="A27" s="615" t="s">
        <v>398</v>
      </c>
      <c r="B27" s="616">
        <v>100000</v>
      </c>
      <c r="C27" s="617">
        <v>6600</v>
      </c>
      <c r="D27" s="618"/>
      <c r="E27" s="619"/>
      <c r="F27" s="616"/>
      <c r="G27" s="617"/>
    </row>
    <row r="28" spans="1:7" s="604" customFormat="1" ht="13.5" thickBot="1">
      <c r="A28" s="620" t="s">
        <v>1</v>
      </c>
      <c r="B28" s="621">
        <f aca="true" t="shared" si="2" ref="B28:G28">SUM(B23:B27)</f>
        <v>1138699</v>
      </c>
      <c r="C28" s="622">
        <f t="shared" si="2"/>
        <v>42970</v>
      </c>
      <c r="D28" s="623">
        <f t="shared" si="2"/>
        <v>0</v>
      </c>
      <c r="E28" s="624">
        <f t="shared" si="2"/>
        <v>0</v>
      </c>
      <c r="F28" s="621">
        <f t="shared" si="2"/>
        <v>0</v>
      </c>
      <c r="G28" s="622">
        <f t="shared" si="2"/>
        <v>0</v>
      </c>
    </row>
    <row r="29" spans="1:7" s="604" customFormat="1" ht="13.5" thickBot="1">
      <c r="A29" s="625"/>
      <c r="B29" s="626"/>
      <c r="C29" s="626"/>
      <c r="D29" s="626"/>
      <c r="E29" s="626"/>
      <c r="F29" s="626"/>
      <c r="G29" s="626"/>
    </row>
    <row r="30" spans="1:7" ht="12.75">
      <c r="A30" s="627" t="s">
        <v>399</v>
      </c>
      <c r="B30" s="628"/>
      <c r="C30" s="629"/>
      <c r="D30" s="628"/>
      <c r="E30" s="629"/>
      <c r="F30" s="628"/>
      <c r="G30" s="629"/>
    </row>
    <row r="31" spans="1:7" ht="12.75">
      <c r="A31" s="630" t="s">
        <v>400</v>
      </c>
      <c r="B31" s="600">
        <v>650000</v>
      </c>
      <c r="C31" s="601">
        <v>48884</v>
      </c>
      <c r="D31" s="600">
        <v>325000</v>
      </c>
      <c r="E31" s="601">
        <v>16250</v>
      </c>
      <c r="F31" s="600"/>
      <c r="G31" s="601"/>
    </row>
    <row r="32" spans="1:7" ht="12.75">
      <c r="A32" s="615" t="s">
        <v>401</v>
      </c>
      <c r="B32" s="616">
        <f>7000*12</f>
        <v>84000</v>
      </c>
      <c r="C32" s="617">
        <v>7185</v>
      </c>
      <c r="D32" s="616">
        <v>21000</v>
      </c>
      <c r="E32" s="617">
        <v>1001</v>
      </c>
      <c r="F32" s="616"/>
      <c r="G32" s="617"/>
    </row>
    <row r="33" spans="1:7" ht="13.5" thickBot="1">
      <c r="A33" s="631" t="s">
        <v>402</v>
      </c>
      <c r="B33" s="632">
        <v>36295</v>
      </c>
      <c r="C33" s="633">
        <v>794</v>
      </c>
      <c r="D33" s="632"/>
      <c r="E33" s="633"/>
      <c r="F33" s="632"/>
      <c r="G33" s="633"/>
    </row>
    <row r="34" spans="1:7" ht="13.5" thickBot="1">
      <c r="A34" s="634" t="s">
        <v>1</v>
      </c>
      <c r="B34" s="379">
        <f aca="true" t="shared" si="3" ref="B34:G34">SUM(B31:B33)</f>
        <v>770295</v>
      </c>
      <c r="C34" s="363">
        <f t="shared" si="3"/>
        <v>56863</v>
      </c>
      <c r="D34" s="379">
        <f t="shared" si="3"/>
        <v>346000</v>
      </c>
      <c r="E34" s="363">
        <f t="shared" si="3"/>
        <v>17251</v>
      </c>
      <c r="F34" s="379">
        <f t="shared" si="3"/>
        <v>0</v>
      </c>
      <c r="G34" s="363">
        <f t="shared" si="3"/>
        <v>0</v>
      </c>
    </row>
    <row r="35" spans="2:7" ht="13.5" thickBot="1">
      <c r="B35" s="635"/>
      <c r="C35" s="635"/>
      <c r="D35" s="635"/>
      <c r="E35" s="635"/>
      <c r="F35" s="635"/>
      <c r="G35" s="635"/>
    </row>
    <row r="36" spans="1:7" ht="12.75">
      <c r="A36" s="636" t="s">
        <v>403</v>
      </c>
      <c r="B36" s="637">
        <f aca="true" t="shared" si="4" ref="B36:G36">B34+B28+B20+B13</f>
        <v>3552489</v>
      </c>
      <c r="C36" s="638">
        <f t="shared" si="4"/>
        <v>2602671</v>
      </c>
      <c r="D36" s="637">
        <f t="shared" si="4"/>
        <v>2706155</v>
      </c>
      <c r="E36" s="638">
        <f t="shared" si="4"/>
        <v>2382391</v>
      </c>
      <c r="F36" s="637">
        <f t="shared" si="4"/>
        <v>2508120</v>
      </c>
      <c r="G36" s="638">
        <f t="shared" si="4"/>
        <v>2215564</v>
      </c>
    </row>
    <row r="37" spans="1:7" ht="12.75">
      <c r="A37" s="142" t="s">
        <v>404</v>
      </c>
      <c r="B37" s="616">
        <f aca="true" t="shared" si="5" ref="B37:G37">B20</f>
        <v>1414704.98</v>
      </c>
      <c r="C37" s="617">
        <f t="shared" si="5"/>
        <v>824813.13</v>
      </c>
      <c r="D37" s="616">
        <f t="shared" si="5"/>
        <v>1893101.6400000001</v>
      </c>
      <c r="E37" s="617">
        <f t="shared" si="5"/>
        <v>708484.1632000001</v>
      </c>
      <c r="F37" s="616">
        <f t="shared" si="5"/>
        <v>1581566.6400000001</v>
      </c>
      <c r="G37" s="617">
        <f t="shared" si="5"/>
        <v>606010.7768</v>
      </c>
    </row>
    <row r="38" spans="1:7" ht="12.75">
      <c r="A38" s="639" t="s">
        <v>405</v>
      </c>
      <c r="B38" s="616">
        <f aca="true" t="shared" si="6" ref="B38:G38">B13</f>
        <v>228790.02</v>
      </c>
      <c r="C38" s="617">
        <f t="shared" si="6"/>
        <v>1678024.87</v>
      </c>
      <c r="D38" s="616">
        <f t="shared" si="6"/>
        <v>467053.36</v>
      </c>
      <c r="E38" s="617">
        <f t="shared" si="6"/>
        <v>1656655.8368</v>
      </c>
      <c r="F38" s="616">
        <f t="shared" si="6"/>
        <v>926553.36</v>
      </c>
      <c r="G38" s="617">
        <f t="shared" si="6"/>
        <v>1609553.2232</v>
      </c>
    </row>
    <row r="39" spans="1:7" ht="13.5" thickBot="1">
      <c r="A39" s="640" t="s">
        <v>406</v>
      </c>
      <c r="B39" s="641">
        <f aca="true" t="shared" si="7" ref="B39:G39">B36-B37-B38</f>
        <v>1908994</v>
      </c>
      <c r="C39" s="642">
        <f t="shared" si="7"/>
        <v>99833</v>
      </c>
      <c r="D39" s="641">
        <f t="shared" si="7"/>
        <v>345999.9999999999</v>
      </c>
      <c r="E39" s="642">
        <f t="shared" si="7"/>
        <v>17251</v>
      </c>
      <c r="F39" s="641">
        <f t="shared" si="7"/>
        <v>0</v>
      </c>
      <c r="G39" s="642">
        <f t="shared" si="7"/>
        <v>0</v>
      </c>
    </row>
    <row r="40" spans="3:4" ht="12.75">
      <c r="C40" s="635"/>
      <c r="D40" s="635"/>
    </row>
  </sheetData>
  <mergeCells count="3">
    <mergeCell ref="B3:C3"/>
    <mergeCell ref="D3:E3"/>
    <mergeCell ref="F3:G3"/>
  </mergeCells>
  <printOptions/>
  <pageMargins left="0.75" right="0.75" top="0.82" bottom="0.49" header="0.39" footer="0.23"/>
  <pageSetup orientation="landscape" paperSize="9" r:id="rId1"/>
  <headerFooter alignWithMargins="0">
    <oddHeader>&amp;R
Príloha č.9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8"/>
  <sheetViews>
    <sheetView showGridLines="0" zoomScale="85" zoomScaleNormal="85"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34.125" style="0" customWidth="1"/>
    <col min="3" max="3" width="22.00390625" style="0" bestFit="1" customWidth="1"/>
    <col min="4" max="4" width="21.375" style="0" customWidth="1"/>
    <col min="5" max="5" width="26.625" style="0" bestFit="1" customWidth="1"/>
    <col min="6" max="6" width="26.00390625" style="0" bestFit="1" customWidth="1"/>
    <col min="7" max="7" width="12.00390625" style="0" customWidth="1"/>
  </cols>
  <sheetData>
    <row r="2" spans="2:3" ht="15.75">
      <c r="B2" s="1" t="s">
        <v>259</v>
      </c>
      <c r="C2" s="1"/>
    </row>
    <row r="3" spans="2:7" ht="16.5" thickBot="1">
      <c r="B3" s="1"/>
      <c r="C3" s="1"/>
      <c r="G3" s="252" t="s">
        <v>23</v>
      </c>
    </row>
    <row r="4" spans="2:7" ht="12.75">
      <c r="B4" s="364" t="s">
        <v>0</v>
      </c>
      <c r="C4" s="364" t="s">
        <v>234</v>
      </c>
      <c r="D4" s="652" t="s">
        <v>269</v>
      </c>
      <c r="E4" s="653"/>
      <c r="F4" s="364" t="s">
        <v>285</v>
      </c>
      <c r="G4" s="380" t="s">
        <v>165</v>
      </c>
    </row>
    <row r="5" spans="2:7" ht="13.5" thickBot="1">
      <c r="B5" s="370"/>
      <c r="C5" s="370"/>
      <c r="D5" s="374" t="s">
        <v>1</v>
      </c>
      <c r="E5" s="375" t="s">
        <v>2</v>
      </c>
      <c r="F5" s="370" t="s">
        <v>286</v>
      </c>
      <c r="G5" s="381" t="s">
        <v>3</v>
      </c>
    </row>
    <row r="6" spans="2:7" ht="18.75" customHeight="1">
      <c r="B6" s="368" t="s">
        <v>4</v>
      </c>
      <c r="C6" s="153">
        <v>306009</v>
      </c>
      <c r="D6" s="376">
        <v>55874</v>
      </c>
      <c r="E6" s="369">
        <v>0</v>
      </c>
      <c r="F6" s="382">
        <v>1306268</v>
      </c>
      <c r="G6" s="357">
        <f>SUM(D6+F6)</f>
        <v>1362142</v>
      </c>
    </row>
    <row r="7" spans="2:7" ht="18.75" customHeight="1">
      <c r="B7" s="365" t="s">
        <v>287</v>
      </c>
      <c r="C7" s="154">
        <v>2167048</v>
      </c>
      <c r="D7" s="377">
        <v>1299104</v>
      </c>
      <c r="E7" s="361">
        <v>1188351</v>
      </c>
      <c r="F7" s="383">
        <v>5056287</v>
      </c>
      <c r="G7" s="358">
        <f>SUM(D7+F7)</f>
        <v>6355391</v>
      </c>
    </row>
    <row r="8" spans="2:7" ht="18.75" customHeight="1">
      <c r="B8" s="365" t="s">
        <v>288</v>
      </c>
      <c r="C8" s="154">
        <v>154807</v>
      </c>
      <c r="D8" s="377">
        <f>13126+875</f>
        <v>14001</v>
      </c>
      <c r="E8" s="361">
        <v>0</v>
      </c>
      <c r="F8" s="383">
        <v>65327</v>
      </c>
      <c r="G8" s="358">
        <f>SUM(D8+F8)</f>
        <v>79328</v>
      </c>
    </row>
    <row r="9" spans="2:7" ht="18.75" customHeight="1" thickBot="1">
      <c r="B9" s="366" t="s">
        <v>5</v>
      </c>
      <c r="C9" s="372">
        <v>36623</v>
      </c>
      <c r="D9" s="378">
        <v>33997</v>
      </c>
      <c r="E9" s="362">
        <v>0</v>
      </c>
      <c r="F9" s="384">
        <v>28080</v>
      </c>
      <c r="G9" s="359">
        <f>SUM(D9+F9)</f>
        <v>62077</v>
      </c>
    </row>
    <row r="10" spans="2:7" ht="18.75" customHeight="1" thickBot="1">
      <c r="B10" s="367" t="s">
        <v>6</v>
      </c>
      <c r="C10" s="373">
        <f>SUM(C6:C9)</f>
        <v>2664487</v>
      </c>
      <c r="D10" s="379">
        <f>SUM(D6:D9)</f>
        <v>1402976</v>
      </c>
      <c r="E10" s="363">
        <f>SUM(E6:E9)</f>
        <v>1188351</v>
      </c>
      <c r="F10" s="385">
        <f>SUM(F6:F9)</f>
        <v>6455962</v>
      </c>
      <c r="G10" s="356">
        <f>SUM(D10+F10)</f>
        <v>7858938</v>
      </c>
    </row>
    <row r="12" ht="14.25">
      <c r="B12" s="352" t="s">
        <v>289</v>
      </c>
    </row>
    <row r="13" ht="14.25">
      <c r="B13" s="352" t="s">
        <v>290</v>
      </c>
    </row>
    <row r="16" ht="12.75">
      <c r="B16" s="351" t="s">
        <v>292</v>
      </c>
    </row>
    <row r="17" ht="13.5" thickBot="1">
      <c r="B17" s="351"/>
    </row>
    <row r="18" spans="2:3" ht="13.5" thickBot="1">
      <c r="B18" s="275" t="s">
        <v>5</v>
      </c>
      <c r="C18" s="360" t="s">
        <v>293</v>
      </c>
    </row>
    <row r="19" spans="2:3" ht="12.75">
      <c r="B19" s="353" t="s">
        <v>7</v>
      </c>
      <c r="C19" s="357">
        <v>4344</v>
      </c>
    </row>
    <row r="20" spans="2:3" ht="12.75">
      <c r="B20" s="354" t="s">
        <v>8</v>
      </c>
      <c r="C20" s="358">
        <v>8941</v>
      </c>
    </row>
    <row r="21" spans="2:3" ht="12.75">
      <c r="B21" s="354" t="s">
        <v>9</v>
      </c>
      <c r="C21" s="358">
        <v>3057</v>
      </c>
    </row>
    <row r="22" spans="2:3" ht="12.75">
      <c r="B22" s="354" t="s">
        <v>10</v>
      </c>
      <c r="C22" s="358">
        <v>5034</v>
      </c>
    </row>
    <row r="23" spans="2:3" ht="12.75">
      <c r="B23" s="354" t="s">
        <v>11</v>
      </c>
      <c r="C23" s="358">
        <v>1393</v>
      </c>
    </row>
    <row r="24" spans="2:3" ht="12.75">
      <c r="B24" s="354" t="s">
        <v>12</v>
      </c>
      <c r="C24" s="358">
        <v>250</v>
      </c>
    </row>
    <row r="25" spans="2:3" ht="12.75">
      <c r="B25" s="354" t="s">
        <v>13</v>
      </c>
      <c r="C25" s="358">
        <v>2766</v>
      </c>
    </row>
    <row r="26" spans="2:3" ht="12.75">
      <c r="B26" s="354" t="s">
        <v>14</v>
      </c>
      <c r="C26" s="358">
        <v>1515</v>
      </c>
    </row>
    <row r="27" spans="2:3" ht="13.5" thickBot="1">
      <c r="B27" s="355" t="s">
        <v>291</v>
      </c>
      <c r="C27" s="359">
        <v>780</v>
      </c>
    </row>
    <row r="28" spans="2:3" ht="13.5" thickBot="1">
      <c r="B28" s="275" t="s">
        <v>6</v>
      </c>
      <c r="C28" s="356">
        <f>SUM(C19:C27)</f>
        <v>28080</v>
      </c>
    </row>
  </sheetData>
  <mergeCells count="1">
    <mergeCell ref="D4:E4"/>
  </mergeCells>
  <printOptions/>
  <pageMargins left="0.9448818897637796" right="0.5118110236220472" top="1.968503937007874" bottom="0.984251968503937" header="1.3779527559055118" footer="0.5118110236220472"/>
  <pageSetup fitToHeight="1" fitToWidth="1" orientation="landscape" paperSize="9" scale="91" r:id="rId1"/>
  <headerFooter alignWithMargins="0">
    <oddHeader>&amp;LPlnenie konsolidačnej funkcie k 30.09.2003&amp;R&amp;"Arial CE,Tučné"&amp;12Príloha č.1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85" zoomScaleNormal="85" workbookViewId="0" topLeftCell="A1">
      <selection activeCell="A2" sqref="A2"/>
    </sheetView>
  </sheetViews>
  <sheetFormatPr defaultColWidth="9.00390625" defaultRowHeight="12.75"/>
  <cols>
    <col min="1" max="1" width="43.875" style="265" customWidth="1"/>
    <col min="2" max="2" width="13.00390625" style="265" customWidth="1"/>
    <col min="3" max="3" width="13.125" style="265" customWidth="1"/>
    <col min="4" max="4" width="13.625" style="265" customWidth="1"/>
    <col min="5" max="5" width="13.375" style="265" customWidth="1"/>
    <col min="6" max="6" width="12.125" style="274" customWidth="1"/>
    <col min="7" max="7" width="11.375" style="265" customWidth="1"/>
    <col min="8" max="8" width="11.75390625" style="265" customWidth="1"/>
    <col min="9" max="16384" width="9.125" style="265" customWidth="1"/>
  </cols>
  <sheetData>
    <row r="1" spans="1:8" ht="21.75" customHeight="1">
      <c r="A1" s="264" t="s">
        <v>15</v>
      </c>
      <c r="B1" s="3"/>
      <c r="C1" s="3"/>
      <c r="D1" s="3"/>
      <c r="E1" s="3"/>
      <c r="F1" s="4"/>
      <c r="G1" s="3"/>
      <c r="H1" s="3"/>
    </row>
    <row r="2" spans="1:8" ht="19.5" customHeight="1">
      <c r="A2" s="264" t="s">
        <v>260</v>
      </c>
      <c r="B2" s="3"/>
      <c r="C2" s="3"/>
      <c r="D2" s="3"/>
      <c r="E2" s="3"/>
      <c r="F2" s="4"/>
      <c r="G2" s="3"/>
      <c r="H2" s="3"/>
    </row>
    <row r="3" spans="1:8" ht="15.75" customHeight="1">
      <c r="A3" s="3"/>
      <c r="B3" s="3"/>
      <c r="C3" s="3"/>
      <c r="D3" s="3"/>
      <c r="E3" s="3"/>
      <c r="F3" s="4"/>
      <c r="G3" s="3"/>
      <c r="H3" s="3"/>
    </row>
    <row r="4" spans="1:8" ht="17.25" customHeight="1" thickBot="1">
      <c r="A4" s="3"/>
      <c r="B4" s="3"/>
      <c r="C4" s="3"/>
      <c r="D4" s="3"/>
      <c r="E4" s="3"/>
      <c r="F4" s="4"/>
      <c r="G4" s="3"/>
      <c r="H4" s="349" t="s">
        <v>23</v>
      </c>
    </row>
    <row r="5" spans="1:8" ht="15" customHeight="1">
      <c r="A5" s="386"/>
      <c r="B5" s="389" t="s">
        <v>16</v>
      </c>
      <c r="C5" s="389" t="s">
        <v>17</v>
      </c>
      <c r="D5" s="390" t="s">
        <v>18</v>
      </c>
      <c r="E5" s="389" t="s">
        <v>19</v>
      </c>
      <c r="F5" s="391" t="s">
        <v>20</v>
      </c>
      <c r="G5" s="392" t="s">
        <v>21</v>
      </c>
      <c r="H5" s="393" t="s">
        <v>22</v>
      </c>
    </row>
    <row r="6" spans="1:8" ht="15" customHeight="1">
      <c r="A6" s="387"/>
      <c r="B6" s="394">
        <v>2003</v>
      </c>
      <c r="C6" s="394" t="s">
        <v>24</v>
      </c>
      <c r="D6" s="395" t="s">
        <v>25</v>
      </c>
      <c r="E6" s="394" t="s">
        <v>25</v>
      </c>
      <c r="F6" s="396" t="s">
        <v>26</v>
      </c>
      <c r="G6" s="396" t="s">
        <v>26</v>
      </c>
      <c r="H6" s="397" t="s">
        <v>27</v>
      </c>
    </row>
    <row r="7" spans="1:8" ht="15" customHeight="1" thickBot="1">
      <c r="A7" s="388"/>
      <c r="B7" s="398"/>
      <c r="C7" s="399" t="s">
        <v>294</v>
      </c>
      <c r="D7" s="400" t="s">
        <v>295</v>
      </c>
      <c r="E7" s="399" t="s">
        <v>294</v>
      </c>
      <c r="F7" s="401" t="s">
        <v>28</v>
      </c>
      <c r="G7" s="401" t="s">
        <v>28</v>
      </c>
      <c r="H7" s="371" t="s">
        <v>29</v>
      </c>
    </row>
    <row r="8" spans="1:10" ht="15" customHeight="1" thickBot="1">
      <c r="A8" s="275"/>
      <c r="B8" s="276"/>
      <c r="C8" s="277"/>
      <c r="D8" s="276"/>
      <c r="E8" s="276"/>
      <c r="F8" s="278"/>
      <c r="G8" s="279"/>
      <c r="H8" s="280"/>
      <c r="J8" s="266"/>
    </row>
    <row r="9" spans="1:8" ht="15" customHeight="1" thickBot="1">
      <c r="A9" s="281" t="s">
        <v>30</v>
      </c>
      <c r="B9" s="282">
        <f>B11+B14+B22+B24</f>
        <v>4151094.4</v>
      </c>
      <c r="C9" s="283">
        <f>C11+C14+C22+C24</f>
        <v>402500</v>
      </c>
      <c r="D9" s="284">
        <f>D11+D14+D21+D24</f>
        <v>2607062</v>
      </c>
      <c r="E9" s="285">
        <f>E11+E14+E22+E24</f>
        <v>1793954.4</v>
      </c>
      <c r="F9" s="286">
        <f>D9/B9%</f>
        <v>62.804208933432115</v>
      </c>
      <c r="G9" s="287">
        <f>E9/B9%</f>
        <v>43.21642022884375</v>
      </c>
      <c r="H9" s="287" t="s">
        <v>31</v>
      </c>
    </row>
    <row r="10" spans="1:8" ht="15" customHeight="1">
      <c r="A10" s="288" t="s">
        <v>270</v>
      </c>
      <c r="B10" s="289"/>
      <c r="C10" s="290"/>
      <c r="D10" s="289"/>
      <c r="E10" s="290"/>
      <c r="F10" s="291"/>
      <c r="G10" s="292"/>
      <c r="H10" s="293"/>
    </row>
    <row r="11" spans="1:8" ht="15" customHeight="1">
      <c r="A11" s="295" t="s">
        <v>32</v>
      </c>
      <c r="B11" s="296">
        <f>SUM(B12:B13)</f>
        <v>505000</v>
      </c>
      <c r="C11" s="296">
        <f>SUM(C12:C13)</f>
        <v>402500</v>
      </c>
      <c r="D11" s="296">
        <f>SUM(D12:D13)</f>
        <v>215439</v>
      </c>
      <c r="E11" s="296">
        <f>SUM(E12:E13)</f>
        <v>166820</v>
      </c>
      <c r="F11" s="297">
        <f>D11/B11%</f>
        <v>42.66118811881188</v>
      </c>
      <c r="G11" s="298">
        <f>E11/B11%</f>
        <v>33.03366336633663</v>
      </c>
      <c r="H11" s="298">
        <f>E11/C11%</f>
        <v>41.445962732919256</v>
      </c>
    </row>
    <row r="12" spans="1:8" ht="15" customHeight="1">
      <c r="A12" s="299" t="s">
        <v>33</v>
      </c>
      <c r="B12" s="300">
        <v>350000</v>
      </c>
      <c r="C12" s="301">
        <v>262500</v>
      </c>
      <c r="D12" s="301">
        <v>186966</v>
      </c>
      <c r="E12" s="301">
        <v>151086</v>
      </c>
      <c r="F12" s="302">
        <f>D12/B12%</f>
        <v>53.41885714285714</v>
      </c>
      <c r="G12" s="303">
        <f>E12/B12%</f>
        <v>43.16742857142857</v>
      </c>
      <c r="H12" s="303">
        <f>E12/C12%</f>
        <v>57.55657142857143</v>
      </c>
    </row>
    <row r="13" spans="1:8" ht="15" customHeight="1">
      <c r="A13" s="299" t="s">
        <v>34</v>
      </c>
      <c r="B13" s="300">
        <v>155000</v>
      </c>
      <c r="C13" s="301">
        <v>140000</v>
      </c>
      <c r="D13" s="301">
        <v>28473</v>
      </c>
      <c r="E13" s="301">
        <v>15734</v>
      </c>
      <c r="F13" s="302">
        <f>D13/B13%</f>
        <v>18.36967741935484</v>
      </c>
      <c r="G13" s="303">
        <f>E13/B13%</f>
        <v>10.150967741935483</v>
      </c>
      <c r="H13" s="303">
        <f>E13/C13%</f>
        <v>11.23857142857143</v>
      </c>
    </row>
    <row r="14" spans="1:8" ht="15" customHeight="1">
      <c r="A14" s="295" t="s">
        <v>35</v>
      </c>
      <c r="B14" s="306">
        <f>SUM(B15:B20)</f>
        <v>3535004.4</v>
      </c>
      <c r="C14" s="296"/>
      <c r="D14" s="307">
        <f>SUM(D15:D20)</f>
        <v>754400</v>
      </c>
      <c r="E14" s="306">
        <f>SUM(E15:E20)</f>
        <v>1627134.4</v>
      </c>
      <c r="F14" s="297">
        <f aca="true" t="shared" si="0" ref="F14:F20">D14/B14%</f>
        <v>21.340850381968405</v>
      </c>
      <c r="G14" s="298">
        <f aca="true" t="shared" si="1" ref="G14:G20">E14/B14%</f>
        <v>46.02920437666216</v>
      </c>
      <c r="H14" s="305"/>
    </row>
    <row r="15" spans="1:8" ht="15" customHeight="1">
      <c r="A15" s="308" t="s">
        <v>281</v>
      </c>
      <c r="B15" s="309">
        <v>1051096</v>
      </c>
      <c r="C15" s="289"/>
      <c r="D15" s="289">
        <v>230347</v>
      </c>
      <c r="E15" s="289">
        <v>121231</v>
      </c>
      <c r="F15" s="310">
        <f t="shared" si="0"/>
        <v>21.914934506458025</v>
      </c>
      <c r="G15" s="293">
        <f t="shared" si="1"/>
        <v>11.533770464353399</v>
      </c>
      <c r="H15" s="305"/>
    </row>
    <row r="16" spans="1:8" ht="15" customHeight="1">
      <c r="A16" s="311" t="s">
        <v>36</v>
      </c>
      <c r="B16" s="309">
        <v>680181</v>
      </c>
      <c r="C16" s="289"/>
      <c r="D16" s="289">
        <v>65969</v>
      </c>
      <c r="E16" s="289">
        <v>40410</v>
      </c>
      <c r="F16" s="310">
        <f t="shared" si="0"/>
        <v>9.6987419525097</v>
      </c>
      <c r="G16" s="293">
        <f t="shared" si="1"/>
        <v>5.94106568692745</v>
      </c>
      <c r="H16" s="305"/>
    </row>
    <row r="17" spans="1:8" ht="15" customHeight="1">
      <c r="A17" s="312" t="s">
        <v>37</v>
      </c>
      <c r="B17" s="304">
        <v>200000</v>
      </c>
      <c r="C17" s="289"/>
      <c r="D17" s="313">
        <v>17940</v>
      </c>
      <c r="E17" s="313">
        <v>17940</v>
      </c>
      <c r="F17" s="310">
        <f t="shared" si="0"/>
        <v>8.97</v>
      </c>
      <c r="G17" s="293">
        <f t="shared" si="1"/>
        <v>8.97</v>
      </c>
      <c r="H17" s="305"/>
    </row>
    <row r="18" spans="1:8" ht="15" customHeight="1">
      <c r="A18" s="314" t="s">
        <v>271</v>
      </c>
      <c r="B18" s="315">
        <v>444748</v>
      </c>
      <c r="C18" s="294"/>
      <c r="D18" s="294">
        <v>217871</v>
      </c>
      <c r="E18" s="294">
        <v>277294</v>
      </c>
      <c r="F18" s="310">
        <f t="shared" si="0"/>
        <v>48.9875165262126</v>
      </c>
      <c r="G18" s="293">
        <f t="shared" si="1"/>
        <v>62.348565929470176</v>
      </c>
      <c r="H18" s="305"/>
    </row>
    <row r="19" spans="1:8" ht="15" customHeight="1">
      <c r="A19" s="314" t="s">
        <v>272</v>
      </c>
      <c r="B19" s="315">
        <v>255252</v>
      </c>
      <c r="C19" s="294"/>
      <c r="D19" s="294"/>
      <c r="E19" s="294">
        <v>266532</v>
      </c>
      <c r="F19" s="310">
        <v>0</v>
      </c>
      <c r="G19" s="293">
        <f>E19/B19%</f>
        <v>104.41916223966903</v>
      </c>
      <c r="H19" s="305"/>
    </row>
    <row r="20" spans="1:8" ht="15" customHeight="1">
      <c r="A20" s="314" t="s">
        <v>273</v>
      </c>
      <c r="B20" s="316">
        <v>903727.4</v>
      </c>
      <c r="C20" s="294"/>
      <c r="D20" s="294">
        <v>222273</v>
      </c>
      <c r="E20" s="317">
        <v>903727.4</v>
      </c>
      <c r="F20" s="310">
        <f t="shared" si="0"/>
        <v>24.595137870114375</v>
      </c>
      <c r="G20" s="293">
        <f t="shared" si="1"/>
        <v>100.00000000000001</v>
      </c>
      <c r="H20" s="305"/>
    </row>
    <row r="21" spans="1:8" ht="15" customHeight="1">
      <c r="A21" s="295" t="s">
        <v>274</v>
      </c>
      <c r="B21" s="307">
        <v>111090</v>
      </c>
      <c r="C21" s="319"/>
      <c r="D21" s="319">
        <f>D22+D23</f>
        <v>1621188</v>
      </c>
      <c r="E21" s="319"/>
      <c r="F21" s="297">
        <f>D21/B21%</f>
        <v>1459.3464758304076</v>
      </c>
      <c r="G21" s="320">
        <v>0</v>
      </c>
      <c r="H21" s="305"/>
    </row>
    <row r="22" spans="1:8" ht="15" customHeight="1">
      <c r="A22" s="318" t="s">
        <v>275</v>
      </c>
      <c r="B22" s="321">
        <v>111090</v>
      </c>
      <c r="C22" s="296"/>
      <c r="D22" s="321">
        <v>33165</v>
      </c>
      <c r="E22" s="307"/>
      <c r="F22" s="322">
        <f>D22/B22%</f>
        <v>29.85417229273562</v>
      </c>
      <c r="G22" s="305">
        <v>0</v>
      </c>
      <c r="H22" s="305"/>
    </row>
    <row r="23" spans="1:8" ht="15" customHeight="1">
      <c r="A23" s="318" t="s">
        <v>276</v>
      </c>
      <c r="B23" s="323">
        <v>0</v>
      </c>
      <c r="C23" s="294"/>
      <c r="D23" s="321">
        <v>1588023</v>
      </c>
      <c r="E23" s="294"/>
      <c r="F23" s="310">
        <v>0</v>
      </c>
      <c r="G23" s="305">
        <v>0</v>
      </c>
      <c r="H23" s="305"/>
    </row>
    <row r="24" spans="1:8" ht="15" customHeight="1">
      <c r="A24" s="318" t="s">
        <v>38</v>
      </c>
      <c r="B24" s="304">
        <v>0</v>
      </c>
      <c r="C24" s="319"/>
      <c r="D24" s="324">
        <v>16035</v>
      </c>
      <c r="E24" s="301"/>
      <c r="F24" s="291">
        <v>0</v>
      </c>
      <c r="G24" s="293"/>
      <c r="H24" s="305"/>
    </row>
    <row r="25" spans="1:8" ht="15" customHeight="1" thickBot="1">
      <c r="A25" s="325"/>
      <c r="B25" s="296"/>
      <c r="C25" s="326"/>
      <c r="D25" s="327" t="s">
        <v>31</v>
      </c>
      <c r="E25" s="328"/>
      <c r="F25" s="329"/>
      <c r="G25" s="330"/>
      <c r="H25" s="330"/>
    </row>
    <row r="26" spans="1:8" ht="15" customHeight="1" thickBot="1">
      <c r="A26" s="350" t="s">
        <v>283</v>
      </c>
      <c r="B26" s="331">
        <f>SUM(B27:B27)</f>
        <v>0</v>
      </c>
      <c r="C26" s="331"/>
      <c r="D26" s="331">
        <v>42078</v>
      </c>
      <c r="E26" s="331">
        <v>0</v>
      </c>
      <c r="F26" s="286">
        <v>0</v>
      </c>
      <c r="G26" s="287">
        <v>0</v>
      </c>
      <c r="H26" s="332"/>
    </row>
    <row r="27" spans="1:11" ht="15" customHeight="1">
      <c r="A27" s="333" t="s">
        <v>282</v>
      </c>
      <c r="B27" s="304">
        <v>0</v>
      </c>
      <c r="C27" s="334"/>
      <c r="D27" s="289">
        <v>42078</v>
      </c>
      <c r="E27" s="289">
        <v>0</v>
      </c>
      <c r="F27" s="297">
        <v>0</v>
      </c>
      <c r="G27" s="292">
        <v>0</v>
      </c>
      <c r="H27" s="292"/>
      <c r="K27" s="267"/>
    </row>
    <row r="28" spans="1:8" ht="15" customHeight="1" thickBot="1">
      <c r="A28" s="335" t="s">
        <v>277</v>
      </c>
      <c r="B28" s="304"/>
      <c r="C28" s="334"/>
      <c r="D28" s="289"/>
      <c r="E28" s="336"/>
      <c r="F28" s="305"/>
      <c r="G28" s="305"/>
      <c r="H28" s="305"/>
    </row>
    <row r="29" spans="1:8" ht="15" customHeight="1" thickBot="1">
      <c r="A29" s="337" t="s">
        <v>284</v>
      </c>
      <c r="B29" s="338">
        <f>B9+B26</f>
        <v>4151094.4</v>
      </c>
      <c r="C29" s="339"/>
      <c r="D29" s="340">
        <f>D9+D26</f>
        <v>2649140</v>
      </c>
      <c r="E29" s="338">
        <f>E9+E26</f>
        <v>1793954.4</v>
      </c>
      <c r="F29" s="341">
        <f>D29/B29%</f>
        <v>63.817869331037144</v>
      </c>
      <c r="G29" s="342">
        <f>E29/B29%</f>
        <v>43.21642022884375</v>
      </c>
      <c r="H29" s="287" t="s">
        <v>31</v>
      </c>
    </row>
    <row r="30" spans="1:8" ht="15" customHeight="1">
      <c r="A30" s="273" t="s">
        <v>278</v>
      </c>
      <c r="B30" s="343"/>
      <c r="C30" s="343"/>
      <c r="D30" s="343"/>
      <c r="E30" s="343"/>
      <c r="F30" s="344"/>
      <c r="G30" s="345"/>
      <c r="H30" s="346"/>
    </row>
    <row r="31" spans="1:8" ht="15" customHeight="1">
      <c r="A31" s="273" t="s">
        <v>279</v>
      </c>
      <c r="B31" s="343"/>
      <c r="C31" s="343"/>
      <c r="D31" s="343"/>
      <c r="E31" s="343"/>
      <c r="F31" s="344"/>
      <c r="G31" s="345"/>
      <c r="H31" s="346"/>
    </row>
    <row r="32" spans="1:8" ht="15" customHeight="1">
      <c r="A32" s="273" t="s">
        <v>280</v>
      </c>
      <c r="B32" s="140"/>
      <c r="C32" s="140"/>
      <c r="D32" s="140"/>
      <c r="E32" s="140"/>
      <c r="F32" s="347"/>
      <c r="G32" s="348"/>
      <c r="H32" s="348"/>
    </row>
    <row r="33" spans="1:6" ht="16.5" customHeight="1">
      <c r="A33" s="268" t="s">
        <v>31</v>
      </c>
      <c r="B33" s="269"/>
      <c r="C33" s="270"/>
      <c r="D33" s="270"/>
      <c r="E33" s="270"/>
      <c r="F33" s="271"/>
    </row>
    <row r="34" spans="1:5" ht="16.5" customHeight="1">
      <c r="A34" s="272"/>
      <c r="B34" s="140"/>
      <c r="C34" s="273"/>
      <c r="D34" s="140"/>
      <c r="E34" s="140"/>
    </row>
  </sheetData>
  <printOptions horizontalCentered="1" verticalCentered="1"/>
  <pageMargins left="0.7874015748031497" right="0.7874015748031497" top="1.44" bottom="0.5118110236220472" header="1.17" footer="0.5118110236220472"/>
  <pageSetup fitToHeight="1" fitToWidth="1" orientation="landscape" paperSize="9" scale="80" r:id="rId2"/>
  <headerFooter alignWithMargins="0">
    <oddHeader>&amp;LPlnenie konsolidačnej funkciek 30.09.2003&amp;R&amp;"Arial CE,Tučné"&amp;12Príloha č.2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workbookViewId="0" topLeftCell="A31">
      <selection activeCell="A55" sqref="A55"/>
    </sheetView>
  </sheetViews>
  <sheetFormatPr defaultColWidth="9.00390625" defaultRowHeight="12.75"/>
  <cols>
    <col min="1" max="1" width="32.625" style="8" customWidth="1"/>
    <col min="2" max="2" width="12.75390625" style="8" customWidth="1"/>
    <col min="3" max="3" width="12.125" style="8" customWidth="1"/>
    <col min="4" max="4" width="13.375" style="8" customWidth="1"/>
    <col min="5" max="5" width="12.25390625" style="8" customWidth="1"/>
    <col min="6" max="6" width="11.875" style="8" customWidth="1"/>
    <col min="7" max="16384" width="9.125" style="8" customWidth="1"/>
  </cols>
  <sheetData>
    <row r="1" spans="1:6" ht="15.75">
      <c r="A1" s="659" t="s">
        <v>341</v>
      </c>
      <c r="B1" s="659"/>
      <c r="C1" s="659"/>
      <c r="D1" s="659"/>
      <c r="E1" s="659"/>
      <c r="F1" s="659"/>
    </row>
    <row r="2" ht="12.75" thickBot="1">
      <c r="A2" s="468"/>
    </row>
    <row r="3" spans="1:6" ht="12">
      <c r="A3" s="5"/>
      <c r="B3" s="6" t="s">
        <v>39</v>
      </c>
      <c r="C3" s="7" t="s">
        <v>40</v>
      </c>
      <c r="D3" s="654" t="s">
        <v>296</v>
      </c>
      <c r="E3" s="655"/>
      <c r="F3" s="6" t="s">
        <v>41</v>
      </c>
    </row>
    <row r="4" spans="1:6" ht="12.75" thickBot="1">
      <c r="A4" s="9" t="s">
        <v>42</v>
      </c>
      <c r="B4" s="10" t="s">
        <v>43</v>
      </c>
      <c r="C4" s="11" t="s">
        <v>44</v>
      </c>
      <c r="D4" s="12" t="s">
        <v>43</v>
      </c>
      <c r="E4" s="13" t="s">
        <v>45</v>
      </c>
      <c r="F4" s="14" t="s">
        <v>46</v>
      </c>
    </row>
    <row r="5" spans="1:6" ht="18" customHeight="1">
      <c r="A5" s="29" t="s">
        <v>47</v>
      </c>
      <c r="B5" s="574">
        <v>3669</v>
      </c>
      <c r="C5" s="575">
        <v>3669</v>
      </c>
      <c r="D5" s="402">
        <v>3669</v>
      </c>
      <c r="E5" s="16"/>
      <c r="F5" s="17">
        <f>D5/C5*100</f>
        <v>100</v>
      </c>
    </row>
    <row r="6" spans="1:6" ht="18" customHeight="1">
      <c r="A6" s="33" t="s">
        <v>48</v>
      </c>
      <c r="B6" s="576">
        <v>35874.127</v>
      </c>
      <c r="C6" s="577">
        <v>30066.667</v>
      </c>
      <c r="D6" s="403">
        <v>23120</v>
      </c>
      <c r="E6" s="18"/>
      <c r="F6" s="19">
        <f>D6/C6*100</f>
        <v>76.8957862871864</v>
      </c>
    </row>
    <row r="7" spans="1:6" ht="18" customHeight="1">
      <c r="A7" s="33" t="s">
        <v>49</v>
      </c>
      <c r="B7" s="576">
        <v>21008.51</v>
      </c>
      <c r="C7" s="577">
        <v>21408.269</v>
      </c>
      <c r="D7" s="403">
        <v>13657</v>
      </c>
      <c r="E7" s="18"/>
      <c r="F7" s="19">
        <f>D7/C7*100</f>
        <v>63.793107233471325</v>
      </c>
    </row>
    <row r="8" spans="1:6" ht="18" customHeight="1">
      <c r="A8" s="33" t="s">
        <v>50</v>
      </c>
      <c r="B8" s="576">
        <v>10539.569</v>
      </c>
      <c r="C8" s="577">
        <v>10063.731</v>
      </c>
      <c r="D8" s="403">
        <v>6760</v>
      </c>
      <c r="E8" s="18"/>
      <c r="F8" s="19">
        <f>D8/C8*100</f>
        <v>67.17190672127464</v>
      </c>
    </row>
    <row r="9" spans="1:6" ht="18" customHeight="1" thickBot="1">
      <c r="A9" s="557" t="s">
        <v>51</v>
      </c>
      <c r="B9" s="578">
        <v>27165.3</v>
      </c>
      <c r="C9" s="579">
        <v>28803.607</v>
      </c>
      <c r="D9" s="404">
        <v>16293</v>
      </c>
      <c r="E9" s="22"/>
      <c r="F9" s="23">
        <f>D9/C9*100</f>
        <v>56.565832189003274</v>
      </c>
    </row>
    <row r="10" spans="1:6" ht="21.75" customHeight="1" thickBot="1">
      <c r="A10" s="24" t="s">
        <v>52</v>
      </c>
      <c r="B10" s="25"/>
      <c r="C10" s="26"/>
      <c r="D10" s="405"/>
      <c r="E10" s="27"/>
      <c r="F10" s="28"/>
    </row>
    <row r="11" spans="1:6" ht="18" customHeight="1">
      <c r="A11" s="29" t="s">
        <v>53</v>
      </c>
      <c r="B11" s="30">
        <v>496000</v>
      </c>
      <c r="C11" s="31">
        <v>463700</v>
      </c>
      <c r="D11" s="406">
        <v>378653</v>
      </c>
      <c r="E11" s="407">
        <v>378653</v>
      </c>
      <c r="F11" s="32">
        <f>E11/C11*100</f>
        <v>81.65904679749838</v>
      </c>
    </row>
    <row r="12" spans="1:6" ht="18" customHeight="1">
      <c r="A12" s="33" t="s">
        <v>54</v>
      </c>
      <c r="B12" s="34">
        <v>40000</v>
      </c>
      <c r="C12" s="35">
        <v>44383</v>
      </c>
      <c r="D12" s="38">
        <v>31993</v>
      </c>
      <c r="E12" s="408">
        <v>31993</v>
      </c>
      <c r="F12" s="37">
        <f aca="true" t="shared" si="0" ref="F12:F39">E12/C12*100</f>
        <v>72.08390600004506</v>
      </c>
    </row>
    <row r="13" spans="1:6" ht="18" customHeight="1">
      <c r="A13" s="33" t="s">
        <v>55</v>
      </c>
      <c r="B13" s="34">
        <v>390000</v>
      </c>
      <c r="C13" s="35">
        <v>323195</v>
      </c>
      <c r="D13" s="38">
        <v>245610</v>
      </c>
      <c r="E13" s="408">
        <v>245610</v>
      </c>
      <c r="F13" s="37">
        <f t="shared" si="0"/>
        <v>75.99436872476369</v>
      </c>
    </row>
    <row r="14" spans="1:6" ht="18" customHeight="1">
      <c r="A14" s="33" t="s">
        <v>56</v>
      </c>
      <c r="B14" s="34">
        <v>2221000</v>
      </c>
      <c r="C14" s="35">
        <v>2202191</v>
      </c>
      <c r="D14" s="38">
        <v>1665423</v>
      </c>
      <c r="E14" s="408">
        <v>1665423</v>
      </c>
      <c r="F14" s="37">
        <f t="shared" si="0"/>
        <v>75.62572910342472</v>
      </c>
    </row>
    <row r="15" spans="1:6" ht="18" customHeight="1">
      <c r="A15" s="33" t="s">
        <v>57</v>
      </c>
      <c r="B15" s="34">
        <v>1795000</v>
      </c>
      <c r="C15" s="35">
        <v>1976112</v>
      </c>
      <c r="D15" s="38">
        <v>1402751</v>
      </c>
      <c r="E15" s="408">
        <v>1402751</v>
      </c>
      <c r="F15" s="37">
        <f t="shared" si="0"/>
        <v>70.9853996129774</v>
      </c>
    </row>
    <row r="16" spans="1:6" ht="18" customHeight="1">
      <c r="A16" s="33" t="s">
        <v>58</v>
      </c>
      <c r="B16" s="34">
        <f>SUM(B17:B20)</f>
        <v>1888000</v>
      </c>
      <c r="C16" s="35">
        <f>SUM(C17:C20)</f>
        <v>1713221</v>
      </c>
      <c r="D16" s="36">
        <f>SUM(D17:D20)</f>
        <v>1362115</v>
      </c>
      <c r="E16" s="408">
        <f>SUM(E17:E20)</f>
        <v>1308273</v>
      </c>
      <c r="F16" s="37">
        <f t="shared" si="0"/>
        <v>76.36335300582937</v>
      </c>
    </row>
    <row r="17" spans="1:6" s="561" customFormat="1" ht="18" customHeight="1">
      <c r="A17" s="568" t="s">
        <v>59</v>
      </c>
      <c r="B17" s="569">
        <v>822000</v>
      </c>
      <c r="C17" s="570">
        <v>831327</v>
      </c>
      <c r="D17" s="572">
        <v>615353</v>
      </c>
      <c r="E17" s="571">
        <v>615353</v>
      </c>
      <c r="F17" s="37">
        <f t="shared" si="0"/>
        <v>74.0205719289762</v>
      </c>
    </row>
    <row r="18" spans="1:6" s="561" customFormat="1" ht="18" customHeight="1">
      <c r="A18" s="568" t="s">
        <v>60</v>
      </c>
      <c r="B18" s="569">
        <v>45000</v>
      </c>
      <c r="C18" s="570">
        <v>42000</v>
      </c>
      <c r="D18" s="572">
        <v>32486</v>
      </c>
      <c r="E18" s="571">
        <v>32486</v>
      </c>
      <c r="F18" s="37">
        <f t="shared" si="0"/>
        <v>77.34761904761905</v>
      </c>
    </row>
    <row r="19" spans="1:6" s="561" customFormat="1" ht="18" customHeight="1">
      <c r="A19" s="568" t="s">
        <v>61</v>
      </c>
      <c r="B19" s="569">
        <v>174000</v>
      </c>
      <c r="C19" s="570">
        <v>154894</v>
      </c>
      <c r="D19" s="572">
        <v>105138</v>
      </c>
      <c r="E19" s="571">
        <v>105138</v>
      </c>
      <c r="F19" s="37">
        <f t="shared" si="0"/>
        <v>67.87738711635055</v>
      </c>
    </row>
    <row r="20" spans="1:6" s="561" customFormat="1" ht="18" customHeight="1">
      <c r="A20" s="568" t="s">
        <v>62</v>
      </c>
      <c r="B20" s="569">
        <v>847000</v>
      </c>
      <c r="C20" s="570">
        <v>685000</v>
      </c>
      <c r="D20" s="573">
        <v>609138</v>
      </c>
      <c r="E20" s="571">
        <v>555296</v>
      </c>
      <c r="F20" s="37">
        <f t="shared" si="0"/>
        <v>81.0651094890511</v>
      </c>
    </row>
    <row r="21" spans="1:6" ht="18" customHeight="1">
      <c r="A21" s="33" t="s">
        <v>63</v>
      </c>
      <c r="B21" s="34">
        <f>SUM(B22:B23)</f>
        <v>3754000</v>
      </c>
      <c r="C21" s="35">
        <f>SUM(C22:C23)</f>
        <v>3345545</v>
      </c>
      <c r="D21" s="36">
        <f>SUM(D22:D23)</f>
        <v>2932615</v>
      </c>
      <c r="E21" s="408">
        <f>SUM(E22:E23)</f>
        <v>2610633</v>
      </c>
      <c r="F21" s="37">
        <f t="shared" si="0"/>
        <v>78.03311568070374</v>
      </c>
    </row>
    <row r="22" spans="1:6" s="561" customFormat="1" ht="18" customHeight="1">
      <c r="A22" s="568" t="s">
        <v>64</v>
      </c>
      <c r="B22" s="569">
        <v>2167000</v>
      </c>
      <c r="C22" s="570">
        <v>2045950</v>
      </c>
      <c r="D22" s="569">
        <v>1634006</v>
      </c>
      <c r="E22" s="571">
        <v>1579932</v>
      </c>
      <c r="F22" s="37">
        <f t="shared" si="0"/>
        <v>77.22241501502968</v>
      </c>
    </row>
    <row r="23" spans="1:6" s="561" customFormat="1" ht="18" customHeight="1">
      <c r="A23" s="568" t="s">
        <v>65</v>
      </c>
      <c r="B23" s="569">
        <v>1587000</v>
      </c>
      <c r="C23" s="570">
        <v>1299595</v>
      </c>
      <c r="D23" s="569">
        <v>1298609</v>
      </c>
      <c r="E23" s="571">
        <v>1030701</v>
      </c>
      <c r="F23" s="37">
        <f t="shared" si="0"/>
        <v>79.30940023622745</v>
      </c>
    </row>
    <row r="24" spans="1:6" ht="18" customHeight="1">
      <c r="A24" s="33" t="s">
        <v>66</v>
      </c>
      <c r="B24" s="34">
        <v>1019000</v>
      </c>
      <c r="C24" s="35">
        <v>565000</v>
      </c>
      <c r="D24" s="36">
        <v>232919</v>
      </c>
      <c r="E24" s="408">
        <v>232919</v>
      </c>
      <c r="F24" s="37">
        <f t="shared" si="0"/>
        <v>41.22460176991151</v>
      </c>
    </row>
    <row r="25" spans="1:6" ht="18" customHeight="1">
      <c r="A25" s="33" t="s">
        <v>67</v>
      </c>
      <c r="B25" s="34"/>
      <c r="C25" s="35"/>
      <c r="D25" s="36">
        <v>2087828</v>
      </c>
      <c r="E25" s="408">
        <v>0</v>
      </c>
      <c r="F25" s="39"/>
    </row>
    <row r="26" spans="1:6" ht="18" customHeight="1">
      <c r="A26" s="33" t="s">
        <v>68</v>
      </c>
      <c r="B26" s="34">
        <f>SUM(B11:B16)+B21+B24+B25</f>
        <v>11603000</v>
      </c>
      <c r="C26" s="35">
        <f>SUM(C11:C16)+C21+C24+C25</f>
        <v>10633347</v>
      </c>
      <c r="D26" s="36">
        <f>SUM(D11:D16)+D21+D24+D25</f>
        <v>10339907</v>
      </c>
      <c r="E26" s="408">
        <f>SUM(E11:E16)+E21+E24</f>
        <v>7876255</v>
      </c>
      <c r="F26" s="37">
        <f t="shared" si="0"/>
        <v>74.07126843504685</v>
      </c>
    </row>
    <row r="27" spans="1:6" ht="18" customHeight="1" thickBot="1">
      <c r="A27" s="40" t="s">
        <v>297</v>
      </c>
      <c r="B27" s="41">
        <v>0</v>
      </c>
      <c r="C27" s="42">
        <v>0</v>
      </c>
      <c r="D27" s="43">
        <v>0</v>
      </c>
      <c r="E27" s="409">
        <v>0</v>
      </c>
      <c r="F27" s="44"/>
    </row>
    <row r="28" spans="1:8" ht="26.25" customHeight="1" thickBot="1">
      <c r="A28" s="45" t="s">
        <v>298</v>
      </c>
      <c r="B28" s="46">
        <f>B26</f>
        <v>11603000</v>
      </c>
      <c r="C28" s="47">
        <f>C26</f>
        <v>10633347</v>
      </c>
      <c r="D28" s="46">
        <f>D26</f>
        <v>10339907</v>
      </c>
      <c r="E28" s="410">
        <f>E26</f>
        <v>7876255</v>
      </c>
      <c r="F28" s="48">
        <f t="shared" si="0"/>
        <v>74.07126843504685</v>
      </c>
      <c r="H28" s="485"/>
    </row>
    <row r="29" spans="1:8" s="54" customFormat="1" ht="24" customHeight="1" thickBot="1">
      <c r="A29" s="49" t="s">
        <v>69</v>
      </c>
      <c r="B29" s="50"/>
      <c r="C29" s="51"/>
      <c r="D29" s="52"/>
      <c r="E29" s="52"/>
      <c r="F29" s="53"/>
      <c r="H29" s="486"/>
    </row>
    <row r="30" spans="1:6" s="561" customFormat="1" ht="18" customHeight="1">
      <c r="A30" s="556" t="s">
        <v>70</v>
      </c>
      <c r="B30" s="558">
        <v>8290583</v>
      </c>
      <c r="C30" s="559">
        <v>8170756.135</v>
      </c>
      <c r="D30" s="560">
        <v>5475790</v>
      </c>
      <c r="E30" s="560">
        <v>5475790</v>
      </c>
      <c r="F30" s="32">
        <f t="shared" si="0"/>
        <v>67.01693098566575</v>
      </c>
    </row>
    <row r="31" spans="1:6" s="561" customFormat="1" ht="18" customHeight="1">
      <c r="A31" s="33" t="s">
        <v>71</v>
      </c>
      <c r="B31" s="34">
        <v>20544</v>
      </c>
      <c r="C31" s="562">
        <v>22590.773</v>
      </c>
      <c r="D31" s="563">
        <v>18465</v>
      </c>
      <c r="E31" s="563">
        <v>18465</v>
      </c>
      <c r="F31" s="37">
        <f t="shared" si="0"/>
        <v>81.73691090605885</v>
      </c>
    </row>
    <row r="32" spans="1:6" s="561" customFormat="1" ht="18" customHeight="1" thickBot="1">
      <c r="A32" s="557" t="s">
        <v>72</v>
      </c>
      <c r="B32" s="564">
        <f>299+867682+98355</f>
        <v>966336</v>
      </c>
      <c r="C32" s="565">
        <v>140000</v>
      </c>
      <c r="D32" s="566">
        <f>157672+32566</f>
        <v>190238</v>
      </c>
      <c r="E32" s="566">
        <f>157672+32566</f>
        <v>190238</v>
      </c>
      <c r="F32" s="567">
        <f t="shared" si="0"/>
        <v>135.88428571428574</v>
      </c>
    </row>
    <row r="33" spans="1:6" ht="29.25" customHeight="1" thickBot="1">
      <c r="A33" s="56" t="s">
        <v>73</v>
      </c>
      <c r="B33" s="57">
        <f>SUM(B30:B32)</f>
        <v>9277463</v>
      </c>
      <c r="C33" s="58">
        <f>SUM(C30:C32)</f>
        <v>8333346.908</v>
      </c>
      <c r="D33" s="411">
        <f>SUM(D30:D32)</f>
        <v>5684493</v>
      </c>
      <c r="E33" s="411">
        <f>SUM(E30:E32)</f>
        <v>5684493</v>
      </c>
      <c r="F33" s="59">
        <f t="shared" si="0"/>
        <v>68.2138048824404</v>
      </c>
    </row>
    <row r="34" spans="1:6" ht="30.75" customHeight="1" thickBot="1">
      <c r="A34" s="45" t="s">
        <v>74</v>
      </c>
      <c r="B34" s="46">
        <f>B33-B28</f>
        <v>-2325537</v>
      </c>
      <c r="C34" s="60">
        <f>C33-C28</f>
        <v>-2300000.092</v>
      </c>
      <c r="D34" s="46">
        <f>D33-D28</f>
        <v>-4655414</v>
      </c>
      <c r="E34" s="46">
        <f>E33-E28</f>
        <v>-2191762</v>
      </c>
      <c r="F34" s="48">
        <f t="shared" si="0"/>
        <v>95.29399618824014</v>
      </c>
    </row>
    <row r="35" spans="1:6" s="54" customFormat="1" ht="12.75" thickBot="1">
      <c r="A35" s="52"/>
      <c r="B35" s="50"/>
      <c r="C35" s="51"/>
      <c r="D35" s="52"/>
      <c r="E35" s="52"/>
      <c r="F35" s="53"/>
    </row>
    <row r="36" spans="1:6" ht="12.75" hidden="1" thickBot="1">
      <c r="A36" s="15" t="s">
        <v>75</v>
      </c>
      <c r="B36" s="61">
        <f>B30+B31</f>
        <v>8311127</v>
      </c>
      <c r="C36" s="62">
        <f>C30+C31</f>
        <v>8193346.908</v>
      </c>
      <c r="D36" s="61">
        <f>D30+D31</f>
        <v>5494255</v>
      </c>
      <c r="E36" s="63">
        <f>E30+E31</f>
        <v>5494255</v>
      </c>
      <c r="F36" s="64">
        <f t="shared" si="0"/>
        <v>67.0575170524685</v>
      </c>
    </row>
    <row r="37" spans="1:6" ht="12.75" hidden="1" thickBot="1">
      <c r="A37" s="65" t="s">
        <v>76</v>
      </c>
      <c r="B37" s="20">
        <f>B6+B7</f>
        <v>56882.637</v>
      </c>
      <c r="C37" s="21">
        <f>C6+C7</f>
        <v>51474.936</v>
      </c>
      <c r="D37" s="66">
        <f>24300028/1000</f>
        <v>24300.028</v>
      </c>
      <c r="E37" s="67">
        <f>24300028/1000</f>
        <v>24300.028</v>
      </c>
      <c r="F37" s="55">
        <f t="shared" si="0"/>
        <v>47.20749531383584</v>
      </c>
    </row>
    <row r="38" spans="1:6" ht="12.75" hidden="1" thickBot="1">
      <c r="A38" s="68" t="s">
        <v>77</v>
      </c>
      <c r="B38" s="69">
        <f>B36/B37</f>
        <v>146.1100862816891</v>
      </c>
      <c r="C38" s="70">
        <v>157.6</v>
      </c>
      <c r="D38" s="69">
        <f>D36/D37</f>
        <v>226.10076827895014</v>
      </c>
      <c r="E38" s="71">
        <f>E36/E37</f>
        <v>226.10076827895014</v>
      </c>
      <c r="F38" s="64">
        <f t="shared" si="0"/>
        <v>143.46495449171962</v>
      </c>
    </row>
    <row r="39" spans="1:6" ht="12.75" hidden="1" thickBot="1">
      <c r="A39" s="72" t="s">
        <v>78</v>
      </c>
      <c r="B39" s="73">
        <f>B28/B37</f>
        <v>203.9814012138713</v>
      </c>
      <c r="C39" s="74">
        <f>C28/C37</f>
        <v>206.57329229122305</v>
      </c>
      <c r="D39" s="73">
        <f>D28/D37</f>
        <v>425.5100858319999</v>
      </c>
      <c r="E39" s="75">
        <f>E28/E37</f>
        <v>324.12534668684333</v>
      </c>
      <c r="F39" s="76">
        <f t="shared" si="0"/>
        <v>156.90573698651113</v>
      </c>
    </row>
    <row r="40" spans="1:6" ht="15.75" thickBot="1">
      <c r="A40" s="52"/>
      <c r="B40" s="656" t="s">
        <v>79</v>
      </c>
      <c r="C40" s="657"/>
      <c r="D40" s="658"/>
      <c r="E40" s="414">
        <f>E34+179700+574623</f>
        <v>-1437439</v>
      </c>
      <c r="F40" s="415">
        <f>E40/C34*100</f>
        <v>62.49734532619314</v>
      </c>
    </row>
    <row r="41" spans="1:6" ht="12">
      <c r="A41" s="52"/>
      <c r="B41" s="52"/>
      <c r="C41" s="77"/>
      <c r="D41" s="52"/>
      <c r="E41" s="412"/>
      <c r="F41" s="413"/>
    </row>
    <row r="42" spans="1:2" ht="12">
      <c r="A42" s="78" t="s">
        <v>299</v>
      </c>
      <c r="B42" s="78"/>
    </row>
    <row r="43" spans="1:2" ht="12">
      <c r="A43" s="52" t="s">
        <v>300</v>
      </c>
      <c r="B43" s="78"/>
    </row>
    <row r="44" spans="1:2" ht="12">
      <c r="A44" s="78" t="s">
        <v>305</v>
      </c>
      <c r="B44" s="78"/>
    </row>
    <row r="45" spans="1:2" ht="12">
      <c r="A45" s="78" t="s">
        <v>306</v>
      </c>
      <c r="B45" s="78"/>
    </row>
    <row r="46" spans="1:2" ht="12">
      <c r="A46" s="78" t="s">
        <v>307</v>
      </c>
      <c r="B46" s="78"/>
    </row>
    <row r="47" spans="1:2" ht="12">
      <c r="A47" s="78" t="s">
        <v>301</v>
      </c>
      <c r="B47" s="78"/>
    </row>
    <row r="48" spans="1:2" ht="12">
      <c r="A48" s="78" t="s">
        <v>302</v>
      </c>
      <c r="B48" s="78"/>
    </row>
    <row r="49" spans="1:2" ht="12">
      <c r="A49" s="78" t="s">
        <v>303</v>
      </c>
      <c r="B49" s="78"/>
    </row>
    <row r="50" spans="1:6" ht="12">
      <c r="A50" s="416" t="s">
        <v>304</v>
      </c>
      <c r="B50" s="416"/>
      <c r="C50" s="417"/>
      <c r="D50" s="417"/>
      <c r="E50" s="417"/>
      <c r="F50" s="417"/>
    </row>
    <row r="51" spans="1:2" ht="12">
      <c r="A51" s="78" t="s">
        <v>308</v>
      </c>
      <c r="B51" s="78"/>
    </row>
    <row r="52" spans="1:2" ht="12">
      <c r="A52" s="78" t="s">
        <v>342</v>
      </c>
      <c r="B52" s="78"/>
    </row>
    <row r="53" ht="12">
      <c r="A53" s="8" t="s">
        <v>417</v>
      </c>
    </row>
    <row r="54" ht="12">
      <c r="A54" s="8" t="s">
        <v>416</v>
      </c>
    </row>
  </sheetData>
  <mergeCells count="3">
    <mergeCell ref="D3:E3"/>
    <mergeCell ref="B40:D40"/>
    <mergeCell ref="A1:F1"/>
  </mergeCells>
  <printOptions/>
  <pageMargins left="1.15" right="0.34" top="1.3" bottom="0.54" header="0.64" footer="0.28"/>
  <pageSetup fitToHeight="1" fitToWidth="1" orientation="portrait" paperSize="9" scale="90" r:id="rId1"/>
  <headerFooter alignWithMargins="0">
    <oddHeader>&amp;LPlnenie konsolidačnej funkcie k 30.09.2003&amp;R&amp;"Arial CE,Tučné"&amp;12Príloha č.3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showGridLines="0" workbookViewId="0" topLeftCell="B7">
      <selection activeCell="B1" sqref="B1:L1"/>
    </sheetView>
  </sheetViews>
  <sheetFormatPr defaultColWidth="9.00390625" defaultRowHeight="12.75"/>
  <cols>
    <col min="1" max="1" width="9.125" style="140" customWidth="1"/>
    <col min="2" max="2" width="33.125" style="0" customWidth="1"/>
    <col min="3" max="3" width="7.625" style="0" bestFit="1" customWidth="1"/>
    <col min="4" max="4" width="8.125" style="0" bestFit="1" customWidth="1"/>
    <col min="5" max="5" width="8.75390625" style="0" bestFit="1" customWidth="1"/>
    <col min="7" max="7" width="8.625" style="0" bestFit="1" customWidth="1"/>
    <col min="10" max="10" width="10.25390625" style="0" bestFit="1" customWidth="1"/>
    <col min="12" max="12" width="13.75390625" style="0" customWidth="1"/>
  </cols>
  <sheetData>
    <row r="1" spans="2:12" ht="15.75">
      <c r="B1" s="659" t="s">
        <v>343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</row>
    <row r="2" s="140" customFormat="1" ht="13.5" thickBot="1">
      <c r="L2" s="252" t="s">
        <v>264</v>
      </c>
    </row>
    <row r="3" spans="2:12" ht="16.5" thickBot="1">
      <c r="B3" s="148" t="s">
        <v>243</v>
      </c>
      <c r="C3" s="149" t="s">
        <v>235</v>
      </c>
      <c r="D3" s="150" t="s">
        <v>236</v>
      </c>
      <c r="E3" s="150" t="s">
        <v>237</v>
      </c>
      <c r="F3" s="150" t="s">
        <v>238</v>
      </c>
      <c r="G3" s="150" t="s">
        <v>239</v>
      </c>
      <c r="H3" s="152" t="s">
        <v>240</v>
      </c>
      <c r="I3" s="152" t="s">
        <v>265</v>
      </c>
      <c r="J3" s="152" t="s">
        <v>266</v>
      </c>
      <c r="K3" s="152" t="s">
        <v>267</v>
      </c>
      <c r="L3" s="257" t="s">
        <v>1</v>
      </c>
    </row>
    <row r="4" spans="2:12" ht="12.75">
      <c r="B4" s="145" t="s">
        <v>241</v>
      </c>
      <c r="C4" s="146"/>
      <c r="D4" s="147"/>
      <c r="E4" s="147">
        <v>167033</v>
      </c>
      <c r="F4" s="147"/>
      <c r="G4" s="158"/>
      <c r="H4" s="159"/>
      <c r="I4" s="159"/>
      <c r="J4" s="159"/>
      <c r="K4" s="159">
        <v>165665</v>
      </c>
      <c r="L4" s="255">
        <f>SUM(C4:K4)</f>
        <v>332698</v>
      </c>
    </row>
    <row r="5" spans="2:12" ht="12.75">
      <c r="B5" s="142" t="s">
        <v>242</v>
      </c>
      <c r="C5" s="141"/>
      <c r="D5" s="2"/>
      <c r="E5" s="2">
        <v>24420</v>
      </c>
      <c r="F5" s="2"/>
      <c r="G5" s="160"/>
      <c r="H5" s="161">
        <v>22808</v>
      </c>
      <c r="I5" s="161"/>
      <c r="J5" s="161"/>
      <c r="K5" s="161">
        <v>16910</v>
      </c>
      <c r="L5" s="153">
        <f aca="true" t="shared" si="0" ref="L5:L12">SUM(C5:K5)</f>
        <v>64138</v>
      </c>
    </row>
    <row r="6" spans="2:12" ht="12.75">
      <c r="B6" s="142" t="s">
        <v>244</v>
      </c>
      <c r="C6" s="141"/>
      <c r="D6" s="2"/>
      <c r="E6" s="2"/>
      <c r="F6" s="2"/>
      <c r="G6" s="160">
        <v>658081</v>
      </c>
      <c r="H6" s="161"/>
      <c r="I6" s="161"/>
      <c r="J6" s="161"/>
      <c r="K6" s="161"/>
      <c r="L6" s="153">
        <f t="shared" si="0"/>
        <v>658081</v>
      </c>
    </row>
    <row r="7" spans="2:12" ht="12.75">
      <c r="B7" s="142" t="s">
        <v>245</v>
      </c>
      <c r="C7" s="141"/>
      <c r="D7" s="2">
        <v>52780</v>
      </c>
      <c r="E7" s="2"/>
      <c r="F7" s="2"/>
      <c r="G7" s="160">
        <v>55586</v>
      </c>
      <c r="H7" s="161"/>
      <c r="I7" s="161"/>
      <c r="J7" s="161">
        <v>53100</v>
      </c>
      <c r="K7" s="161"/>
      <c r="L7" s="153">
        <f t="shared" si="0"/>
        <v>161466</v>
      </c>
    </row>
    <row r="8" spans="2:12" ht="12.75">
      <c r="B8" s="142" t="s">
        <v>246</v>
      </c>
      <c r="C8" s="141">
        <v>31854</v>
      </c>
      <c r="D8" s="2">
        <v>28669</v>
      </c>
      <c r="E8" s="2">
        <v>35796</v>
      </c>
      <c r="F8" s="2">
        <v>32786</v>
      </c>
      <c r="G8" s="160">
        <v>35047</v>
      </c>
      <c r="H8" s="161">
        <v>32694</v>
      </c>
      <c r="I8" s="161">
        <v>34763</v>
      </c>
      <c r="J8" s="161">
        <v>33642</v>
      </c>
      <c r="K8" s="161">
        <v>32520</v>
      </c>
      <c r="L8" s="153">
        <f t="shared" si="0"/>
        <v>297771</v>
      </c>
    </row>
    <row r="9" spans="2:12" ht="12.75">
      <c r="B9" s="142" t="s">
        <v>247</v>
      </c>
      <c r="C9" s="141"/>
      <c r="D9" s="2"/>
      <c r="E9" s="2">
        <v>41400</v>
      </c>
      <c r="F9" s="2"/>
      <c r="G9" s="160"/>
      <c r="H9" s="161">
        <v>35622</v>
      </c>
      <c r="I9" s="161"/>
      <c r="J9" s="161"/>
      <c r="K9" s="161">
        <v>32251</v>
      </c>
      <c r="L9" s="153">
        <f t="shared" si="0"/>
        <v>109273</v>
      </c>
    </row>
    <row r="10" spans="2:12" ht="12.75">
      <c r="B10" s="142" t="s">
        <v>248</v>
      </c>
      <c r="C10" s="141"/>
      <c r="D10" s="2"/>
      <c r="E10" s="2"/>
      <c r="F10" s="2"/>
      <c r="G10" s="160"/>
      <c r="H10" s="161">
        <v>341022</v>
      </c>
      <c r="I10" s="161"/>
      <c r="J10" s="161"/>
      <c r="K10" s="161"/>
      <c r="L10" s="153">
        <f t="shared" si="0"/>
        <v>341022</v>
      </c>
    </row>
    <row r="11" spans="2:12" ht="12.75">
      <c r="B11" s="142" t="s">
        <v>249</v>
      </c>
      <c r="C11" s="141"/>
      <c r="D11" s="2"/>
      <c r="E11" s="2">
        <v>46073</v>
      </c>
      <c r="F11" s="2"/>
      <c r="G11" s="160"/>
      <c r="H11" s="161">
        <v>25760</v>
      </c>
      <c r="I11" s="161"/>
      <c r="J11" s="161"/>
      <c r="K11" s="161">
        <v>24648</v>
      </c>
      <c r="L11" s="153">
        <f t="shared" si="0"/>
        <v>96481</v>
      </c>
    </row>
    <row r="12" spans="2:12" ht="13.5" thickBot="1">
      <c r="B12" s="143" t="s">
        <v>250</v>
      </c>
      <c r="C12" s="260"/>
      <c r="D12" s="261"/>
      <c r="E12" s="261">
        <v>19757</v>
      </c>
      <c r="F12" s="261"/>
      <c r="G12" s="262"/>
      <c r="H12" s="263">
        <v>33653</v>
      </c>
      <c r="I12" s="263"/>
      <c r="J12" s="263"/>
      <c r="K12" s="263">
        <v>35248</v>
      </c>
      <c r="L12" s="256">
        <f t="shared" si="0"/>
        <v>88658</v>
      </c>
    </row>
    <row r="13" spans="2:12" s="140" customFormat="1" ht="14.25">
      <c r="B13" s="258" t="s">
        <v>253</v>
      </c>
      <c r="C13" s="162">
        <f>SUM(C4:C12)</f>
        <v>31854</v>
      </c>
      <c r="D13" s="163">
        <f>SUM(D4:D12)</f>
        <v>81449</v>
      </c>
      <c r="E13" s="163">
        <f>SUM(E4:E12)</f>
        <v>334479</v>
      </c>
      <c r="F13" s="163">
        <f>SUM(F4:F12)</f>
        <v>32786</v>
      </c>
      <c r="G13" s="163">
        <v>0</v>
      </c>
      <c r="H13" s="163">
        <v>0</v>
      </c>
      <c r="I13" s="163">
        <v>0</v>
      </c>
      <c r="J13" s="163">
        <v>0</v>
      </c>
      <c r="K13" s="164">
        <v>0</v>
      </c>
      <c r="L13" s="253">
        <f>SUM(C13:F13)</f>
        <v>480568</v>
      </c>
    </row>
    <row r="14" spans="2:12" s="140" customFormat="1" ht="15.75" thickBot="1">
      <c r="B14" s="259" t="s">
        <v>251</v>
      </c>
      <c r="C14" s="165">
        <v>0</v>
      </c>
      <c r="D14" s="166">
        <v>0</v>
      </c>
      <c r="E14" s="166">
        <v>0</v>
      </c>
      <c r="F14" s="166">
        <v>0</v>
      </c>
      <c r="G14" s="166">
        <f>SUM(G4:G12)</f>
        <v>748714</v>
      </c>
      <c r="H14" s="166">
        <f>SUM(H4:H12)</f>
        <v>491559</v>
      </c>
      <c r="I14" s="166">
        <f>SUM(I4:I12)</f>
        <v>34763</v>
      </c>
      <c r="J14" s="166">
        <f>SUM(J4:J12)</f>
        <v>86742</v>
      </c>
      <c r="K14" s="167">
        <f>SUM(K4:K12)</f>
        <v>307242</v>
      </c>
      <c r="L14" s="254">
        <f>SUM(G14:K14)</f>
        <v>1669020</v>
      </c>
    </row>
    <row r="15" ht="15.75" thickBot="1">
      <c r="L15" s="151">
        <f>L13+L14</f>
        <v>2149588</v>
      </c>
    </row>
    <row r="16" ht="13.5" thickBot="1"/>
    <row r="17" spans="2:12" ht="16.5" thickBot="1">
      <c r="B17" s="148" t="s">
        <v>252</v>
      </c>
      <c r="C17" s="149" t="s">
        <v>235</v>
      </c>
      <c r="D17" s="150" t="s">
        <v>236</v>
      </c>
      <c r="E17" s="150" t="s">
        <v>237</v>
      </c>
      <c r="F17" s="150" t="s">
        <v>238</v>
      </c>
      <c r="G17" s="150" t="s">
        <v>239</v>
      </c>
      <c r="H17" s="150" t="s">
        <v>240</v>
      </c>
      <c r="I17" s="150" t="s">
        <v>265</v>
      </c>
      <c r="J17" s="150" t="s">
        <v>266</v>
      </c>
      <c r="K17" s="152" t="s">
        <v>267</v>
      </c>
      <c r="L17" s="257" t="s">
        <v>1</v>
      </c>
    </row>
    <row r="18" spans="2:12" ht="12.75">
      <c r="B18" s="142" t="s">
        <v>242</v>
      </c>
      <c r="C18" s="168"/>
      <c r="D18" s="169"/>
      <c r="E18" s="169"/>
      <c r="F18" s="169"/>
      <c r="G18" s="169"/>
      <c r="H18" s="169">
        <v>311400</v>
      </c>
      <c r="I18" s="169"/>
      <c r="J18" s="169"/>
      <c r="K18" s="170"/>
      <c r="L18" s="154">
        <f>SUM(C18:K18)</f>
        <v>311400</v>
      </c>
    </row>
    <row r="19" spans="2:12" s="140" customFormat="1" ht="15.75" thickBot="1">
      <c r="B19" s="144" t="s">
        <v>251</v>
      </c>
      <c r="C19" s="165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f>H18</f>
        <v>311400</v>
      </c>
      <c r="I19" s="166">
        <f>I18</f>
        <v>0</v>
      </c>
      <c r="J19" s="166">
        <f>J18</f>
        <v>0</v>
      </c>
      <c r="K19" s="167">
        <f>K18</f>
        <v>0</v>
      </c>
      <c r="L19" s="155">
        <f>SUM(G19:K19)</f>
        <v>311400</v>
      </c>
    </row>
    <row r="20" spans="2:12" s="140" customFormat="1" ht="15"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</row>
    <row r="21" ht="13.5" thickBot="1"/>
    <row r="22" spans="2:12" ht="16.5" thickBot="1">
      <c r="B22" s="148" t="s">
        <v>254</v>
      </c>
      <c r="C22" s="471" t="s">
        <v>235</v>
      </c>
      <c r="D22" s="472" t="s">
        <v>236</v>
      </c>
      <c r="E22" s="472" t="s">
        <v>237</v>
      </c>
      <c r="F22" s="472" t="s">
        <v>238</v>
      </c>
      <c r="G22" s="472" t="s">
        <v>239</v>
      </c>
      <c r="H22" s="473" t="s">
        <v>240</v>
      </c>
      <c r="I22" s="473" t="s">
        <v>265</v>
      </c>
      <c r="J22" s="473" t="s">
        <v>266</v>
      </c>
      <c r="K22" s="473" t="s">
        <v>267</v>
      </c>
      <c r="L22" s="257" t="s">
        <v>1</v>
      </c>
    </row>
    <row r="23" spans="2:12" s="140" customFormat="1" ht="14.25">
      <c r="B23" s="469" t="s">
        <v>253</v>
      </c>
      <c r="C23" s="162">
        <v>31854</v>
      </c>
      <c r="D23" s="163">
        <v>81449</v>
      </c>
      <c r="E23" s="163">
        <v>334479</v>
      </c>
      <c r="F23" s="163">
        <v>32786</v>
      </c>
      <c r="G23" s="163">
        <v>0</v>
      </c>
      <c r="H23" s="163">
        <v>0</v>
      </c>
      <c r="I23" s="163">
        <v>0</v>
      </c>
      <c r="J23" s="163">
        <v>0</v>
      </c>
      <c r="K23" s="164">
        <v>0</v>
      </c>
      <c r="L23" s="470">
        <f>SUM(C23:K23)</f>
        <v>480568</v>
      </c>
    </row>
    <row r="24" spans="2:12" s="140" customFormat="1" ht="15.75" thickBot="1">
      <c r="B24" s="259" t="s">
        <v>251</v>
      </c>
      <c r="C24" s="165">
        <v>0</v>
      </c>
      <c r="D24" s="166">
        <v>0</v>
      </c>
      <c r="E24" s="166">
        <v>0</v>
      </c>
      <c r="F24" s="166">
        <v>0</v>
      </c>
      <c r="G24" s="166">
        <f>G14+G19</f>
        <v>748714</v>
      </c>
      <c r="H24" s="166">
        <f>H14+H19</f>
        <v>802959</v>
      </c>
      <c r="I24" s="166">
        <f>I14+I19</f>
        <v>34763</v>
      </c>
      <c r="J24" s="166">
        <f>J14+J19</f>
        <v>86742</v>
      </c>
      <c r="K24" s="167">
        <f>K14+K19</f>
        <v>307242</v>
      </c>
      <c r="L24" s="254">
        <f>SUM(C24:K24)</f>
        <v>1980420</v>
      </c>
    </row>
    <row r="25" ht="15.75" thickBot="1">
      <c r="L25" s="151">
        <f>L23+L24</f>
        <v>2460988</v>
      </c>
    </row>
    <row r="28" ht="12.75">
      <c r="B28" s="140" t="s">
        <v>268</v>
      </c>
    </row>
  </sheetData>
  <mergeCells count="1">
    <mergeCell ref="B1:L1"/>
  </mergeCells>
  <printOptions/>
  <pageMargins left="0.75" right="0.49" top="1.78" bottom="1" header="1.1" footer="0.4921259845"/>
  <pageSetup fitToHeight="1" fitToWidth="1" orientation="landscape" paperSize="9" scale="97" r:id="rId1"/>
  <headerFooter alignWithMargins="0">
    <oddHeader>&amp;LPlnenie konsolidačnej funkcie k 30.09.2003&amp;R&amp;"Arial CE,Tučné"&amp;12
Príloha č.4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265" customWidth="1"/>
    <col min="2" max="2" width="24.375" style="265" customWidth="1"/>
    <col min="3" max="3" width="34.125" style="265" customWidth="1"/>
    <col min="4" max="4" width="18.125" style="265" customWidth="1"/>
    <col min="5" max="5" width="14.00390625" style="265" customWidth="1"/>
    <col min="6" max="6" width="16.75390625" style="265" customWidth="1"/>
    <col min="7" max="7" width="14.375" style="265" customWidth="1"/>
  </cols>
  <sheetData>
    <row r="1" spans="1:4" ht="15.75">
      <c r="A1" s="1" t="s">
        <v>345</v>
      </c>
      <c r="B1" s="351"/>
      <c r="C1" s="1"/>
      <c r="D1" s="418"/>
    </row>
    <row r="2" spans="1:7" s="140" customFormat="1" ht="12.75">
      <c r="A2" s="474" t="s">
        <v>344</v>
      </c>
      <c r="B2" s="265"/>
      <c r="C2" s="351"/>
      <c r="D2" s="418"/>
      <c r="E2" s="265"/>
      <c r="F2" s="265"/>
      <c r="G2" s="265"/>
    </row>
    <row r="3" spans="1:7" s="140" customFormat="1" ht="13.5" thickBot="1">
      <c r="A3" s="474"/>
      <c r="B3" s="265"/>
      <c r="C3" s="351"/>
      <c r="D3" s="418"/>
      <c r="E3" s="265"/>
      <c r="F3" s="265"/>
      <c r="G3" s="265" t="s">
        <v>309</v>
      </c>
    </row>
    <row r="4" spans="1:7" ht="15.75" thickBot="1">
      <c r="A4" s="419" t="s">
        <v>310</v>
      </c>
      <c r="B4" s="420" t="s">
        <v>311</v>
      </c>
      <c r="C4" s="421" t="s">
        <v>312</v>
      </c>
      <c r="D4" s="422" t="s">
        <v>313</v>
      </c>
      <c r="E4" s="421" t="s">
        <v>314</v>
      </c>
      <c r="F4" s="421" t="s">
        <v>315</v>
      </c>
      <c r="G4" s="423" t="s">
        <v>316</v>
      </c>
    </row>
    <row r="5" spans="1:7" ht="12.75">
      <c r="A5" s="424">
        <v>1</v>
      </c>
      <c r="B5" s="425"/>
      <c r="C5" s="426" t="s">
        <v>317</v>
      </c>
      <c r="D5" s="427" t="s">
        <v>318</v>
      </c>
      <c r="E5" s="428" t="s">
        <v>319</v>
      </c>
      <c r="F5" s="429" t="s">
        <v>320</v>
      </c>
      <c r="G5" s="430">
        <v>40804.02</v>
      </c>
    </row>
    <row r="6" spans="1:7" ht="12.75">
      <c r="A6" s="431"/>
      <c r="B6" s="432" t="s">
        <v>321</v>
      </c>
      <c r="C6" s="433"/>
      <c r="D6" s="434"/>
      <c r="E6" s="435"/>
      <c r="F6" s="436"/>
      <c r="G6" s="437">
        <f>SUM(G5)</f>
        <v>40804.02</v>
      </c>
    </row>
    <row r="7" spans="1:7" ht="12.75">
      <c r="A7" s="438">
        <v>2</v>
      </c>
      <c r="B7" s="439"/>
      <c r="C7" s="426" t="s">
        <v>322</v>
      </c>
      <c r="D7" s="427" t="s">
        <v>323</v>
      </c>
      <c r="E7" s="428" t="s">
        <v>319</v>
      </c>
      <c r="F7" s="440">
        <v>38049</v>
      </c>
      <c r="G7" s="441">
        <v>25632</v>
      </c>
    </row>
    <row r="8" spans="1:7" ht="12.75">
      <c r="A8" s="438">
        <v>3</v>
      </c>
      <c r="B8" s="439"/>
      <c r="C8" s="426" t="s">
        <v>324</v>
      </c>
      <c r="D8" s="427" t="s">
        <v>325</v>
      </c>
      <c r="E8" s="428" t="s">
        <v>319</v>
      </c>
      <c r="F8" s="440">
        <v>38066</v>
      </c>
      <c r="G8" s="441">
        <v>35088</v>
      </c>
    </row>
    <row r="9" spans="1:7" ht="12.75">
      <c r="A9" s="438">
        <v>4</v>
      </c>
      <c r="B9" s="442"/>
      <c r="C9" s="426" t="s">
        <v>326</v>
      </c>
      <c r="D9" s="427" t="s">
        <v>327</v>
      </c>
      <c r="E9" s="428" t="s">
        <v>319</v>
      </c>
      <c r="F9" s="440">
        <v>38077</v>
      </c>
      <c r="G9" s="441">
        <v>31901</v>
      </c>
    </row>
    <row r="10" spans="1:7" ht="12.75">
      <c r="A10" s="431"/>
      <c r="B10" s="432" t="s">
        <v>328</v>
      </c>
      <c r="C10" s="433"/>
      <c r="D10" s="434"/>
      <c r="E10" s="435"/>
      <c r="F10" s="436"/>
      <c r="G10" s="437">
        <f>SUM(G7:G9)</f>
        <v>92621</v>
      </c>
    </row>
    <row r="11" spans="1:7" ht="12.75">
      <c r="A11" s="443">
        <v>5</v>
      </c>
      <c r="B11" s="442"/>
      <c r="C11" s="444" t="s">
        <v>329</v>
      </c>
      <c r="D11" s="445" t="s">
        <v>330</v>
      </c>
      <c r="E11" s="446" t="s">
        <v>319</v>
      </c>
      <c r="F11" s="429">
        <v>38137</v>
      </c>
      <c r="G11" s="441">
        <v>658768</v>
      </c>
    </row>
    <row r="12" spans="1:7" ht="12.75">
      <c r="A12" s="443">
        <v>6</v>
      </c>
      <c r="B12" s="442"/>
      <c r="C12" s="426" t="s">
        <v>317</v>
      </c>
      <c r="D12" s="427" t="s">
        <v>318</v>
      </c>
      <c r="E12" s="428" t="s">
        <v>331</v>
      </c>
      <c r="F12" s="429">
        <v>38138</v>
      </c>
      <c r="G12" s="441">
        <v>117067.36</v>
      </c>
    </row>
    <row r="13" spans="1:7" ht="12.75">
      <c r="A13" s="431"/>
      <c r="B13" s="432" t="s">
        <v>332</v>
      </c>
      <c r="C13" s="433"/>
      <c r="D13" s="434"/>
      <c r="E13" s="435"/>
      <c r="F13" s="436"/>
      <c r="G13" s="437">
        <f>SUM(G11:G12)</f>
        <v>775835.36</v>
      </c>
    </row>
    <row r="14" spans="1:7" s="140" customFormat="1" ht="12.75">
      <c r="A14" s="443">
        <v>7</v>
      </c>
      <c r="B14" s="447"/>
      <c r="C14" s="426" t="s">
        <v>322</v>
      </c>
      <c r="D14" s="427" t="s">
        <v>323</v>
      </c>
      <c r="E14" s="428" t="s">
        <v>319</v>
      </c>
      <c r="F14" s="440">
        <v>38141</v>
      </c>
      <c r="G14" s="448">
        <v>25913</v>
      </c>
    </row>
    <row r="15" spans="1:7" s="140" customFormat="1" ht="12.75">
      <c r="A15" s="443">
        <v>8</v>
      </c>
      <c r="B15" s="447"/>
      <c r="C15" s="426" t="s">
        <v>333</v>
      </c>
      <c r="D15" s="427" t="s">
        <v>334</v>
      </c>
      <c r="E15" s="428" t="s">
        <v>319</v>
      </c>
      <c r="F15" s="440">
        <v>38150</v>
      </c>
      <c r="G15" s="448">
        <v>343043</v>
      </c>
    </row>
    <row r="16" spans="1:7" ht="12.75">
      <c r="A16" s="443">
        <v>9</v>
      </c>
      <c r="B16" s="447"/>
      <c r="C16" s="426" t="s">
        <v>324</v>
      </c>
      <c r="D16" s="427" t="s">
        <v>325</v>
      </c>
      <c r="E16" s="428" t="s">
        <v>319</v>
      </c>
      <c r="F16" s="440">
        <v>38158</v>
      </c>
      <c r="G16" s="448">
        <v>35474</v>
      </c>
    </row>
    <row r="17" spans="1:7" ht="12.75">
      <c r="A17" s="443">
        <v>10</v>
      </c>
      <c r="B17" s="442"/>
      <c r="C17" s="426" t="s">
        <v>326</v>
      </c>
      <c r="D17" s="427" t="s">
        <v>327</v>
      </c>
      <c r="E17" s="428" t="s">
        <v>319</v>
      </c>
      <c r="F17" s="440">
        <v>38168</v>
      </c>
      <c r="G17" s="441">
        <v>31901</v>
      </c>
    </row>
    <row r="18" spans="1:7" ht="12.75">
      <c r="A18" s="431"/>
      <c r="B18" s="432" t="s">
        <v>335</v>
      </c>
      <c r="C18" s="433"/>
      <c r="D18" s="434"/>
      <c r="E18" s="435"/>
      <c r="F18" s="436"/>
      <c r="G18" s="437">
        <f>G17+G14+G15+G16</f>
        <v>436331</v>
      </c>
    </row>
    <row r="19" spans="1:7" ht="12.75">
      <c r="A19" s="443">
        <v>11</v>
      </c>
      <c r="B19" s="449"/>
      <c r="C19" s="426" t="s">
        <v>317</v>
      </c>
      <c r="D19" s="427" t="s">
        <v>318</v>
      </c>
      <c r="E19" s="428" t="s">
        <v>331</v>
      </c>
      <c r="F19" s="440">
        <v>38230</v>
      </c>
      <c r="G19" s="448">
        <v>115660.04</v>
      </c>
    </row>
    <row r="20" spans="1:7" s="140" customFormat="1" ht="12.75">
      <c r="A20" s="431"/>
      <c r="B20" s="432" t="s">
        <v>336</v>
      </c>
      <c r="C20" s="433"/>
      <c r="D20" s="434"/>
      <c r="E20" s="435"/>
      <c r="F20" s="436"/>
      <c r="G20" s="437">
        <f>G19</f>
        <v>115660.04</v>
      </c>
    </row>
    <row r="21" spans="1:7" s="140" customFormat="1" ht="12.75">
      <c r="A21" s="443">
        <v>12</v>
      </c>
      <c r="B21" s="449"/>
      <c r="C21" s="426" t="s">
        <v>322</v>
      </c>
      <c r="D21" s="427" t="s">
        <v>323</v>
      </c>
      <c r="E21" s="428" t="s">
        <v>319</v>
      </c>
      <c r="F21" s="440">
        <v>38233</v>
      </c>
      <c r="G21" s="448">
        <v>25913</v>
      </c>
    </row>
    <row r="22" spans="1:7" ht="12.75">
      <c r="A22" s="443">
        <v>13</v>
      </c>
      <c r="B22" s="449"/>
      <c r="C22" s="426" t="s">
        <v>324</v>
      </c>
      <c r="D22" s="427" t="s">
        <v>325</v>
      </c>
      <c r="E22" s="428" t="s">
        <v>319</v>
      </c>
      <c r="F22" s="440">
        <v>38250</v>
      </c>
      <c r="G22" s="448">
        <v>35474</v>
      </c>
    </row>
    <row r="23" spans="1:7" ht="12.75">
      <c r="A23" s="443">
        <v>14</v>
      </c>
      <c r="B23" s="449"/>
      <c r="C23" s="426" t="s">
        <v>326</v>
      </c>
      <c r="D23" s="427" t="s">
        <v>327</v>
      </c>
      <c r="E23" s="428" t="s">
        <v>319</v>
      </c>
      <c r="F23" s="440">
        <v>38260</v>
      </c>
      <c r="G23" s="448">
        <v>32251</v>
      </c>
    </row>
    <row r="24" spans="1:7" s="140" customFormat="1" ht="12.75">
      <c r="A24" s="431"/>
      <c r="B24" s="432" t="s">
        <v>337</v>
      </c>
      <c r="C24" s="433"/>
      <c r="D24" s="434"/>
      <c r="E24" s="435"/>
      <c r="F24" s="436"/>
      <c r="G24" s="437">
        <f>G21+G22+G23</f>
        <v>93638</v>
      </c>
    </row>
    <row r="25" spans="1:7" s="140" customFormat="1" ht="12.75">
      <c r="A25" s="443">
        <v>15</v>
      </c>
      <c r="B25" s="450"/>
      <c r="C25" s="426" t="s">
        <v>317</v>
      </c>
      <c r="D25" s="427" t="s">
        <v>318</v>
      </c>
      <c r="E25" s="451" t="s">
        <v>331</v>
      </c>
      <c r="F25" s="452">
        <v>38321</v>
      </c>
      <c r="G25" s="448">
        <v>114253.47</v>
      </c>
    </row>
    <row r="26" spans="1:7" ht="12.75">
      <c r="A26" s="431"/>
      <c r="B26" s="432" t="s">
        <v>338</v>
      </c>
      <c r="C26" s="433"/>
      <c r="D26" s="434"/>
      <c r="E26" s="435"/>
      <c r="F26" s="436"/>
      <c r="G26" s="437">
        <f>G25</f>
        <v>114253.47</v>
      </c>
    </row>
    <row r="27" spans="1:7" ht="12.75">
      <c r="A27" s="443">
        <v>16</v>
      </c>
      <c r="B27" s="450"/>
      <c r="C27" s="426" t="s">
        <v>322</v>
      </c>
      <c r="D27" s="427" t="s">
        <v>323</v>
      </c>
      <c r="E27" s="428" t="s">
        <v>319</v>
      </c>
      <c r="F27" s="440">
        <v>38324</v>
      </c>
      <c r="G27" s="453">
        <v>25632</v>
      </c>
    </row>
    <row r="28" spans="1:7" ht="12.75">
      <c r="A28" s="443">
        <v>17</v>
      </c>
      <c r="B28" s="450"/>
      <c r="C28" s="426" t="s">
        <v>333</v>
      </c>
      <c r="D28" s="427" t="s">
        <v>334</v>
      </c>
      <c r="E28" s="428" t="s">
        <v>319</v>
      </c>
      <c r="F28" s="440">
        <v>38333</v>
      </c>
      <c r="G28" s="453">
        <v>144701</v>
      </c>
    </row>
    <row r="29" spans="1:7" ht="12.75">
      <c r="A29" s="443">
        <v>18</v>
      </c>
      <c r="B29" s="450"/>
      <c r="C29" s="426" t="s">
        <v>324</v>
      </c>
      <c r="D29" s="427" t="s">
        <v>325</v>
      </c>
      <c r="E29" s="428" t="s">
        <v>319</v>
      </c>
      <c r="F29" s="440">
        <v>38341</v>
      </c>
      <c r="G29" s="453">
        <v>35088</v>
      </c>
    </row>
    <row r="30" spans="1:7" ht="12.75">
      <c r="A30" s="443">
        <v>19</v>
      </c>
      <c r="B30" s="450"/>
      <c r="C30" s="426" t="s">
        <v>326</v>
      </c>
      <c r="D30" s="427" t="s">
        <v>327</v>
      </c>
      <c r="E30" s="428" t="s">
        <v>319</v>
      </c>
      <c r="F30" s="440">
        <v>38352</v>
      </c>
      <c r="G30" s="453">
        <v>32251</v>
      </c>
    </row>
    <row r="31" spans="1:7" ht="13.5" thickBot="1">
      <c r="A31" s="454"/>
      <c r="B31" s="455" t="s">
        <v>339</v>
      </c>
      <c r="C31" s="456"/>
      <c r="D31" s="457"/>
      <c r="E31" s="458"/>
      <c r="F31" s="459"/>
      <c r="G31" s="460">
        <f>G27+G28+G29+G30</f>
        <v>237672</v>
      </c>
    </row>
    <row r="32" spans="1:7" ht="16.5" thickBot="1">
      <c r="A32" s="461"/>
      <c r="B32" s="462" t="s">
        <v>340</v>
      </c>
      <c r="C32" s="463"/>
      <c r="D32" s="464"/>
      <c r="E32" s="465"/>
      <c r="F32" s="465"/>
      <c r="G32" s="466">
        <f>G6+G10+G13+G18+G20+G24+G26+G31</f>
        <v>1906814.89</v>
      </c>
    </row>
    <row r="33" spans="1:7" ht="13.5" thickBot="1">
      <c r="A33" s="467" t="s">
        <v>346</v>
      </c>
      <c r="B33" s="467"/>
      <c r="E33" s="475"/>
      <c r="F33" s="477" t="s">
        <v>348</v>
      </c>
      <c r="G33" s="478">
        <v>1678024.87</v>
      </c>
    </row>
    <row r="34" spans="1:7" ht="13.5" thickBot="1">
      <c r="A34" s="467"/>
      <c r="B34" s="467" t="s">
        <v>347</v>
      </c>
      <c r="E34" s="475"/>
      <c r="F34" s="476" t="s">
        <v>349</v>
      </c>
      <c r="G34" s="479">
        <v>228790.02</v>
      </c>
    </row>
    <row r="35" spans="1:2" ht="12.75">
      <c r="A35" s="467"/>
      <c r="B35" s="467" t="s">
        <v>350</v>
      </c>
    </row>
  </sheetData>
  <printOptions/>
  <pageMargins left="0.75" right="0.75" top="1.26" bottom="0.51" header="0.82" footer="0.29"/>
  <pageSetup orientation="landscape" paperSize="9" r:id="rId1"/>
  <headerFooter alignWithMargins="0">
    <oddHeader>&amp;LPlnenie konsolidačnej funkcie k 30.09.2003&amp;R
&amp;"Arial CE,Tučné"&amp;12Príloha č.5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showGridLines="0" workbookViewId="0" topLeftCell="A34">
      <selection activeCell="A50" sqref="A50"/>
    </sheetView>
  </sheetViews>
  <sheetFormatPr defaultColWidth="9.00390625" defaultRowHeight="12.75"/>
  <cols>
    <col min="1" max="1" width="37.875" style="80" customWidth="1"/>
    <col min="2" max="2" width="12.625" style="133" customWidth="1"/>
    <col min="3" max="3" width="13.75390625" style="80" customWidth="1"/>
    <col min="4" max="4" width="13.625" style="80" customWidth="1"/>
    <col min="5" max="5" width="13.125" style="80" hidden="1" customWidth="1"/>
    <col min="6" max="6" width="12.625" style="80" hidden="1" customWidth="1"/>
    <col min="7" max="7" width="14.00390625" style="0" customWidth="1"/>
    <col min="8" max="16384" width="9.125" style="80" customWidth="1"/>
  </cols>
  <sheetData>
    <row r="1" spans="1:4" ht="15.75">
      <c r="A1" s="662" t="s">
        <v>357</v>
      </c>
      <c r="B1" s="662"/>
      <c r="C1" s="662"/>
      <c r="D1" s="662"/>
    </row>
    <row r="2" spans="1:6" ht="18.75" thickBot="1">
      <c r="A2" s="79"/>
      <c r="B2" s="480"/>
      <c r="D2" s="175" t="s">
        <v>23</v>
      </c>
      <c r="F2" s="175"/>
    </row>
    <row r="3" spans="1:7" ht="12.75">
      <c r="A3" s="81"/>
      <c r="B3" s="481" t="s">
        <v>81</v>
      </c>
      <c r="C3" s="174" t="s">
        <v>80</v>
      </c>
      <c r="D3" s="174" t="s">
        <v>81</v>
      </c>
      <c r="E3" s="660" t="s">
        <v>82</v>
      </c>
      <c r="F3" s="661"/>
      <c r="G3" s="174" t="s">
        <v>81</v>
      </c>
    </row>
    <row r="4" spans="1:7" ht="18.75" customHeight="1" thickBot="1">
      <c r="A4" s="182"/>
      <c r="B4" s="484" t="s">
        <v>355</v>
      </c>
      <c r="C4" s="219" t="s">
        <v>83</v>
      </c>
      <c r="D4" s="219" t="s">
        <v>261</v>
      </c>
      <c r="E4" s="218" t="s">
        <v>85</v>
      </c>
      <c r="F4" s="220" t="s">
        <v>84</v>
      </c>
      <c r="G4" s="219" t="s">
        <v>410</v>
      </c>
    </row>
    <row r="5" spans="1:7" ht="13.5" thickBot="1">
      <c r="A5" s="221"/>
      <c r="B5" s="482">
        <v>1</v>
      </c>
      <c r="C5" s="222">
        <v>2</v>
      </c>
      <c r="D5" s="222">
        <v>3</v>
      </c>
      <c r="E5" s="82" t="s">
        <v>263</v>
      </c>
      <c r="F5" s="217" t="s">
        <v>356</v>
      </c>
      <c r="G5" s="222">
        <v>3</v>
      </c>
    </row>
    <row r="6" spans="1:7" ht="15.75" customHeight="1">
      <c r="A6" s="189" t="s">
        <v>88</v>
      </c>
      <c r="B6" s="483">
        <v>124546</v>
      </c>
      <c r="C6" s="91">
        <v>83310</v>
      </c>
      <c r="D6" s="91">
        <v>65982</v>
      </c>
      <c r="E6" s="83">
        <f>D6-C6</f>
        <v>-17328</v>
      </c>
      <c r="F6" s="201">
        <f>D6/C6</f>
        <v>0.7920057616132518</v>
      </c>
      <c r="G6" s="91">
        <v>65982</v>
      </c>
    </row>
    <row r="7" spans="1:7" ht="15.75" customHeight="1">
      <c r="A7" s="183" t="s">
        <v>89</v>
      </c>
      <c r="B7" s="84">
        <v>104792</v>
      </c>
      <c r="C7" s="84">
        <v>70000</v>
      </c>
      <c r="D7" s="84">
        <v>55983</v>
      </c>
      <c r="E7" s="207">
        <f aca="true" t="shared" si="0" ref="E7:E44">D7-C7</f>
        <v>-14017</v>
      </c>
      <c r="F7" s="195">
        <f aca="true" t="shared" si="1" ref="F7:F44">D7/C7</f>
        <v>0.7997571428571428</v>
      </c>
      <c r="G7" s="84">
        <v>55983</v>
      </c>
    </row>
    <row r="8" spans="1:7" ht="15.75" customHeight="1">
      <c r="A8" s="184" t="s">
        <v>90</v>
      </c>
      <c r="B8" s="85">
        <f>B6-B7</f>
        <v>19754</v>
      </c>
      <c r="C8" s="85">
        <v>13310</v>
      </c>
      <c r="D8" s="85">
        <v>9999</v>
      </c>
      <c r="E8" s="208">
        <f t="shared" si="0"/>
        <v>-3311</v>
      </c>
      <c r="F8" s="196">
        <f t="shared" si="1"/>
        <v>0.7512396694214876</v>
      </c>
      <c r="G8" s="85">
        <v>9999</v>
      </c>
    </row>
    <row r="9" spans="1:7" ht="15.75" customHeight="1">
      <c r="A9" s="185" t="s">
        <v>91</v>
      </c>
      <c r="B9" s="86">
        <f>SUM(B10:B12)</f>
        <v>9927144</v>
      </c>
      <c r="C9" s="86">
        <v>9784955</v>
      </c>
      <c r="D9" s="86">
        <v>7749918</v>
      </c>
      <c r="E9" s="209">
        <f t="shared" si="0"/>
        <v>-2035037</v>
      </c>
      <c r="F9" s="197">
        <f t="shared" si="1"/>
        <v>0.7920238774731208</v>
      </c>
      <c r="G9" s="86">
        <v>7749918</v>
      </c>
    </row>
    <row r="10" spans="1:7" ht="15.75" customHeight="1">
      <c r="A10" s="183" t="s">
        <v>92</v>
      </c>
      <c r="B10" s="84">
        <v>9569706</v>
      </c>
      <c r="C10" s="84">
        <v>9629955</v>
      </c>
      <c r="D10" s="84">
        <v>7685312</v>
      </c>
      <c r="E10" s="207">
        <f t="shared" si="0"/>
        <v>-1944643</v>
      </c>
      <c r="F10" s="195">
        <f t="shared" si="1"/>
        <v>0.798063126982421</v>
      </c>
      <c r="G10" s="84">
        <v>7685312</v>
      </c>
    </row>
    <row r="11" spans="1:7" ht="15.75" customHeight="1">
      <c r="A11" s="183" t="s">
        <v>93</v>
      </c>
      <c r="B11" s="84">
        <v>229</v>
      </c>
      <c r="C11" s="84">
        <v>0</v>
      </c>
      <c r="D11" s="84">
        <v>2112</v>
      </c>
      <c r="E11" s="207">
        <f t="shared" si="0"/>
        <v>2112</v>
      </c>
      <c r="F11" s="195"/>
      <c r="G11" s="84">
        <v>2112</v>
      </c>
    </row>
    <row r="12" spans="1:7" ht="15.75" customHeight="1">
      <c r="A12" s="183" t="s">
        <v>94</v>
      </c>
      <c r="B12" s="84">
        <v>357209</v>
      </c>
      <c r="C12" s="84">
        <v>155000</v>
      </c>
      <c r="D12" s="84">
        <v>62494</v>
      </c>
      <c r="E12" s="207">
        <f t="shared" si="0"/>
        <v>-92506</v>
      </c>
      <c r="F12" s="195">
        <f t="shared" si="1"/>
        <v>0.40318709677419357</v>
      </c>
      <c r="G12" s="84">
        <v>62494</v>
      </c>
    </row>
    <row r="13" spans="1:7" ht="15.75" customHeight="1">
      <c r="A13" s="185" t="s">
        <v>95</v>
      </c>
      <c r="B13" s="86">
        <f>SUM(B14:B15)</f>
        <v>3445880</v>
      </c>
      <c r="C13" s="86">
        <v>3090224</v>
      </c>
      <c r="D13" s="86">
        <v>3238024</v>
      </c>
      <c r="E13" s="209">
        <f t="shared" si="0"/>
        <v>147800</v>
      </c>
      <c r="F13" s="197">
        <f t="shared" si="1"/>
        <v>1.0478282480493324</v>
      </c>
      <c r="G13" s="86">
        <v>3238024</v>
      </c>
    </row>
    <row r="14" spans="1:7" ht="15.75" customHeight="1">
      <c r="A14" s="183" t="s">
        <v>96</v>
      </c>
      <c r="B14" s="84">
        <v>1529072</v>
      </c>
      <c r="C14" s="84">
        <v>1283830</v>
      </c>
      <c r="D14" s="84">
        <v>2108119</v>
      </c>
      <c r="E14" s="207">
        <f t="shared" si="0"/>
        <v>824289</v>
      </c>
      <c r="F14" s="195">
        <f t="shared" si="1"/>
        <v>1.6420546334016186</v>
      </c>
      <c r="G14" s="84">
        <v>2108119</v>
      </c>
    </row>
    <row r="15" spans="1:7" ht="15.75" customHeight="1">
      <c r="A15" s="183" t="s">
        <v>97</v>
      </c>
      <c r="B15" s="84">
        <v>1916808</v>
      </c>
      <c r="C15" s="84">
        <v>1806394</v>
      </c>
      <c r="D15" s="84">
        <v>1129905</v>
      </c>
      <c r="E15" s="207">
        <f t="shared" si="0"/>
        <v>-676489</v>
      </c>
      <c r="F15" s="195">
        <f t="shared" si="1"/>
        <v>0.625503074080184</v>
      </c>
      <c r="G15" s="84">
        <v>1129905</v>
      </c>
    </row>
    <row r="16" spans="1:7" ht="15.75" customHeight="1">
      <c r="A16" s="185" t="s">
        <v>98</v>
      </c>
      <c r="B16" s="86">
        <f>B8+B9-B13</f>
        <v>6501018</v>
      </c>
      <c r="C16" s="86">
        <v>6708041</v>
      </c>
      <c r="D16" s="86">
        <v>4521893</v>
      </c>
      <c r="E16" s="209">
        <f t="shared" si="0"/>
        <v>-2186148</v>
      </c>
      <c r="F16" s="197">
        <f t="shared" si="1"/>
        <v>0.6741003819147796</v>
      </c>
      <c r="G16" s="86">
        <v>4521893</v>
      </c>
    </row>
    <row r="17" spans="1:7" ht="15.75" customHeight="1">
      <c r="A17" s="183" t="s">
        <v>99</v>
      </c>
      <c r="B17" s="84">
        <v>5932453</v>
      </c>
      <c r="C17" s="84">
        <v>6048455</v>
      </c>
      <c r="D17" s="84">
        <v>4392625</v>
      </c>
      <c r="E17" s="207">
        <f t="shared" si="0"/>
        <v>-1655830</v>
      </c>
      <c r="F17" s="195">
        <f t="shared" si="1"/>
        <v>0.7262391800881383</v>
      </c>
      <c r="G17" s="84">
        <v>4392625</v>
      </c>
    </row>
    <row r="18" spans="1:7" ht="15.75" customHeight="1">
      <c r="A18" s="183" t="s">
        <v>100</v>
      </c>
      <c r="B18" s="84">
        <v>49781</v>
      </c>
      <c r="C18" s="84">
        <v>49200</v>
      </c>
      <c r="D18" s="84">
        <v>31153</v>
      </c>
      <c r="E18" s="207">
        <f t="shared" si="0"/>
        <v>-18047</v>
      </c>
      <c r="F18" s="195">
        <f t="shared" si="1"/>
        <v>0.6331910569105691</v>
      </c>
      <c r="G18" s="84">
        <v>31153</v>
      </c>
    </row>
    <row r="19" spans="1:7" ht="15.75" customHeight="1">
      <c r="A19" s="183" t="s">
        <v>101</v>
      </c>
      <c r="B19" s="84">
        <v>2591329</v>
      </c>
      <c r="C19" s="84">
        <v>2700000</v>
      </c>
      <c r="D19" s="84">
        <v>2002214</v>
      </c>
      <c r="E19" s="207">
        <f t="shared" si="0"/>
        <v>-697786</v>
      </c>
      <c r="F19" s="195">
        <f t="shared" si="1"/>
        <v>0.7415607407407407</v>
      </c>
      <c r="G19" s="84">
        <v>2002214</v>
      </c>
    </row>
    <row r="20" spans="1:7" ht="15.75" customHeight="1">
      <c r="A20" s="183" t="s">
        <v>102</v>
      </c>
      <c r="B20" s="84">
        <v>651504</v>
      </c>
      <c r="C20" s="84">
        <v>250000</v>
      </c>
      <c r="D20" s="84">
        <v>208888</v>
      </c>
      <c r="E20" s="207">
        <f t="shared" si="0"/>
        <v>-41112</v>
      </c>
      <c r="F20" s="195">
        <f t="shared" si="1"/>
        <v>0.835552</v>
      </c>
      <c r="G20" s="84">
        <v>208888</v>
      </c>
    </row>
    <row r="21" spans="1:7" ht="15.75" customHeight="1">
      <c r="A21" s="183" t="s">
        <v>103</v>
      </c>
      <c r="B21" s="84">
        <v>760488</v>
      </c>
      <c r="C21" s="84">
        <v>235000</v>
      </c>
      <c r="D21" s="84">
        <v>141521</v>
      </c>
      <c r="E21" s="207">
        <f t="shared" si="0"/>
        <v>-93479</v>
      </c>
      <c r="F21" s="195">
        <f t="shared" si="1"/>
        <v>0.6022170212765957</v>
      </c>
      <c r="G21" s="84">
        <v>141521</v>
      </c>
    </row>
    <row r="22" spans="1:7" ht="15.75" customHeight="1">
      <c r="A22" s="183" t="s">
        <v>104</v>
      </c>
      <c r="B22" s="84">
        <v>0</v>
      </c>
      <c r="C22" s="84">
        <v>0</v>
      </c>
      <c r="D22" s="84">
        <v>1141520</v>
      </c>
      <c r="E22" s="207">
        <f t="shared" si="0"/>
        <v>1141520</v>
      </c>
      <c r="F22" s="195"/>
      <c r="G22" s="84">
        <v>1141520</v>
      </c>
    </row>
    <row r="23" spans="1:7" ht="15.75" customHeight="1">
      <c r="A23" s="183" t="s">
        <v>105</v>
      </c>
      <c r="B23" s="84">
        <v>1600</v>
      </c>
      <c r="C23" s="84">
        <v>0</v>
      </c>
      <c r="D23" s="84">
        <v>1007370</v>
      </c>
      <c r="E23" s="207">
        <f t="shared" si="0"/>
        <v>1007370</v>
      </c>
      <c r="F23" s="195"/>
      <c r="G23" s="84">
        <v>1007370</v>
      </c>
    </row>
    <row r="24" spans="1:7" ht="15.75" customHeight="1">
      <c r="A24" s="183" t="s">
        <v>106</v>
      </c>
      <c r="B24" s="84">
        <v>660350</v>
      </c>
      <c r="C24" s="84">
        <v>0</v>
      </c>
      <c r="D24" s="84">
        <v>80962</v>
      </c>
      <c r="E24" s="207">
        <f t="shared" si="0"/>
        <v>80962</v>
      </c>
      <c r="F24" s="195"/>
      <c r="G24" s="84">
        <v>80962</v>
      </c>
    </row>
    <row r="25" spans="1:7" ht="15.75" customHeight="1">
      <c r="A25" s="183" t="s">
        <v>107</v>
      </c>
      <c r="B25" s="84">
        <v>3176253</v>
      </c>
      <c r="C25" s="84">
        <v>100000</v>
      </c>
      <c r="D25" s="84">
        <v>2170</v>
      </c>
      <c r="E25" s="207">
        <f t="shared" si="0"/>
        <v>-97830</v>
      </c>
      <c r="F25" s="195">
        <f t="shared" si="1"/>
        <v>0.0217</v>
      </c>
      <c r="G25" s="84">
        <v>2170</v>
      </c>
    </row>
    <row r="26" spans="1:7" ht="15.75" customHeight="1">
      <c r="A26" s="183" t="s">
        <v>108</v>
      </c>
      <c r="B26" s="84">
        <v>536813</v>
      </c>
      <c r="C26" s="84">
        <v>359000</v>
      </c>
      <c r="D26" s="84">
        <v>129703</v>
      </c>
      <c r="E26" s="207">
        <f t="shared" si="0"/>
        <v>-229297</v>
      </c>
      <c r="F26" s="195">
        <f t="shared" si="1"/>
        <v>0.36128969359331475</v>
      </c>
      <c r="G26" s="84">
        <v>129703</v>
      </c>
    </row>
    <row r="27" spans="1:7" ht="15.75" customHeight="1">
      <c r="A27" s="183" t="s">
        <v>109</v>
      </c>
      <c r="B27" s="84">
        <v>4819453</v>
      </c>
      <c r="C27" s="84">
        <v>2362232</v>
      </c>
      <c r="D27" s="84">
        <v>1916028</v>
      </c>
      <c r="E27" s="207">
        <f t="shared" si="0"/>
        <v>-446204</v>
      </c>
      <c r="F27" s="195">
        <f t="shared" si="1"/>
        <v>0.8111091543929639</v>
      </c>
      <c r="G27" s="84">
        <v>1916028</v>
      </c>
    </row>
    <row r="28" spans="1:7" ht="15.75" customHeight="1">
      <c r="A28" s="186" t="s">
        <v>110</v>
      </c>
      <c r="B28" s="87">
        <f>B6+B9+B20+B23+B24+B27</f>
        <v>16184597</v>
      </c>
      <c r="C28" s="87">
        <v>12480497</v>
      </c>
      <c r="D28" s="87">
        <v>11029148</v>
      </c>
      <c r="E28" s="210">
        <f t="shared" si="0"/>
        <v>-1451349</v>
      </c>
      <c r="F28" s="198">
        <f t="shared" si="1"/>
        <v>0.8837106406900302</v>
      </c>
      <c r="G28" s="87">
        <v>11029148</v>
      </c>
    </row>
    <row r="29" spans="1:7" ht="15.75" customHeight="1" thickBot="1">
      <c r="A29" s="187" t="s">
        <v>111</v>
      </c>
      <c r="B29" s="88">
        <f>B7+B13+B17+B18+B19+B21+B22+B25+B26</f>
        <v>16597789</v>
      </c>
      <c r="C29" s="88">
        <v>12651879</v>
      </c>
      <c r="D29" s="88">
        <v>11134913</v>
      </c>
      <c r="E29" s="211">
        <f t="shared" si="0"/>
        <v>-1516966</v>
      </c>
      <c r="F29" s="199">
        <f t="shared" si="1"/>
        <v>0.8800995488496215</v>
      </c>
      <c r="G29" s="88">
        <v>11134913</v>
      </c>
    </row>
    <row r="30" spans="1:7" ht="15.75" customHeight="1" thickBot="1">
      <c r="A30" s="188" t="s">
        <v>112</v>
      </c>
      <c r="B30" s="90">
        <f>B28-B29</f>
        <v>-413192</v>
      </c>
      <c r="C30" s="90">
        <v>-171382</v>
      </c>
      <c r="D30" s="90">
        <v>-105765</v>
      </c>
      <c r="E30" s="212">
        <f t="shared" si="0"/>
        <v>65617</v>
      </c>
      <c r="F30" s="200">
        <f t="shared" si="1"/>
        <v>0.617130153691753</v>
      </c>
      <c r="G30" s="90">
        <v>-105765</v>
      </c>
    </row>
    <row r="31" spans="1:7" ht="15.75" customHeight="1">
      <c r="A31" s="189" t="s">
        <v>113</v>
      </c>
      <c r="B31" s="91">
        <v>1709675</v>
      </c>
      <c r="C31" s="91">
        <v>2307727</v>
      </c>
      <c r="D31" s="91">
        <v>327757</v>
      </c>
      <c r="E31" s="83">
        <f t="shared" si="0"/>
        <v>-1979970</v>
      </c>
      <c r="F31" s="201">
        <f t="shared" si="1"/>
        <v>0.14202589821066355</v>
      </c>
      <c r="G31" s="599">
        <f>327757+1669020</f>
        <v>1996777</v>
      </c>
    </row>
    <row r="32" spans="1:7" ht="15.75" customHeight="1">
      <c r="A32" s="183" t="s">
        <v>114</v>
      </c>
      <c r="B32" s="84">
        <f>B33+B34</f>
        <v>3604971</v>
      </c>
      <c r="C32" s="84">
        <v>3115000</v>
      </c>
      <c r="D32" s="84">
        <v>2320747</v>
      </c>
      <c r="E32" s="207">
        <f t="shared" si="0"/>
        <v>-794253</v>
      </c>
      <c r="F32" s="195">
        <f t="shared" si="1"/>
        <v>0.745023113964687</v>
      </c>
      <c r="G32" s="84">
        <v>2320747</v>
      </c>
    </row>
    <row r="33" spans="1:7" ht="15.75" customHeight="1">
      <c r="A33" s="183" t="s">
        <v>115</v>
      </c>
      <c r="B33" s="84">
        <v>2476158</v>
      </c>
      <c r="C33" s="84">
        <v>3000000</v>
      </c>
      <c r="D33" s="84">
        <v>1641682</v>
      </c>
      <c r="E33" s="207">
        <f t="shared" si="0"/>
        <v>-1358318</v>
      </c>
      <c r="F33" s="195">
        <f t="shared" si="1"/>
        <v>0.5472273333333333</v>
      </c>
      <c r="G33" s="84">
        <v>1641682</v>
      </c>
    </row>
    <row r="34" spans="1:7" ht="15.75" customHeight="1" thickBot="1">
      <c r="A34" s="190" t="s">
        <v>116</v>
      </c>
      <c r="B34" s="179">
        <v>1128813</v>
      </c>
      <c r="C34" s="179">
        <v>115000</v>
      </c>
      <c r="D34" s="179">
        <v>679065</v>
      </c>
      <c r="E34" s="213">
        <f t="shared" si="0"/>
        <v>564065</v>
      </c>
      <c r="F34" s="202">
        <f t="shared" si="1"/>
        <v>5.904913043478261</v>
      </c>
      <c r="G34" s="179">
        <v>679065</v>
      </c>
    </row>
    <row r="35" spans="1:7" ht="15.75" customHeight="1" thickBot="1">
      <c r="A35" s="188" t="s">
        <v>117</v>
      </c>
      <c r="B35" s="90">
        <f>B31-B32</f>
        <v>-1895296</v>
      </c>
      <c r="C35" s="90">
        <v>-807273</v>
      </c>
      <c r="D35" s="90">
        <v>-1992990</v>
      </c>
      <c r="E35" s="212">
        <f t="shared" si="0"/>
        <v>-1185717</v>
      </c>
      <c r="F35" s="200">
        <f t="shared" si="1"/>
        <v>2.468793084867201</v>
      </c>
      <c r="G35" s="90">
        <v>-323970</v>
      </c>
    </row>
    <row r="36" spans="1:7" ht="15.75" customHeight="1" thickBot="1">
      <c r="A36" s="191" t="s">
        <v>118</v>
      </c>
      <c r="B36" s="180">
        <v>34763</v>
      </c>
      <c r="C36" s="180">
        <v>0</v>
      </c>
      <c r="D36" s="180">
        <v>0</v>
      </c>
      <c r="E36" s="89">
        <f t="shared" si="0"/>
        <v>0</v>
      </c>
      <c r="F36" s="203"/>
      <c r="G36" s="180">
        <v>0</v>
      </c>
    </row>
    <row r="37" spans="1:7" ht="15.75" customHeight="1" thickBot="1">
      <c r="A37" s="188" t="s">
        <v>119</v>
      </c>
      <c r="B37" s="90">
        <f>B30+B35-B36</f>
        <v>-2343251</v>
      </c>
      <c r="C37" s="90">
        <v>-978655</v>
      </c>
      <c r="D37" s="90">
        <v>-2098755</v>
      </c>
      <c r="E37" s="212">
        <f t="shared" si="0"/>
        <v>-1120100</v>
      </c>
      <c r="F37" s="200">
        <f t="shared" si="1"/>
        <v>2.1445299926940544</v>
      </c>
      <c r="G37" s="90">
        <v>-429735</v>
      </c>
    </row>
    <row r="38" spans="1:7" ht="15.75" customHeight="1">
      <c r="A38" s="189" t="s">
        <v>120</v>
      </c>
      <c r="B38" s="91">
        <v>201873</v>
      </c>
      <c r="C38" s="91">
        <v>1150954</v>
      </c>
      <c r="D38" s="91">
        <v>673078</v>
      </c>
      <c r="E38" s="83">
        <f t="shared" si="0"/>
        <v>-477876</v>
      </c>
      <c r="F38" s="201">
        <f t="shared" si="1"/>
        <v>0.584800087579521</v>
      </c>
      <c r="G38" s="599">
        <f>673078+311400</f>
        <v>984478</v>
      </c>
    </row>
    <row r="39" spans="1:7" ht="15.75" customHeight="1">
      <c r="A39" s="183" t="s">
        <v>121</v>
      </c>
      <c r="B39" s="84">
        <v>925583</v>
      </c>
      <c r="C39" s="84">
        <v>241685</v>
      </c>
      <c r="D39" s="84">
        <v>313298</v>
      </c>
      <c r="E39" s="207">
        <f t="shared" si="0"/>
        <v>71613</v>
      </c>
      <c r="F39" s="195">
        <f t="shared" si="1"/>
        <v>1.2963071766969403</v>
      </c>
      <c r="G39" s="84">
        <v>313298</v>
      </c>
    </row>
    <row r="40" spans="1:7" ht="15.75" customHeight="1" thickBot="1">
      <c r="A40" s="190" t="s">
        <v>122</v>
      </c>
      <c r="B40" s="179">
        <v>0</v>
      </c>
      <c r="C40" s="179">
        <v>0</v>
      </c>
      <c r="D40" s="179">
        <v>0</v>
      </c>
      <c r="E40" s="213">
        <f t="shared" si="0"/>
        <v>0</v>
      </c>
      <c r="F40" s="202"/>
      <c r="G40" s="179">
        <v>0</v>
      </c>
    </row>
    <row r="41" spans="1:7" ht="15.75" customHeight="1" thickBot="1">
      <c r="A41" s="188" t="s">
        <v>123</v>
      </c>
      <c r="B41" s="90">
        <f>B38-B39-B40</f>
        <v>-723710</v>
      </c>
      <c r="C41" s="90">
        <v>909269</v>
      </c>
      <c r="D41" s="90">
        <v>359780</v>
      </c>
      <c r="E41" s="212">
        <f t="shared" si="0"/>
        <v>-549489</v>
      </c>
      <c r="F41" s="200">
        <f t="shared" si="1"/>
        <v>0.39568048619275487</v>
      </c>
      <c r="G41" s="90">
        <v>671180</v>
      </c>
    </row>
    <row r="42" spans="1:7" ht="15.75" customHeight="1">
      <c r="A42" s="192" t="s">
        <v>124</v>
      </c>
      <c r="B42" s="181">
        <f>B28+B31+B38</f>
        <v>18096145</v>
      </c>
      <c r="C42" s="181">
        <v>15939178</v>
      </c>
      <c r="D42" s="181">
        <v>12029983</v>
      </c>
      <c r="E42" s="214">
        <f t="shared" si="0"/>
        <v>-3909195</v>
      </c>
      <c r="F42" s="204">
        <f t="shared" si="1"/>
        <v>0.754742998666556</v>
      </c>
      <c r="G42" s="181">
        <v>14010403</v>
      </c>
    </row>
    <row r="43" spans="1:7" ht="15.75" customHeight="1" thickBot="1">
      <c r="A43" s="193" t="s">
        <v>125</v>
      </c>
      <c r="B43" s="92">
        <f>B29+B32+B39+B36+B40</f>
        <v>21163106</v>
      </c>
      <c r="C43" s="92">
        <v>16008564</v>
      </c>
      <c r="D43" s="92">
        <v>13768958</v>
      </c>
      <c r="E43" s="215">
        <f t="shared" si="0"/>
        <v>-2239606</v>
      </c>
      <c r="F43" s="205">
        <f t="shared" si="1"/>
        <v>0.8600995067390179</v>
      </c>
      <c r="G43" s="92">
        <v>13768958</v>
      </c>
    </row>
    <row r="44" spans="1:7" ht="15.75" customHeight="1" thickBot="1">
      <c r="A44" s="194" t="s">
        <v>126</v>
      </c>
      <c r="B44" s="93">
        <f>B42-B43</f>
        <v>-3066961</v>
      </c>
      <c r="C44" s="93">
        <v>-69386</v>
      </c>
      <c r="D44" s="93">
        <v>-1738975</v>
      </c>
      <c r="E44" s="216">
        <f t="shared" si="0"/>
        <v>-1669589</v>
      </c>
      <c r="F44" s="206">
        <f t="shared" si="1"/>
        <v>25.062332458997492</v>
      </c>
      <c r="G44" s="93">
        <v>241445</v>
      </c>
    </row>
    <row r="45" spans="1:6" ht="12.75">
      <c r="A45" s="94"/>
      <c r="C45" s="95"/>
      <c r="D45" s="95"/>
      <c r="E45" s="95"/>
      <c r="F45" s="95"/>
    </row>
    <row r="46" spans="1:6" ht="12.75">
      <c r="A46" s="644" t="s">
        <v>408</v>
      </c>
      <c r="C46" s="95"/>
      <c r="D46" s="95"/>
      <c r="E46" s="95"/>
      <c r="F46" s="95"/>
    </row>
    <row r="47" spans="1:6" ht="12.75">
      <c r="A47" s="644" t="s">
        <v>409</v>
      </c>
      <c r="C47" s="95"/>
      <c r="D47" s="95"/>
      <c r="E47" s="95"/>
      <c r="F47" s="95"/>
    </row>
    <row r="48" spans="1:6" ht="12.75">
      <c r="A48" s="667" t="s">
        <v>415</v>
      </c>
      <c r="C48" s="95"/>
      <c r="D48" s="95"/>
      <c r="E48" s="95"/>
      <c r="F48" s="95"/>
    </row>
    <row r="49" spans="1:6" ht="12.75">
      <c r="A49" s="668" t="s">
        <v>416</v>
      </c>
      <c r="C49" s="95"/>
      <c r="D49" s="95"/>
      <c r="E49" s="95"/>
      <c r="F49" s="95"/>
    </row>
    <row r="50" spans="1:6" ht="12.75">
      <c r="A50" s="95"/>
      <c r="C50" s="95"/>
      <c r="D50" s="95"/>
      <c r="E50" s="95"/>
      <c r="F50" s="95"/>
    </row>
    <row r="51" spans="1:6" ht="12.75">
      <c r="A51" s="95"/>
      <c r="C51" s="95"/>
      <c r="D51" s="95"/>
      <c r="E51" s="95"/>
      <c r="F51" s="95"/>
    </row>
    <row r="52" spans="1:6" ht="12.75">
      <c r="A52" s="95"/>
      <c r="C52" s="95"/>
      <c r="D52" s="95"/>
      <c r="E52" s="95"/>
      <c r="F52" s="95"/>
    </row>
    <row r="53" spans="1:6" ht="12.75">
      <c r="A53" s="95"/>
      <c r="C53" s="95"/>
      <c r="D53" s="95"/>
      <c r="E53" s="95"/>
      <c r="F53" s="95"/>
    </row>
    <row r="54" spans="1:6" ht="12.75">
      <c r="A54" s="95"/>
      <c r="C54" s="95"/>
      <c r="D54" s="95"/>
      <c r="E54" s="95"/>
      <c r="F54" s="95"/>
    </row>
    <row r="55" spans="1:6" ht="12.75">
      <c r="A55" s="95"/>
      <c r="C55" s="95"/>
      <c r="D55" s="95"/>
      <c r="E55" s="95"/>
      <c r="F55" s="95"/>
    </row>
    <row r="56" spans="1:6" ht="12.75">
      <c r="A56" s="95"/>
      <c r="C56" s="95"/>
      <c r="D56" s="95"/>
      <c r="E56" s="95"/>
      <c r="F56" s="95"/>
    </row>
    <row r="57" spans="1:6" ht="12.75">
      <c r="A57" s="95"/>
      <c r="C57" s="95"/>
      <c r="D57" s="95"/>
      <c r="E57" s="95"/>
      <c r="F57" s="95"/>
    </row>
    <row r="58" spans="1:6" ht="12.75">
      <c r="A58" s="95"/>
      <c r="C58" s="95"/>
      <c r="D58" s="95"/>
      <c r="E58" s="95"/>
      <c r="F58" s="95"/>
    </row>
    <row r="59" spans="1:6" ht="12.75">
      <c r="A59" s="95"/>
      <c r="C59" s="95"/>
      <c r="D59" s="95"/>
      <c r="E59" s="95"/>
      <c r="F59" s="95"/>
    </row>
    <row r="60" spans="1:6" ht="12.75">
      <c r="A60" s="95"/>
      <c r="C60" s="95"/>
      <c r="D60" s="95"/>
      <c r="E60" s="95"/>
      <c r="F60" s="95"/>
    </row>
    <row r="61" spans="1:6" ht="12.75">
      <c r="A61" s="95"/>
      <c r="C61" s="95"/>
      <c r="D61" s="95"/>
      <c r="E61" s="95"/>
      <c r="F61" s="95"/>
    </row>
  </sheetData>
  <mergeCells count="2">
    <mergeCell ref="E3:F3"/>
    <mergeCell ref="A1:D1"/>
  </mergeCells>
  <printOptions verticalCentered="1"/>
  <pageMargins left="1.26" right="0.5118110236220472" top="1.16" bottom="0.72" header="0.57" footer="0.5118110236220472"/>
  <pageSetup fitToHeight="1" fitToWidth="1" horizontalDpi="300" verticalDpi="300" orientation="portrait" paperSize="9" scale="90" r:id="rId1"/>
  <headerFooter alignWithMargins="0">
    <oddHeader>&amp;LPlnenie konsolidačnej funkcie k 30.09.2003&amp;R&amp;"Arial CE,Tučné"&amp;12
Príloha č.6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pane xSplit="1" ySplit="5" topLeftCell="B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" sqref="H9"/>
    </sheetView>
  </sheetViews>
  <sheetFormatPr defaultColWidth="9.00390625" defaultRowHeight="12.75"/>
  <cols>
    <col min="1" max="1" width="37.875" style="80" customWidth="1"/>
    <col min="2" max="2" width="12.625" style="133" customWidth="1"/>
    <col min="3" max="3" width="13.75390625" style="80" customWidth="1"/>
    <col min="4" max="4" width="13.625" style="80" customWidth="1"/>
    <col min="5" max="5" width="13.125" style="80" hidden="1" customWidth="1"/>
    <col min="6" max="6" width="12.625" style="80" hidden="1" customWidth="1"/>
    <col min="7" max="7" width="14.00390625" style="0" customWidth="1"/>
    <col min="8" max="8" width="14.375" style="0" bestFit="1" customWidth="1"/>
    <col min="9" max="16384" width="9.125" style="80" customWidth="1"/>
  </cols>
  <sheetData>
    <row r="1" spans="1:4" ht="15.75">
      <c r="A1" s="662" t="s">
        <v>357</v>
      </c>
      <c r="B1" s="662"/>
      <c r="C1" s="662"/>
      <c r="D1" s="662"/>
    </row>
    <row r="2" spans="1:8" ht="18.75" thickBot="1">
      <c r="A2" s="79"/>
      <c r="B2" s="480"/>
      <c r="F2" s="175"/>
      <c r="H2" s="175" t="s">
        <v>23</v>
      </c>
    </row>
    <row r="3" spans="1:8" ht="12.75">
      <c r="A3" s="81"/>
      <c r="B3" s="481" t="s">
        <v>81</v>
      </c>
      <c r="C3" s="174" t="s">
        <v>80</v>
      </c>
      <c r="D3" s="174" t="s">
        <v>81</v>
      </c>
      <c r="E3" s="660" t="s">
        <v>82</v>
      </c>
      <c r="F3" s="661"/>
      <c r="G3" s="174" t="s">
        <v>81</v>
      </c>
      <c r="H3" s="174" t="s">
        <v>411</v>
      </c>
    </row>
    <row r="4" spans="1:8" ht="18.75" customHeight="1" thickBot="1">
      <c r="A4" s="182"/>
      <c r="B4" s="484" t="s">
        <v>355</v>
      </c>
      <c r="C4" s="219" t="s">
        <v>83</v>
      </c>
      <c r="D4" s="219" t="s">
        <v>261</v>
      </c>
      <c r="E4" s="218" t="s">
        <v>85</v>
      </c>
      <c r="F4" s="220" t="s">
        <v>84</v>
      </c>
      <c r="G4" s="219" t="s">
        <v>410</v>
      </c>
      <c r="H4" s="219" t="s">
        <v>412</v>
      </c>
    </row>
    <row r="5" spans="1:8" ht="13.5" thickBot="1">
      <c r="A5" s="221"/>
      <c r="B5" s="482">
        <v>1</v>
      </c>
      <c r="C5" s="222">
        <v>2</v>
      </c>
      <c r="D5" s="222">
        <v>3</v>
      </c>
      <c r="E5" s="82" t="s">
        <v>263</v>
      </c>
      <c r="F5" s="217" t="s">
        <v>356</v>
      </c>
      <c r="G5" s="222">
        <v>4</v>
      </c>
      <c r="H5" s="222">
        <v>5</v>
      </c>
    </row>
    <row r="6" spans="1:8" ht="15.75" customHeight="1">
      <c r="A6" s="189" t="s">
        <v>88</v>
      </c>
      <c r="B6" s="483">
        <v>124546</v>
      </c>
      <c r="C6" s="91">
        <v>83310</v>
      </c>
      <c r="D6" s="91">
        <v>65982</v>
      </c>
      <c r="E6" s="83">
        <f>D6-C6</f>
        <v>-17328</v>
      </c>
      <c r="F6" s="201">
        <f>D6/C6</f>
        <v>0.7920057616132518</v>
      </c>
      <c r="G6" s="91">
        <v>65982</v>
      </c>
      <c r="H6" s="91">
        <v>93138</v>
      </c>
    </row>
    <row r="7" spans="1:8" ht="15.75" customHeight="1">
      <c r="A7" s="183" t="s">
        <v>89</v>
      </c>
      <c r="B7" s="84">
        <v>104792</v>
      </c>
      <c r="C7" s="84">
        <v>70000</v>
      </c>
      <c r="D7" s="84">
        <v>55983</v>
      </c>
      <c r="E7" s="207">
        <f aca="true" t="shared" si="0" ref="E7:E40">D7-C7</f>
        <v>-14017</v>
      </c>
      <c r="F7" s="195">
        <f aca="true" t="shared" si="1" ref="F7:F39">D7/C7</f>
        <v>0.7997571428571428</v>
      </c>
      <c r="G7" s="84">
        <v>55983</v>
      </c>
      <c r="H7" s="84">
        <v>80000</v>
      </c>
    </row>
    <row r="8" spans="1:8" ht="15.75" customHeight="1">
      <c r="A8" s="184" t="s">
        <v>90</v>
      </c>
      <c r="B8" s="85">
        <f aca="true" t="shared" si="2" ref="B8:H8">B6-B7</f>
        <v>19754</v>
      </c>
      <c r="C8" s="85">
        <f t="shared" si="2"/>
        <v>13310</v>
      </c>
      <c r="D8" s="85">
        <f t="shared" si="2"/>
        <v>9999</v>
      </c>
      <c r="E8" s="85">
        <f t="shared" si="2"/>
        <v>-3311</v>
      </c>
      <c r="F8" s="85">
        <f t="shared" si="2"/>
        <v>-0.007751381243891076</v>
      </c>
      <c r="G8" s="85">
        <f t="shared" si="2"/>
        <v>9999</v>
      </c>
      <c r="H8" s="85">
        <f t="shared" si="2"/>
        <v>13138</v>
      </c>
    </row>
    <row r="9" spans="1:8" ht="15.75" customHeight="1">
      <c r="A9" s="185" t="s">
        <v>91</v>
      </c>
      <c r="B9" s="86">
        <f aca="true" t="shared" si="3" ref="B9:H9">SUM(B10:B12)</f>
        <v>9927144</v>
      </c>
      <c r="C9" s="86">
        <f t="shared" si="3"/>
        <v>9784955</v>
      </c>
      <c r="D9" s="86">
        <f t="shared" si="3"/>
        <v>7749918</v>
      </c>
      <c r="E9" s="86">
        <f t="shared" si="3"/>
        <v>-2035037</v>
      </c>
      <c r="F9" s="86">
        <f t="shared" si="3"/>
        <v>1.2012502237566145</v>
      </c>
      <c r="G9" s="86">
        <f t="shared" si="3"/>
        <v>7749918</v>
      </c>
      <c r="H9" s="86">
        <f t="shared" si="3"/>
        <v>10500718</v>
      </c>
    </row>
    <row r="10" spans="1:8" ht="15.75" customHeight="1">
      <c r="A10" s="183" t="s">
        <v>92</v>
      </c>
      <c r="B10" s="84">
        <v>9569706</v>
      </c>
      <c r="C10" s="84">
        <v>9629955</v>
      </c>
      <c r="D10" s="84">
        <v>7685312</v>
      </c>
      <c r="E10" s="207">
        <f t="shared" si="0"/>
        <v>-1944643</v>
      </c>
      <c r="F10" s="195">
        <f t="shared" si="1"/>
        <v>0.798063126982421</v>
      </c>
      <c r="G10" s="84">
        <v>7685312</v>
      </c>
      <c r="H10" s="84">
        <v>10397514</v>
      </c>
    </row>
    <row r="11" spans="1:8" ht="15.75" customHeight="1">
      <c r="A11" s="183" t="s">
        <v>93</v>
      </c>
      <c r="B11" s="84">
        <v>229</v>
      </c>
      <c r="C11" s="84">
        <v>0</v>
      </c>
      <c r="D11" s="84">
        <v>2112</v>
      </c>
      <c r="E11" s="207">
        <f t="shared" si="0"/>
        <v>2112</v>
      </c>
      <c r="F11" s="195"/>
      <c r="G11" s="84">
        <v>2112</v>
      </c>
      <c r="H11" s="84">
        <v>1294</v>
      </c>
    </row>
    <row r="12" spans="1:8" ht="15.75" customHeight="1">
      <c r="A12" s="183" t="s">
        <v>94</v>
      </c>
      <c r="B12" s="84">
        <v>357209</v>
      </c>
      <c r="C12" s="84">
        <v>155000</v>
      </c>
      <c r="D12" s="84">
        <v>62494</v>
      </c>
      <c r="E12" s="207">
        <f t="shared" si="0"/>
        <v>-92506</v>
      </c>
      <c r="F12" s="195">
        <f t="shared" si="1"/>
        <v>0.40318709677419357</v>
      </c>
      <c r="G12" s="84">
        <v>62494</v>
      </c>
      <c r="H12" s="84">
        <v>101910</v>
      </c>
    </row>
    <row r="13" spans="1:8" ht="15.75" customHeight="1">
      <c r="A13" s="185" t="s">
        <v>95</v>
      </c>
      <c r="B13" s="86">
        <f aca="true" t="shared" si="4" ref="B13:H13">SUM(B14:B15)</f>
        <v>3445880</v>
      </c>
      <c r="C13" s="86">
        <f t="shared" si="4"/>
        <v>3090224</v>
      </c>
      <c r="D13" s="86">
        <f t="shared" si="4"/>
        <v>3238024</v>
      </c>
      <c r="E13" s="86">
        <f t="shared" si="4"/>
        <v>147800</v>
      </c>
      <c r="F13" s="86">
        <f t="shared" si="4"/>
        <v>2.2675577074818025</v>
      </c>
      <c r="G13" s="86">
        <f t="shared" si="4"/>
        <v>3238024</v>
      </c>
      <c r="H13" s="86">
        <f t="shared" si="4"/>
        <v>4677142</v>
      </c>
    </row>
    <row r="14" spans="1:8" ht="15.75" customHeight="1">
      <c r="A14" s="183" t="s">
        <v>96</v>
      </c>
      <c r="B14" s="84">
        <v>1529072</v>
      </c>
      <c r="C14" s="84">
        <v>1283830</v>
      </c>
      <c r="D14" s="84">
        <v>2108119</v>
      </c>
      <c r="E14" s="207">
        <f t="shared" si="0"/>
        <v>824289</v>
      </c>
      <c r="F14" s="195">
        <f t="shared" si="1"/>
        <v>1.6420546334016186</v>
      </c>
      <c r="G14" s="84">
        <v>2108119</v>
      </c>
      <c r="H14" s="84">
        <f>1006730+1940912</f>
        <v>2947642</v>
      </c>
    </row>
    <row r="15" spans="1:8" ht="15.75" customHeight="1">
      <c r="A15" s="183" t="s">
        <v>97</v>
      </c>
      <c r="B15" s="84">
        <v>1916808</v>
      </c>
      <c r="C15" s="84">
        <v>1806394</v>
      </c>
      <c r="D15" s="84">
        <v>1129905</v>
      </c>
      <c r="E15" s="207">
        <f t="shared" si="0"/>
        <v>-676489</v>
      </c>
      <c r="F15" s="195">
        <f t="shared" si="1"/>
        <v>0.625503074080184</v>
      </c>
      <c r="G15" s="84">
        <v>1129905</v>
      </c>
      <c r="H15" s="84">
        <v>1729500</v>
      </c>
    </row>
    <row r="16" spans="1:8" ht="15.75" customHeight="1">
      <c r="A16" s="185" t="s">
        <v>98</v>
      </c>
      <c r="B16" s="86">
        <f aca="true" t="shared" si="5" ref="B16:H16">B8+B9-B13</f>
        <v>6501018</v>
      </c>
      <c r="C16" s="86">
        <f t="shared" si="5"/>
        <v>6708041</v>
      </c>
      <c r="D16" s="86">
        <f t="shared" si="5"/>
        <v>4521893</v>
      </c>
      <c r="E16" s="86">
        <f t="shared" si="5"/>
        <v>-2186148</v>
      </c>
      <c r="F16" s="86">
        <f t="shared" si="5"/>
        <v>-1.074058864969079</v>
      </c>
      <c r="G16" s="86">
        <f t="shared" si="5"/>
        <v>4521893</v>
      </c>
      <c r="H16" s="86">
        <f t="shared" si="5"/>
        <v>5836714</v>
      </c>
    </row>
    <row r="17" spans="1:8" ht="15.75" customHeight="1">
      <c r="A17" s="183" t="s">
        <v>99</v>
      </c>
      <c r="B17" s="84">
        <v>5932453</v>
      </c>
      <c r="C17" s="84">
        <v>6048455</v>
      </c>
      <c r="D17" s="84">
        <v>4392625</v>
      </c>
      <c r="E17" s="207">
        <f t="shared" si="0"/>
        <v>-1655830</v>
      </c>
      <c r="F17" s="195">
        <f t="shared" si="1"/>
        <v>0.7262391800881383</v>
      </c>
      <c r="G17" s="84">
        <v>4392625</v>
      </c>
      <c r="H17" s="84">
        <v>6086805</v>
      </c>
    </row>
    <row r="18" spans="1:8" ht="15.75" customHeight="1">
      <c r="A18" s="183" t="s">
        <v>100</v>
      </c>
      <c r="B18" s="84">
        <v>49781</v>
      </c>
      <c r="C18" s="84">
        <v>49200</v>
      </c>
      <c r="D18" s="84">
        <v>31153</v>
      </c>
      <c r="E18" s="207">
        <f t="shared" si="0"/>
        <v>-18047</v>
      </c>
      <c r="F18" s="195">
        <f t="shared" si="1"/>
        <v>0.6331910569105691</v>
      </c>
      <c r="G18" s="84">
        <v>31153</v>
      </c>
      <c r="H18" s="84">
        <v>40500</v>
      </c>
    </row>
    <row r="19" spans="1:8" ht="15.75" customHeight="1">
      <c r="A19" s="183" t="s">
        <v>101</v>
      </c>
      <c r="B19" s="84">
        <v>2591329</v>
      </c>
      <c r="C19" s="84">
        <v>2700000</v>
      </c>
      <c r="D19" s="84">
        <v>2002214</v>
      </c>
      <c r="E19" s="207">
        <f t="shared" si="0"/>
        <v>-697786</v>
      </c>
      <c r="F19" s="195">
        <f t="shared" si="1"/>
        <v>0.7415607407407407</v>
      </c>
      <c r="G19" s="84">
        <v>2002214</v>
      </c>
      <c r="H19" s="84">
        <v>2732921</v>
      </c>
    </row>
    <row r="20" spans="1:8" ht="15.75" customHeight="1">
      <c r="A20" s="183" t="s">
        <v>102</v>
      </c>
      <c r="B20" s="84">
        <v>651504</v>
      </c>
      <c r="C20" s="84">
        <v>250000</v>
      </c>
      <c r="D20" s="84">
        <v>208888</v>
      </c>
      <c r="E20" s="207">
        <f t="shared" si="0"/>
        <v>-41112</v>
      </c>
      <c r="F20" s="195">
        <f t="shared" si="1"/>
        <v>0.835552</v>
      </c>
      <c r="G20" s="84">
        <v>208888</v>
      </c>
      <c r="H20" s="84">
        <f>77402+182618</f>
        <v>260020</v>
      </c>
    </row>
    <row r="21" spans="1:8" ht="15.75" customHeight="1">
      <c r="A21" s="183" t="s">
        <v>103</v>
      </c>
      <c r="B21" s="84">
        <v>760488</v>
      </c>
      <c r="C21" s="84">
        <v>235000</v>
      </c>
      <c r="D21" s="84">
        <v>141521</v>
      </c>
      <c r="E21" s="207">
        <f t="shared" si="0"/>
        <v>-93479</v>
      </c>
      <c r="F21" s="195">
        <f t="shared" si="1"/>
        <v>0.6022170212765957</v>
      </c>
      <c r="G21" s="84">
        <v>141521</v>
      </c>
      <c r="H21" s="84">
        <f>36000+170000</f>
        <v>206000</v>
      </c>
    </row>
    <row r="22" spans="1:8" ht="15.75" customHeight="1">
      <c r="A22" s="183" t="s">
        <v>104</v>
      </c>
      <c r="B22" s="84">
        <v>0</v>
      </c>
      <c r="C22" s="84">
        <v>0</v>
      </c>
      <c r="D22" s="84">
        <v>1141520</v>
      </c>
      <c r="E22" s="207">
        <f t="shared" si="0"/>
        <v>1141520</v>
      </c>
      <c r="F22" s="195"/>
      <c r="G22" s="84">
        <v>1141520</v>
      </c>
      <c r="H22" s="84">
        <f>1822420</f>
        <v>1822420</v>
      </c>
    </row>
    <row r="23" spans="1:8" ht="15.75" customHeight="1">
      <c r="A23" s="183" t="s">
        <v>105</v>
      </c>
      <c r="B23" s="84">
        <v>1600</v>
      </c>
      <c r="C23" s="84">
        <v>0</v>
      </c>
      <c r="D23" s="84">
        <v>1007370</v>
      </c>
      <c r="E23" s="207">
        <f t="shared" si="0"/>
        <v>1007370</v>
      </c>
      <c r="F23" s="195"/>
      <c r="G23" s="84">
        <v>1007370</v>
      </c>
      <c r="H23" s="84">
        <f>1411530</f>
        <v>1411530</v>
      </c>
    </row>
    <row r="24" spans="1:8" ht="15.75" customHeight="1">
      <c r="A24" s="183" t="s">
        <v>106</v>
      </c>
      <c r="B24" s="84">
        <v>660350</v>
      </c>
      <c r="C24" s="84">
        <v>0</v>
      </c>
      <c r="D24" s="84">
        <v>80962</v>
      </c>
      <c r="E24" s="207">
        <f t="shared" si="0"/>
        <v>80962</v>
      </c>
      <c r="F24" s="195"/>
      <c r="G24" s="646">
        <v>80962</v>
      </c>
      <c r="H24" s="647">
        <f>290657</f>
        <v>290657</v>
      </c>
    </row>
    <row r="25" spans="1:8" ht="15.75" customHeight="1">
      <c r="A25" s="183" t="s">
        <v>107</v>
      </c>
      <c r="B25" s="84">
        <v>3176253</v>
      </c>
      <c r="C25" s="84">
        <v>100000</v>
      </c>
      <c r="D25" s="84">
        <v>2170</v>
      </c>
      <c r="E25" s="207">
        <f t="shared" si="0"/>
        <v>-97830</v>
      </c>
      <c r="F25" s="195">
        <f t="shared" si="1"/>
        <v>0.0217</v>
      </c>
      <c r="G25" s="84">
        <v>2170</v>
      </c>
      <c r="H25" s="84">
        <v>3000</v>
      </c>
    </row>
    <row r="26" spans="1:8" ht="15.75" customHeight="1">
      <c r="A26" s="183" t="s">
        <v>108</v>
      </c>
      <c r="B26" s="84">
        <v>536813</v>
      </c>
      <c r="C26" s="84">
        <v>359000</v>
      </c>
      <c r="D26" s="84">
        <v>129703</v>
      </c>
      <c r="E26" s="207">
        <f t="shared" si="0"/>
        <v>-229297</v>
      </c>
      <c r="F26" s="195">
        <f t="shared" si="1"/>
        <v>0.36128969359331475</v>
      </c>
      <c r="G26" s="84">
        <v>129703</v>
      </c>
      <c r="H26" s="84">
        <f>16+82000+100000+13000+31200+3600</f>
        <v>229816</v>
      </c>
    </row>
    <row r="27" spans="1:8" ht="15.75" customHeight="1">
      <c r="A27" s="183" t="s">
        <v>109</v>
      </c>
      <c r="B27" s="84">
        <v>4819453</v>
      </c>
      <c r="C27" s="84">
        <v>2362232</v>
      </c>
      <c r="D27" s="84">
        <v>1916028</v>
      </c>
      <c r="E27" s="207">
        <f t="shared" si="0"/>
        <v>-446204</v>
      </c>
      <c r="F27" s="195">
        <f t="shared" si="1"/>
        <v>0.8111091543929639</v>
      </c>
      <c r="G27" s="84">
        <v>1916028</v>
      </c>
      <c r="H27" s="84">
        <f>84680+70+91+2438504</f>
        <v>2523345</v>
      </c>
    </row>
    <row r="28" spans="1:8" ht="15.75" customHeight="1">
      <c r="A28" s="186" t="s">
        <v>110</v>
      </c>
      <c r="B28" s="87">
        <f aca="true" t="shared" si="6" ref="B28:H28">B6+B9+B20+B23+B24+B27</f>
        <v>16184597</v>
      </c>
      <c r="C28" s="87">
        <f t="shared" si="6"/>
        <v>12480497</v>
      </c>
      <c r="D28" s="87">
        <f t="shared" si="6"/>
        <v>11029148</v>
      </c>
      <c r="E28" s="87">
        <f t="shared" si="6"/>
        <v>-1451349</v>
      </c>
      <c r="F28" s="87">
        <f t="shared" si="6"/>
        <v>3.63991713976283</v>
      </c>
      <c r="G28" s="87">
        <f t="shared" si="6"/>
        <v>11029148</v>
      </c>
      <c r="H28" s="87">
        <f t="shared" si="6"/>
        <v>15079408</v>
      </c>
    </row>
    <row r="29" spans="1:8" ht="15.75" customHeight="1" thickBot="1">
      <c r="A29" s="187" t="s">
        <v>111</v>
      </c>
      <c r="B29" s="88">
        <f aca="true" t="shared" si="7" ref="B29:H29">B7+B13+B17+B18+B19+B21+B22+B25+B26</f>
        <v>16597789</v>
      </c>
      <c r="C29" s="88">
        <f t="shared" si="7"/>
        <v>12651879</v>
      </c>
      <c r="D29" s="88">
        <f t="shared" si="7"/>
        <v>11134913</v>
      </c>
      <c r="E29" s="88">
        <f t="shared" si="7"/>
        <v>-1516966</v>
      </c>
      <c r="F29" s="88">
        <f t="shared" si="7"/>
        <v>6.153512542948304</v>
      </c>
      <c r="G29" s="88">
        <f t="shared" si="7"/>
        <v>11134913</v>
      </c>
      <c r="H29" s="88">
        <f t="shared" si="7"/>
        <v>15878604</v>
      </c>
    </row>
    <row r="30" spans="1:8" ht="15.75" customHeight="1" thickBot="1">
      <c r="A30" s="188" t="s">
        <v>112</v>
      </c>
      <c r="B30" s="90">
        <f aca="true" t="shared" si="8" ref="B30:H30">B28-B29</f>
        <v>-413192</v>
      </c>
      <c r="C30" s="90">
        <f t="shared" si="8"/>
        <v>-171382</v>
      </c>
      <c r="D30" s="90">
        <f t="shared" si="8"/>
        <v>-105765</v>
      </c>
      <c r="E30" s="90">
        <f t="shared" si="8"/>
        <v>65617</v>
      </c>
      <c r="F30" s="90">
        <f t="shared" si="8"/>
        <v>-2.5135954031854744</v>
      </c>
      <c r="G30" s="90">
        <f t="shared" si="8"/>
        <v>-105765</v>
      </c>
      <c r="H30" s="90">
        <f t="shared" si="8"/>
        <v>-799196</v>
      </c>
    </row>
    <row r="31" spans="1:8" ht="15.75" customHeight="1">
      <c r="A31" s="189" t="s">
        <v>113</v>
      </c>
      <c r="B31" s="91">
        <v>1709675</v>
      </c>
      <c r="C31" s="91">
        <v>2307727</v>
      </c>
      <c r="D31" s="91">
        <v>327757</v>
      </c>
      <c r="E31" s="83">
        <f t="shared" si="0"/>
        <v>-1979970</v>
      </c>
      <c r="F31" s="201">
        <f t="shared" si="1"/>
        <v>0.14202589821066355</v>
      </c>
      <c r="G31" s="599">
        <f>327757+1669020</f>
        <v>1996777</v>
      </c>
      <c r="H31" s="648">
        <f>225816+325653</f>
        <v>551469</v>
      </c>
    </row>
    <row r="32" spans="1:8" ht="15.75" customHeight="1">
      <c r="A32" s="183" t="s">
        <v>114</v>
      </c>
      <c r="B32" s="84">
        <f aca="true" t="shared" si="9" ref="B32:H32">B33+B34</f>
        <v>3604971</v>
      </c>
      <c r="C32" s="84">
        <f t="shared" si="9"/>
        <v>3115000</v>
      </c>
      <c r="D32" s="84">
        <f t="shared" si="9"/>
        <v>2320747</v>
      </c>
      <c r="E32" s="84">
        <f t="shared" si="9"/>
        <v>-794253</v>
      </c>
      <c r="F32" s="84">
        <f t="shared" si="9"/>
        <v>6.4521403768115935</v>
      </c>
      <c r="G32" s="84">
        <f t="shared" si="9"/>
        <v>2320747</v>
      </c>
      <c r="H32" s="84">
        <f t="shared" si="9"/>
        <v>3044644</v>
      </c>
    </row>
    <row r="33" spans="1:8" ht="15.75" customHeight="1">
      <c r="A33" s="183" t="s">
        <v>115</v>
      </c>
      <c r="B33" s="84">
        <v>2476158</v>
      </c>
      <c r="C33" s="84">
        <v>3000000</v>
      </c>
      <c r="D33" s="84">
        <v>1641682</v>
      </c>
      <c r="E33" s="207">
        <f t="shared" si="0"/>
        <v>-1358318</v>
      </c>
      <c r="F33" s="195">
        <f t="shared" si="1"/>
        <v>0.5472273333333333</v>
      </c>
      <c r="G33" s="84">
        <v>1641682</v>
      </c>
      <c r="H33" s="84">
        <f>1998289</f>
        <v>1998289</v>
      </c>
    </row>
    <row r="34" spans="1:8" ht="15.75" customHeight="1" thickBot="1">
      <c r="A34" s="190" t="s">
        <v>116</v>
      </c>
      <c r="B34" s="179">
        <v>1128813</v>
      </c>
      <c r="C34" s="179">
        <v>115000</v>
      </c>
      <c r="D34" s="179">
        <v>679065</v>
      </c>
      <c r="E34" s="213">
        <f t="shared" si="0"/>
        <v>564065</v>
      </c>
      <c r="F34" s="202">
        <f t="shared" si="1"/>
        <v>5.904913043478261</v>
      </c>
      <c r="G34" s="179">
        <v>679065</v>
      </c>
      <c r="H34" s="179">
        <f>20000+60000+116+966239</f>
        <v>1046355</v>
      </c>
    </row>
    <row r="35" spans="1:8" ht="15.75" customHeight="1" thickBot="1">
      <c r="A35" s="188" t="s">
        <v>117</v>
      </c>
      <c r="B35" s="90">
        <f aca="true" t="shared" si="10" ref="B35:H35">B31-B32</f>
        <v>-1895296</v>
      </c>
      <c r="C35" s="90">
        <f t="shared" si="10"/>
        <v>-807273</v>
      </c>
      <c r="D35" s="90">
        <f t="shared" si="10"/>
        <v>-1992990</v>
      </c>
      <c r="E35" s="90">
        <f t="shared" si="10"/>
        <v>-1185717</v>
      </c>
      <c r="F35" s="90">
        <f t="shared" si="10"/>
        <v>-6.31011447860093</v>
      </c>
      <c r="G35" s="90">
        <f t="shared" si="10"/>
        <v>-323970</v>
      </c>
      <c r="H35" s="90">
        <f t="shared" si="10"/>
        <v>-2493175</v>
      </c>
    </row>
    <row r="36" spans="1:8" ht="15.75" customHeight="1" thickBot="1">
      <c r="A36" s="191" t="s">
        <v>118</v>
      </c>
      <c r="B36" s="180">
        <v>34763</v>
      </c>
      <c r="C36" s="180">
        <v>0</v>
      </c>
      <c r="D36" s="180">
        <v>0</v>
      </c>
      <c r="E36" s="89">
        <f t="shared" si="0"/>
        <v>0</v>
      </c>
      <c r="F36" s="203"/>
      <c r="G36" s="180">
        <v>0</v>
      </c>
      <c r="H36" s="180">
        <v>0</v>
      </c>
    </row>
    <row r="37" spans="1:8" ht="15.75" customHeight="1" thickBot="1">
      <c r="A37" s="188" t="s">
        <v>119</v>
      </c>
      <c r="B37" s="90">
        <f aca="true" t="shared" si="11" ref="B37:H37">B30+B35-B36</f>
        <v>-2343251</v>
      </c>
      <c r="C37" s="90">
        <f t="shared" si="11"/>
        <v>-978655</v>
      </c>
      <c r="D37" s="90">
        <f t="shared" si="11"/>
        <v>-2098755</v>
      </c>
      <c r="E37" s="90">
        <f t="shared" si="11"/>
        <v>-1120100</v>
      </c>
      <c r="F37" s="90">
        <f t="shared" si="11"/>
        <v>-8.823709881786405</v>
      </c>
      <c r="G37" s="90">
        <f t="shared" si="11"/>
        <v>-429735</v>
      </c>
      <c r="H37" s="90">
        <f t="shared" si="11"/>
        <v>-3292371</v>
      </c>
    </row>
    <row r="38" spans="1:8" ht="15.75" customHeight="1">
      <c r="A38" s="189" t="s">
        <v>120</v>
      </c>
      <c r="B38" s="91">
        <v>201873</v>
      </c>
      <c r="C38" s="91">
        <v>1150954</v>
      </c>
      <c r="D38" s="91">
        <v>673078</v>
      </c>
      <c r="E38" s="83">
        <f t="shared" si="0"/>
        <v>-477876</v>
      </c>
      <c r="F38" s="201">
        <f t="shared" si="1"/>
        <v>0.584800087579521</v>
      </c>
      <c r="G38" s="599">
        <f>673078+311400</f>
        <v>984478</v>
      </c>
      <c r="H38" s="648">
        <v>684299</v>
      </c>
    </row>
    <row r="39" spans="1:8" ht="15.75" customHeight="1">
      <c r="A39" s="183" t="s">
        <v>121</v>
      </c>
      <c r="B39" s="84">
        <v>925583</v>
      </c>
      <c r="C39" s="84">
        <v>241685</v>
      </c>
      <c r="D39" s="84">
        <v>313298</v>
      </c>
      <c r="E39" s="207">
        <f t="shared" si="0"/>
        <v>71613</v>
      </c>
      <c r="F39" s="195">
        <f t="shared" si="1"/>
        <v>1.2963071766969403</v>
      </c>
      <c r="G39" s="84">
        <v>313298</v>
      </c>
      <c r="H39" s="84">
        <v>520000</v>
      </c>
    </row>
    <row r="40" spans="1:8" ht="15.75" customHeight="1" thickBot="1">
      <c r="A40" s="190" t="s">
        <v>122</v>
      </c>
      <c r="B40" s="179">
        <v>0</v>
      </c>
      <c r="C40" s="179">
        <v>0</v>
      </c>
      <c r="D40" s="179">
        <v>0</v>
      </c>
      <c r="E40" s="213">
        <f t="shared" si="0"/>
        <v>0</v>
      </c>
      <c r="F40" s="202"/>
      <c r="G40" s="179">
        <v>0</v>
      </c>
      <c r="H40" s="179">
        <v>400000</v>
      </c>
    </row>
    <row r="41" spans="1:8" ht="15.75" customHeight="1" thickBot="1">
      <c r="A41" s="188" t="s">
        <v>123</v>
      </c>
      <c r="B41" s="90">
        <f aca="true" t="shared" si="12" ref="B41:H41">B38-B39-B40</f>
        <v>-723710</v>
      </c>
      <c r="C41" s="90">
        <f t="shared" si="12"/>
        <v>909269</v>
      </c>
      <c r="D41" s="90">
        <f t="shared" si="12"/>
        <v>359780</v>
      </c>
      <c r="E41" s="90">
        <f t="shared" si="12"/>
        <v>-549489</v>
      </c>
      <c r="F41" s="90">
        <f t="shared" si="12"/>
        <v>-0.7115070891174193</v>
      </c>
      <c r="G41" s="90">
        <f t="shared" si="12"/>
        <v>671180</v>
      </c>
      <c r="H41" s="90">
        <f t="shared" si="12"/>
        <v>-235701</v>
      </c>
    </row>
    <row r="42" spans="1:8" ht="15.75" customHeight="1">
      <c r="A42" s="192" t="s">
        <v>124</v>
      </c>
      <c r="B42" s="181">
        <f aca="true" t="shared" si="13" ref="B42:H42">B28+B31+B38</f>
        <v>18096145</v>
      </c>
      <c r="C42" s="181">
        <f t="shared" si="13"/>
        <v>15939178</v>
      </c>
      <c r="D42" s="181">
        <f t="shared" si="13"/>
        <v>12029983</v>
      </c>
      <c r="E42" s="181">
        <f t="shared" si="13"/>
        <v>-3909195</v>
      </c>
      <c r="F42" s="181">
        <f t="shared" si="13"/>
        <v>4.366743125553015</v>
      </c>
      <c r="G42" s="181">
        <f t="shared" si="13"/>
        <v>14010403</v>
      </c>
      <c r="H42" s="181">
        <f t="shared" si="13"/>
        <v>16315176</v>
      </c>
    </row>
    <row r="43" spans="1:8" ht="15.75" customHeight="1" thickBot="1">
      <c r="A43" s="193" t="s">
        <v>125</v>
      </c>
      <c r="B43" s="92">
        <f aca="true" t="shared" si="14" ref="B43:H43">B29+B32+B39+B36+B40</f>
        <v>21163106</v>
      </c>
      <c r="C43" s="92">
        <f t="shared" si="14"/>
        <v>16008564</v>
      </c>
      <c r="D43" s="92">
        <f t="shared" si="14"/>
        <v>13768958</v>
      </c>
      <c r="E43" s="92">
        <f t="shared" si="14"/>
        <v>-2239606</v>
      </c>
      <c r="F43" s="92">
        <f t="shared" si="14"/>
        <v>13.901960096456838</v>
      </c>
      <c r="G43" s="92">
        <f t="shared" si="14"/>
        <v>13768958</v>
      </c>
      <c r="H43" s="92">
        <f t="shared" si="14"/>
        <v>19843248</v>
      </c>
    </row>
    <row r="44" spans="1:8" ht="15.75" customHeight="1" thickBot="1">
      <c r="A44" s="194" t="s">
        <v>126</v>
      </c>
      <c r="B44" s="93">
        <f aca="true" t="shared" si="15" ref="B44:H44">B42-B43</f>
        <v>-3066961</v>
      </c>
      <c r="C44" s="93">
        <f t="shared" si="15"/>
        <v>-69386</v>
      </c>
      <c r="D44" s="93">
        <f t="shared" si="15"/>
        <v>-1738975</v>
      </c>
      <c r="E44" s="93">
        <f t="shared" si="15"/>
        <v>-1669589</v>
      </c>
      <c r="F44" s="93">
        <f t="shared" si="15"/>
        <v>-9.535216970903823</v>
      </c>
      <c r="G44" s="93">
        <f t="shared" si="15"/>
        <v>241445</v>
      </c>
      <c r="H44" s="93">
        <f t="shared" si="15"/>
        <v>-3528072</v>
      </c>
    </row>
    <row r="45" spans="1:6" ht="12.75">
      <c r="A45" s="94"/>
      <c r="C45" s="95"/>
      <c r="D45" s="95"/>
      <c r="E45" s="95"/>
      <c r="F45" s="95"/>
    </row>
    <row r="46" spans="1:6" ht="12.75">
      <c r="A46" s="644" t="s">
        <v>408</v>
      </c>
      <c r="C46" s="95"/>
      <c r="D46" s="95"/>
      <c r="E46" s="95"/>
      <c r="F46" s="95"/>
    </row>
    <row r="47" spans="1:6" ht="12.75">
      <c r="A47" s="644" t="s">
        <v>409</v>
      </c>
      <c r="C47" s="95"/>
      <c r="D47" s="95"/>
      <c r="E47" s="95"/>
      <c r="F47" s="95"/>
    </row>
    <row r="48" spans="1:6" ht="12.75">
      <c r="A48" s="644" t="s">
        <v>413</v>
      </c>
      <c r="C48" s="95"/>
      <c r="D48" s="95"/>
      <c r="E48" s="95"/>
      <c r="F48" s="95"/>
    </row>
    <row r="49" spans="1:6" ht="12.75">
      <c r="A49" s="644" t="s">
        <v>414</v>
      </c>
      <c r="C49" s="95"/>
      <c r="D49" s="95"/>
      <c r="E49" s="95"/>
      <c r="F49" s="95"/>
    </row>
    <row r="50" spans="1:6" ht="12.75">
      <c r="A50" s="95"/>
      <c r="C50" s="95"/>
      <c r="D50" s="95"/>
      <c r="E50" s="95"/>
      <c r="F50" s="95"/>
    </row>
    <row r="51" spans="1:6" ht="12.75">
      <c r="A51" s="95"/>
      <c r="C51" s="95"/>
      <c r="D51" s="95"/>
      <c r="E51" s="95"/>
      <c r="F51" s="95"/>
    </row>
    <row r="52" spans="1:6" ht="12.75">
      <c r="A52" s="95"/>
      <c r="C52" s="95"/>
      <c r="D52" s="95"/>
      <c r="E52" s="95"/>
      <c r="F52" s="95"/>
    </row>
    <row r="53" spans="1:6" ht="12.75">
      <c r="A53" s="95"/>
      <c r="C53" s="95"/>
      <c r="D53" s="95"/>
      <c r="E53" s="95"/>
      <c r="F53" s="95"/>
    </row>
    <row r="54" spans="1:6" ht="12.75">
      <c r="A54" s="95"/>
      <c r="C54" s="95"/>
      <c r="D54" s="95"/>
      <c r="E54" s="95"/>
      <c r="F54" s="95"/>
    </row>
    <row r="55" spans="1:6" ht="12.75">
      <c r="A55" s="95"/>
      <c r="C55" s="95"/>
      <c r="D55" s="95"/>
      <c r="E55" s="95"/>
      <c r="F55" s="95"/>
    </row>
    <row r="56" spans="1:6" ht="12.75">
      <c r="A56" s="95"/>
      <c r="C56" s="95"/>
      <c r="D56" s="95"/>
      <c r="E56" s="95"/>
      <c r="F56" s="95"/>
    </row>
    <row r="57" spans="1:6" ht="12.75">
      <c r="A57" s="95"/>
      <c r="C57" s="95"/>
      <c r="D57" s="95"/>
      <c r="E57" s="95"/>
      <c r="F57" s="95"/>
    </row>
    <row r="58" spans="1:6" ht="12.75">
      <c r="A58" s="95"/>
      <c r="C58" s="95"/>
      <c r="D58" s="95"/>
      <c r="E58" s="95"/>
      <c r="F58" s="95"/>
    </row>
    <row r="59" spans="1:6" ht="12.75">
      <c r="A59" s="95"/>
      <c r="C59" s="95"/>
      <c r="D59" s="95"/>
      <c r="E59" s="95"/>
      <c r="F59" s="95"/>
    </row>
    <row r="60" spans="1:6" ht="12.75">
      <c r="A60" s="95"/>
      <c r="C60" s="95"/>
      <c r="D60" s="95"/>
      <c r="E60" s="95"/>
      <c r="F60" s="95"/>
    </row>
    <row r="61" spans="1:6" ht="12.75">
      <c r="A61" s="95"/>
      <c r="C61" s="95"/>
      <c r="D61" s="95"/>
      <c r="E61" s="95"/>
      <c r="F61" s="95"/>
    </row>
  </sheetData>
  <mergeCells count="2">
    <mergeCell ref="A1:D1"/>
    <mergeCell ref="E3:F3"/>
  </mergeCells>
  <printOptions/>
  <pageMargins left="1.01" right="0.44" top="1.38" bottom="1" header="0.8" footer="0.4921259845"/>
  <pageSetup fitToHeight="1" fitToWidth="1" horizontalDpi="300" verticalDpi="300" orientation="portrait" paperSize="9" scale="83" r:id="rId1"/>
  <headerFooter alignWithMargins="0">
    <oddHeader>&amp;LPlnenie konsolidačnej funkcie k 30.9.2003&amp;R&amp;"Arial CE,Tučné"&amp;12Príloha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KukuckaNB</dc:creator>
  <cp:keywords/>
  <dc:description/>
  <cp:lastModifiedBy>Sefcik</cp:lastModifiedBy>
  <cp:lastPrinted>2003-11-21T11:43:18Z</cp:lastPrinted>
  <dcterms:created xsi:type="dcterms:W3CDTF">2003-07-31T06:31:52Z</dcterms:created>
  <dcterms:modified xsi:type="dcterms:W3CDTF">2003-11-21T11:47:39Z</dcterms:modified>
  <cp:category/>
  <cp:version/>
  <cp:contentType/>
  <cp:contentStatus/>
</cp:coreProperties>
</file>