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<sst xmlns="http://schemas.openxmlformats.org/spreadsheetml/2006/main" count="165" uniqueCount="139">
  <si>
    <t>600                     Bežné            výdavky spolu</t>
  </si>
  <si>
    <t>610                    Mzdy, platy,            sl. príjmy a OOV</t>
  </si>
  <si>
    <t>620                     Poistné a prísp.            do pooisťovní</t>
  </si>
  <si>
    <t>630                 Tovary                       a služby</t>
  </si>
  <si>
    <t>640                                 Bežné                transfery                   spolu</t>
  </si>
  <si>
    <t>640                                  Bežné transf. rozp. organizácií</t>
  </si>
  <si>
    <t>640 BT a 644 Transfery nefin. subjektom</t>
  </si>
  <si>
    <t>01.1.3     Zahraničná oblasť ( účasť v medz. organizáciách)</t>
  </si>
  <si>
    <t>02.1.0     Vojenská obrana: HM+Civ. núdz. plánovanie (520 000)</t>
  </si>
  <si>
    <t>03.6.0.7  Železničná polícia</t>
  </si>
  <si>
    <t>04.5     DOPRAVA, z toho: 04.5.1 Cestná doprava</t>
  </si>
  <si>
    <t>Pren. výkon</t>
  </si>
  <si>
    <t xml:space="preserve">            KÚ pre cestnú dopravu a pozemné komunikácie</t>
  </si>
  <si>
    <t>z toho: KÚ pre CD a PK Bratislava</t>
  </si>
  <si>
    <t>z toho: KÚ pre CD a PK Trnava</t>
  </si>
  <si>
    <t>z toho: KÚ pre CD a PK Nitra + 04.1.2.Všeob.prac.oblasť (ESF)</t>
  </si>
  <si>
    <t>z toho: KÚ pre CD a PK Trenčín</t>
  </si>
  <si>
    <t>z toho: KÚ pre CD a PK Banská Bystrica</t>
  </si>
  <si>
    <t>z toho: KÚ pre CD a PK Žilina</t>
  </si>
  <si>
    <t>z toho: KÚ pre CD a PK Prešov</t>
  </si>
  <si>
    <t>z toho: KÚ pre CD a PK Košice + 04.1.2. Vš.prac.oblasť (ESF)</t>
  </si>
  <si>
    <t>04.5.1.1 MDPT - Aparát MDPT SR</t>
  </si>
  <si>
    <t>04.5.1.1 Technická pomoc - ERDF 1. PO</t>
  </si>
  <si>
    <t>04.5.1.1 Technická pomoc - Spolufin. ERDF 1. PO</t>
  </si>
  <si>
    <t>04.5.1.1 Technická pomoc - ERDF 2. PO</t>
  </si>
  <si>
    <t>04.5.1.1 Technická pomoc - Spolufin. ERDF 2. PO</t>
  </si>
  <si>
    <t>04.5.1.1 PJ - Technická pomoc - ERDF 1. PO</t>
  </si>
  <si>
    <t>04.5.1.1 PJ - Technická pomoc - Spolufin. ERDF 1. PO</t>
  </si>
  <si>
    <t>04.5.1.1 PJ - Technická pomoc - ERDF 2. PO</t>
  </si>
  <si>
    <t>04.5.1.1 PJ - Technická pomoc - Spolufin. ERDF 2. PO</t>
  </si>
  <si>
    <t>04.5.1.2 Údržba a oprava ciest I. tr. a diaľ. privádz. (SSC)</t>
  </si>
  <si>
    <t>04.5.1.2 Údržba a oprava diaľnic a rýchlost. ciest (NDS,a.s.)</t>
  </si>
  <si>
    <t>04.5.1.2 Výstavba diaľnic, RC a ciest I. tr. - Projekty PPP</t>
  </si>
  <si>
    <t>04.5.1.4 PJ (SSC) - Technická pomoc - ERDF 1. PO</t>
  </si>
  <si>
    <t>04.5.1.4 PJ (SSC) - Technická pomoc - Spolufin. ERDF 1. PO</t>
  </si>
  <si>
    <t>04.5.1.4 SSC - Technická pomoc - ERDF 1. PO</t>
  </si>
  <si>
    <t>04.5.1.4 SSC - Technická pomoc - Spolufin. ERDF 1. PO</t>
  </si>
  <si>
    <t>04.5.1.4 Slov. správa ciest + 04.1.2.Všeob.prac.oblasť (ESF)</t>
  </si>
  <si>
    <t>04.5     DOPRAVA, z toho: 04.5.2 Vodná doprava</t>
  </si>
  <si>
    <t>04.5.2.1 Štátna plavebná správa</t>
  </si>
  <si>
    <t>04.5     DOPRAVA, z toho: 04.5.3 Železničná doprava</t>
  </si>
  <si>
    <t>z toho:   Železničná spoločnosť Slovensko, a. s. (BT, ZVVZ)</t>
  </si>
  <si>
    <t>z toho:   ŽS Cargo Slovakia, a.s.</t>
  </si>
  <si>
    <t>z toho:   ŽS Slovensko, a.s. - Podpora obrany</t>
  </si>
  <si>
    <t>z toho:   Železnice SR (BT, ZVVZ)</t>
  </si>
  <si>
    <t>z toho:   Železnice SR - Podpora obrany</t>
  </si>
  <si>
    <t xml:space="preserve">z toho:   Úrad pre reguláciu železničnej dopravy  </t>
  </si>
  <si>
    <t xml:space="preserve">              z toho: Zrušená Technická ochrana a obnova železníc</t>
  </si>
  <si>
    <t>04.5     DOPRAVA, z toho: 04.5.4 Letecká doprava</t>
  </si>
  <si>
    <t>z toho: Dotácie v leteckej doprave</t>
  </si>
  <si>
    <t>z toho: Dotácie v leteckej doprave - Podpora obrany</t>
  </si>
  <si>
    <t>z toho: Letecký úrad SR</t>
  </si>
  <si>
    <r>
      <t xml:space="preserve">04.5     DOPRAVA,z toho: 04.5.5 Iná doprava </t>
    </r>
    <r>
      <rPr>
        <sz val="11"/>
        <rFont val="Arial CE"/>
        <family val="2"/>
      </rPr>
      <t>(Komb. doprava)</t>
    </r>
  </si>
  <si>
    <t>0.4.6    KOMUNIKÁCIE, 04.6.0 Komunikácie</t>
  </si>
  <si>
    <t>z toho: Telekomunikačný úrad SR</t>
  </si>
  <si>
    <t>z toho: Poštový regulačný úrad Žilina</t>
  </si>
  <si>
    <t xml:space="preserve">04.8.5  Výskum a vývoj v oblasti dopravy                   </t>
  </si>
  <si>
    <t xml:space="preserve">04.8.6  Výskum a vývoj v oblasti komunikácií                     </t>
  </si>
  <si>
    <t xml:space="preserve">            Výskum a vývoj v oblasti komunikácií - Podpora obrany                  </t>
  </si>
  <si>
    <t>07.2.1  Všeobecné lekárske služby (Úrad verej. zdravotníctva)</t>
  </si>
  <si>
    <t>09.8.0  Vzdelávanie inde neklasifikované</t>
  </si>
  <si>
    <t>REZORT DOPRAVY SPOLU:</t>
  </si>
  <si>
    <t>Trieda                                                                                                    podtrieda</t>
  </si>
  <si>
    <t>700 Kapitálové výdavky</t>
  </si>
  <si>
    <t>710 Obstarávanie kapitálových aktív</t>
  </si>
  <si>
    <t>720 KT a 723 Trans. nefin. subjektom</t>
  </si>
  <si>
    <t>Bežné a kapitálové výdavky spolu</t>
  </si>
  <si>
    <t>Prostriedky z rozpočtu EÚ</t>
  </si>
  <si>
    <t>Spolufin. zo ŠR</t>
  </si>
  <si>
    <t xml:space="preserve">02.1.0     Vojenská obrana, 02.1.0.3 Hospodárska mobilizácia </t>
  </si>
  <si>
    <t>04.5     DOPRAVA, z toho: 04.5.1. Cestná doprava</t>
  </si>
  <si>
    <t>z toho: KÚ pre CD a PK Nitra</t>
  </si>
  <si>
    <t xml:space="preserve"> </t>
  </si>
  <si>
    <t>z toho: KÚ pre CD a PK Košice</t>
  </si>
  <si>
    <t>04.5.1.1 Tech. pomoc - ERDF 1. PO</t>
  </si>
  <si>
    <t>04.5.1.1 Tech. pomoc - Spolufin. ERDF 1. PO</t>
  </si>
  <si>
    <t>04.5.1.1 Tech. pomoc - ERDF 2. PO</t>
  </si>
  <si>
    <t>04.5.1.1 Tech. pomoc - Spolufin. ERDF 2. PO</t>
  </si>
  <si>
    <t>04.5.1.1 PJ - Tech. pomoc - ERDF 1. PO</t>
  </si>
  <si>
    <t>04.5.1.1 PJ - Tech. pomoc - Spolufin. ERDF 1. PO</t>
  </si>
  <si>
    <t>04.5.1.1 PJ - Tech. pomoc - ERDF 2. PO</t>
  </si>
  <si>
    <t>04.5.1.1 PJ - Tech. pomoc - Spolufin. ERDF 2. PO</t>
  </si>
  <si>
    <t>04.5.1.2 Výstavba diaľnic, rýchlostných ciest a ciest I. triedy</t>
  </si>
  <si>
    <t>z toho:   Výstavba ciest I. tr. a diaľničných privádzačov (SSC)</t>
  </si>
  <si>
    <t>z toho:   Projekt PPP - Severný obchvat mesta B. Bystrica</t>
  </si>
  <si>
    <t>z toho:   Výstavba ciest I. tr. a diaľ priv. (SSC) EÚ 1. PO</t>
  </si>
  <si>
    <t>z toho:   Výstavba ciest I. tr. a diaľ priv. (SSC) Spolufin. 1. PO</t>
  </si>
  <si>
    <t>z toho:   Výstavba ciest I. tr. a diaľ priv. (SSC) EÚ 2. PO</t>
  </si>
  <si>
    <t>z toho:   Výstavba ciest I. tr. a diaľ priv. (SSC) Spolufin. 2. PO</t>
  </si>
  <si>
    <t>z toho:   Výstavba diaľnic a rýchlostných ciest (NDS, a.s.)</t>
  </si>
  <si>
    <t>z toho:   Projekty PPP</t>
  </si>
  <si>
    <t>z toho:   Podpora obrany (SSC)</t>
  </si>
  <si>
    <t>z toho:   PJ - SSC         - ERDF 1. PO</t>
  </si>
  <si>
    <t>z toho:   PJ - SSC         - Spolufin. ERDF 1. PO</t>
  </si>
  <si>
    <t>z toho:   PJ - SSC         - ERDF 2. PO</t>
  </si>
  <si>
    <t>z toho:   PJ - SSC         - Spolufin. ERDF 2. PO</t>
  </si>
  <si>
    <t>z toho:   PJ - NDS, a.s. - ERDF 1. PO</t>
  </si>
  <si>
    <t>z toho:   PJ - NDS, a.s. - Spolufin. ERDF 1. PO</t>
  </si>
  <si>
    <t>z toho:   PJ - NDS, a.s. - ERDF 2. PO</t>
  </si>
  <si>
    <t>z toho:   PJ - NDS, a.s. - Spolufin. ERDF 2. PO</t>
  </si>
  <si>
    <t>z toho:   PJ - NDS, a.s. - Kohézny fond 1. PO</t>
  </si>
  <si>
    <t>z toho:   PJ - NDS, a.s. - spolufinancovanie KF 1. PO</t>
  </si>
  <si>
    <t>z toho:   PJ - NDS, a.s. - Kohézny fond 2. PO</t>
  </si>
  <si>
    <t>z toho:   PJ - NDS, a.s. - spolufinancovanie KF 2. PO</t>
  </si>
  <si>
    <t>04.5.1.1 SSC - Technická pomoc - Spolufin. ERDF 1. PO</t>
  </si>
  <si>
    <t>04.5.1.4 Slovenská správa ciest</t>
  </si>
  <si>
    <t>z toho: ŽS Slovensko, a.s. - BT, ZVVZ</t>
  </si>
  <si>
    <t>z toho: ŽS Cargo Slovakia, a.s.</t>
  </si>
  <si>
    <t>z toho: ŽS Slovensko, a.s. - Podpora obrany</t>
  </si>
  <si>
    <t>z toho: PJ - ŽSS, a.s. - ERDF 2. PO (mobil. park)</t>
  </si>
  <si>
    <t>z toho: PJ - ŽSS, a.s. - spolufin. ERDF 2. PO</t>
  </si>
  <si>
    <t>z toho: Železnice SR         - BT, ZVVZ</t>
  </si>
  <si>
    <t>z toho: Železnice SR         - Podpora obrany</t>
  </si>
  <si>
    <t>z toho: Tech. pomoc - ERDF 1. PO</t>
  </si>
  <si>
    <t>z toho: Tech. pomoc - Spolufin. ERDF 1. PO</t>
  </si>
  <si>
    <t>z toho: PJ - Železnice SR - ERDF 1. PO</t>
  </si>
  <si>
    <t>z toho: PJ - Železnice SR - spolufin. ERDF 1. PO</t>
  </si>
  <si>
    <t>z toho: PJ - Železnice SR - ERDF 2. PO</t>
  </si>
  <si>
    <t>z toho: PJ - Železnice SR - spolufin. ERDF 2. PO</t>
  </si>
  <si>
    <t>z toho: PJ - Železnice SR - KF 1. PO (Piešťany - N. Mesto n/V)</t>
  </si>
  <si>
    <t>z toho: PJ - Železnice SR - spolufinancovanie KF 1. PO</t>
  </si>
  <si>
    <t>z toho: PJ - Železnice SR - Kohézny fond 2. PO</t>
  </si>
  <si>
    <t>z toho: PJ - Železnice SR - spolufinancovanie KF 2. PO</t>
  </si>
  <si>
    <t>z toho: Železnice SR - prostr. zo ŠR (ostatné investičné akcie)</t>
  </si>
  <si>
    <t xml:space="preserve">z toho: Úrad pre reguláciu železničnej dopravy  </t>
  </si>
  <si>
    <t>z toho: PJ - Letiskové spoločnosti - ERDF 1. PO</t>
  </si>
  <si>
    <t xml:space="preserve">z toho: PJ - Letiskové spoločnosti - spoluf. ERDF 1. PO </t>
  </si>
  <si>
    <t>z toho: PJ - Intermodálna doprava - ERDF 2. PO</t>
  </si>
  <si>
    <t>z toho: PJ - Intermodálna doprava - spolufin. ERDF 2. PO</t>
  </si>
  <si>
    <t xml:space="preserve">04.8.5  Výskum a vývoj v oblasti dopravy              </t>
  </si>
  <si>
    <t xml:space="preserve">            Výskum a vývoj v oblasti komunikácií - Podpora obrany              </t>
  </si>
  <si>
    <t>Modernizáca železničných koridorov - ŽSR - ISPA</t>
  </si>
  <si>
    <t xml:space="preserve">ISPA </t>
  </si>
  <si>
    <t>VPS</t>
  </si>
  <si>
    <t xml:space="preserve">Projekty SPOLU: </t>
  </si>
  <si>
    <t>2002 SK 16 P PA 006 Technická pomoc dopravné projekty</t>
  </si>
  <si>
    <t>2003 SK 16 P PA 011 Odb. pomoc pre dopravné projekty kofin.z EÚ</t>
  </si>
  <si>
    <t>Spracované podľa listu MF SR č. MF/032679/2008-441 z 22.12.2008 - posledné RO MF SR č. 51</t>
  </si>
  <si>
    <t>Príloha č. 6 - Upravený rozpočet výdavkov kapitoly Ministerstva dopravy, pôšt a telekomunikácií SR k 31.12.2008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</si>
</sst>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"/>
      <family val="0"/>
    </font>
    <font>
      <b/>
      <sz val="14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b/>
      <sz val="13"/>
      <name val="Arial Narrow"/>
      <family val="2"/>
    </font>
    <font>
      <sz val="13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16" fontId="2" fillId="2" borderId="22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16" fontId="3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16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16" fontId="3" fillId="0" borderId="9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16" fontId="3" fillId="0" borderId="27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" fontId="3" fillId="0" borderId="15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4" fontId="2" fillId="3" borderId="11" xfId="0" applyNumberFormat="1" applyFont="1" applyFill="1" applyBorder="1" applyAlignment="1">
      <alignment vertical="center"/>
    </xf>
    <xf numFmtId="4" fontId="3" fillId="3" borderId="30" xfId="0" applyNumberFormat="1" applyFont="1" applyFill="1" applyBorder="1" applyAlignment="1">
      <alignment vertical="center"/>
    </xf>
    <xf numFmtId="4" fontId="3" fillId="3" borderId="26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3" borderId="11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2" borderId="22" xfId="0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vertical="center"/>
    </xf>
    <xf numFmtId="4" fontId="3" fillId="2" borderId="32" xfId="0" applyNumberFormat="1" applyFont="1" applyFill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4" fontId="3" fillId="3" borderId="33" xfId="0" applyNumberFormat="1" applyFont="1" applyFill="1" applyBorder="1" applyAlignment="1">
      <alignment vertical="center"/>
    </xf>
    <xf numFmtId="4" fontId="3" fillId="3" borderId="19" xfId="0" applyNumberFormat="1" applyFont="1" applyFill="1" applyBorder="1" applyAlignment="1">
      <alignment vertical="center"/>
    </xf>
    <xf numFmtId="4" fontId="3" fillId="3" borderId="28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" fontId="2" fillId="2" borderId="32" xfId="0" applyNumberFormat="1" applyFont="1" applyFill="1" applyBorder="1" applyAlignment="1">
      <alignment vertical="center"/>
    </xf>
    <xf numFmtId="4" fontId="2" fillId="2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2" fillId="2" borderId="25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4" fontId="2" fillId="4" borderId="22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4" fontId="3" fillId="4" borderId="31" xfId="0" applyNumberFormat="1" applyFont="1" applyFill="1" applyBorder="1" applyAlignment="1">
      <alignment vertical="center"/>
    </xf>
    <xf numFmtId="4" fontId="3" fillId="4" borderId="32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vertical="center"/>
    </xf>
    <xf numFmtId="4" fontId="3" fillId="4" borderId="25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4" fontId="2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4" fontId="3" fillId="5" borderId="12" xfId="0" applyNumberFormat="1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vertical="center"/>
    </xf>
    <xf numFmtId="4" fontId="3" fillId="5" borderId="30" xfId="0" applyNumberFormat="1" applyFont="1" applyFill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4" fontId="3" fillId="5" borderId="11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14" fontId="3" fillId="5" borderId="15" xfId="0" applyNumberFormat="1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" fontId="2" fillId="6" borderId="22" xfId="0" applyNumberFormat="1" applyFont="1" applyFill="1" applyBorder="1" applyAlignment="1">
      <alignment vertical="center"/>
    </xf>
    <xf numFmtId="4" fontId="2" fillId="6" borderId="35" xfId="0" applyNumberFormat="1" applyFont="1" applyFill="1" applyBorder="1" applyAlignment="1">
      <alignment vertical="center"/>
    </xf>
    <xf numFmtId="4" fontId="2" fillId="6" borderId="23" xfId="0" applyNumberFormat="1" applyFont="1" applyFill="1" applyBorder="1" applyAlignment="1">
      <alignment vertical="center"/>
    </xf>
    <xf numFmtId="4" fontId="2" fillId="6" borderId="31" xfId="0" applyNumberFormat="1" applyFont="1" applyFill="1" applyBorder="1" applyAlignment="1">
      <alignment vertical="center"/>
    </xf>
    <xf numFmtId="4" fontId="2" fillId="6" borderId="36" xfId="0" applyNumberFormat="1" applyFont="1" applyFill="1" applyBorder="1" applyAlignment="1">
      <alignment vertical="center"/>
    </xf>
    <xf numFmtId="4" fontId="2" fillId="6" borderId="3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6" fontId="2" fillId="3" borderId="2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3" fillId="3" borderId="39" xfId="0" applyNumberFormat="1" applyFont="1" applyFill="1" applyBorder="1" applyAlignment="1">
      <alignment vertical="center"/>
    </xf>
    <xf numFmtId="4" fontId="3" fillId="3" borderId="4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27" xfId="0" applyBorder="1" applyAlignment="1">
      <alignment/>
    </xf>
    <xf numFmtId="4" fontId="2" fillId="0" borderId="30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4" fontId="8" fillId="0" borderId="3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4" fontId="2" fillId="3" borderId="41" xfId="0" applyNumberFormat="1" applyFont="1" applyFill="1" applyBorder="1" applyAlignment="1">
      <alignment vertical="center"/>
    </xf>
    <xf numFmtId="4" fontId="3" fillId="3" borderId="42" xfId="0" applyNumberFormat="1" applyFont="1" applyFill="1" applyBorder="1" applyAlignment="1">
      <alignment vertical="center"/>
    </xf>
    <xf numFmtId="4" fontId="3" fillId="3" borderId="4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" fontId="2" fillId="3" borderId="38" xfId="0" applyNumberFormat="1" applyFont="1" applyFill="1" applyBorder="1" applyAlignment="1">
      <alignment vertical="center"/>
    </xf>
    <xf numFmtId="4" fontId="3" fillId="3" borderId="4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4" fillId="3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4" fontId="3" fillId="0" borderId="44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" fontId="2" fillId="7" borderId="22" xfId="0" applyNumberFormat="1" applyFont="1" applyFill="1" applyBorder="1" applyAlignment="1">
      <alignment vertical="center"/>
    </xf>
    <xf numFmtId="4" fontId="2" fillId="7" borderId="23" xfId="0" applyNumberFormat="1" applyFont="1" applyFill="1" applyBorder="1" applyAlignment="1">
      <alignment vertical="center"/>
    </xf>
    <xf numFmtId="4" fontId="2" fillId="7" borderId="25" xfId="0" applyNumberFormat="1" applyFont="1" applyFill="1" applyBorder="1" applyAlignment="1">
      <alignment vertical="center"/>
    </xf>
    <xf numFmtId="4" fontId="2" fillId="7" borderId="23" xfId="0" applyNumberFormat="1" applyFont="1" applyFill="1" applyBorder="1" applyAlignment="1">
      <alignment vertical="center"/>
    </xf>
    <xf numFmtId="4" fontId="2" fillId="7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/>
    </xf>
    <xf numFmtId="0" fontId="16" fillId="0" borderId="38" xfId="0" applyFont="1" applyBorder="1" applyAlignment="1">
      <alignment horizontal="left" vertical="center"/>
    </xf>
    <xf numFmtId="3" fontId="16" fillId="0" borderId="49" xfId="0" applyNumberFormat="1" applyFont="1" applyBorder="1" applyAlignment="1">
      <alignment horizontal="right" vertical="center"/>
    </xf>
    <xf numFmtId="4" fontId="16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4" fontId="16" fillId="0" borderId="36" xfId="0" applyNumberFormat="1" applyFont="1" applyBorder="1" applyAlignment="1">
      <alignment horizontal="right" vertical="center"/>
    </xf>
    <xf numFmtId="4" fontId="16" fillId="0" borderId="25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4" fontId="17" fillId="0" borderId="51" xfId="0" applyNumberFormat="1" applyFont="1" applyBorder="1" applyAlignment="1">
      <alignment/>
    </xf>
    <xf numFmtId="4" fontId="17" fillId="0" borderId="52" xfId="0" applyNumberFormat="1" applyFont="1" applyBorder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17" fillId="0" borderId="45" xfId="0" applyFont="1" applyBorder="1" applyAlignment="1">
      <alignment/>
    </xf>
    <xf numFmtId="4" fontId="17" fillId="0" borderId="53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3" fontId="1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9.710937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7.28125" style="0" bestFit="1" customWidth="1"/>
    <col min="6" max="6" width="18.57421875" style="0" customWidth="1"/>
    <col min="7" max="7" width="18.28125" style="0" customWidth="1"/>
    <col min="8" max="8" width="18.57421875" style="0" customWidth="1"/>
    <col min="9" max="9" width="11.7109375" style="0" bestFit="1" customWidth="1"/>
  </cols>
  <sheetData>
    <row r="1" spans="1:8" ht="19.5" customHeight="1">
      <c r="A1" s="258" t="s">
        <v>138</v>
      </c>
      <c r="B1" s="259"/>
      <c r="C1" s="259"/>
      <c r="D1" s="259"/>
      <c r="E1" s="259"/>
      <c r="F1" s="259"/>
      <c r="G1" s="259"/>
      <c r="H1" s="259"/>
    </row>
    <row r="2" spans="1:8" ht="14.25" customHeight="1">
      <c r="A2" s="259"/>
      <c r="B2" s="259"/>
      <c r="C2" s="259"/>
      <c r="D2" s="259"/>
      <c r="E2" s="259"/>
      <c r="F2" s="259"/>
      <c r="G2" s="259"/>
      <c r="H2" s="259"/>
    </row>
    <row r="3" spans="1:8" ht="16.5" customHeight="1" thickBot="1">
      <c r="A3" s="259"/>
      <c r="B3" s="259"/>
      <c r="C3" s="259"/>
      <c r="D3" s="259"/>
      <c r="E3" s="259"/>
      <c r="F3" s="259"/>
      <c r="G3" s="259"/>
      <c r="H3" s="259"/>
    </row>
    <row r="4" spans="1:8" ht="16.5" customHeight="1">
      <c r="A4" s="260"/>
      <c r="B4" s="260" t="s">
        <v>0</v>
      </c>
      <c r="C4" s="265" t="s">
        <v>1</v>
      </c>
      <c r="D4" s="268" t="s">
        <v>2</v>
      </c>
      <c r="E4" s="271" t="s">
        <v>3</v>
      </c>
      <c r="F4" s="274" t="s">
        <v>4</v>
      </c>
      <c r="G4" s="276" t="s">
        <v>5</v>
      </c>
      <c r="H4" s="279" t="s">
        <v>6</v>
      </c>
    </row>
    <row r="5" spans="1:8" ht="12.75">
      <c r="A5" s="261"/>
      <c r="B5" s="263"/>
      <c r="C5" s="266"/>
      <c r="D5" s="269"/>
      <c r="E5" s="272"/>
      <c r="F5" s="146"/>
      <c r="G5" s="277"/>
      <c r="H5" s="280"/>
    </row>
    <row r="6" spans="1:8" ht="16.5" customHeight="1" thickBot="1">
      <c r="A6" s="262"/>
      <c r="B6" s="264"/>
      <c r="C6" s="267"/>
      <c r="D6" s="270"/>
      <c r="E6" s="273"/>
      <c r="F6" s="275"/>
      <c r="G6" s="278"/>
      <c r="H6" s="281"/>
    </row>
    <row r="7" spans="1:8" ht="13.5" customHeight="1">
      <c r="A7" s="1" t="s">
        <v>7</v>
      </c>
      <c r="B7" s="2">
        <f>SUM(C7+D7+E7+F7)</f>
        <v>22035000</v>
      </c>
      <c r="C7" s="3"/>
      <c r="D7" s="4"/>
      <c r="E7" s="5"/>
      <c r="F7" s="6">
        <f>SUM(G7+H7)</f>
        <v>22035000</v>
      </c>
      <c r="G7" s="7">
        <f>4500000+17535000</f>
        <v>22035000</v>
      </c>
      <c r="H7" s="8"/>
    </row>
    <row r="8" spans="1:8" ht="13.5" customHeight="1">
      <c r="A8" s="9" t="s">
        <v>8</v>
      </c>
      <c r="B8" s="10">
        <f>SUM(C8+D8+E8+F8)</f>
        <v>44120000</v>
      </c>
      <c r="C8" s="11"/>
      <c r="D8" s="12"/>
      <c r="E8" s="13">
        <f>40000000+6000000+820000-2400000-300000</f>
        <v>44120000</v>
      </c>
      <c r="F8" s="14">
        <f>SUM(G8+H8)</f>
        <v>0</v>
      </c>
      <c r="G8" s="15"/>
      <c r="H8" s="16"/>
    </row>
    <row r="9" spans="1:8" ht="13.5" customHeight="1" thickBot="1">
      <c r="A9" s="17" t="s">
        <v>9</v>
      </c>
      <c r="B9" s="18">
        <f>SUM(C9+D9+E9+F9)</f>
        <v>696007272</v>
      </c>
      <c r="C9" s="19">
        <f>384630000+15373000+3936000+6562000+11043000+750000+500000-2594104</f>
        <v>420199896</v>
      </c>
      <c r="D9" s="20">
        <f>123851000+5373000+1272000+2179000+3885000+3666000+262000-1800000-178314</f>
        <v>138509686</v>
      </c>
      <c r="E9" s="21">
        <f>103000000+716376+3714000-283000+17264000+1800000+750000+178314+850000</f>
        <v>127989690</v>
      </c>
      <c r="F9" s="22">
        <f>SUM(G9+H9)</f>
        <v>9308000</v>
      </c>
      <c r="G9" s="23">
        <f>9100000+325000+383000-500000</f>
        <v>9308000</v>
      </c>
      <c r="H9" s="24"/>
    </row>
    <row r="10" spans="1:9" ht="13.5" customHeight="1" thickBot="1">
      <c r="A10" s="25" t="s">
        <v>10</v>
      </c>
      <c r="B10" s="26">
        <f aca="true" t="shared" si="0" ref="B10:H10">SUM(B11+B20+B21+B22+B23+B24+B25+B26+B27+B28+B29+B30+B31+B32+B33+B34+B35+B36)</f>
        <v>3091296787.3799996</v>
      </c>
      <c r="C10" s="27">
        <f t="shared" si="0"/>
        <v>355947623.6</v>
      </c>
      <c r="D10" s="28">
        <f t="shared" si="0"/>
        <v>124196672</v>
      </c>
      <c r="E10" s="28">
        <f t="shared" si="0"/>
        <v>1690993898.78</v>
      </c>
      <c r="F10" s="29">
        <f t="shared" si="0"/>
        <v>920158593</v>
      </c>
      <c r="G10" s="28">
        <f t="shared" si="0"/>
        <v>20158593</v>
      </c>
      <c r="H10" s="30">
        <f t="shared" si="0"/>
        <v>900000000</v>
      </c>
      <c r="I10" s="31" t="s">
        <v>11</v>
      </c>
    </row>
    <row r="11" spans="1:9" ht="12" customHeight="1">
      <c r="A11" s="32" t="s">
        <v>12</v>
      </c>
      <c r="B11" s="33">
        <f aca="true" t="shared" si="1" ref="B11:B36">SUM(C11+D11+E11+F11)</f>
        <v>194908883.3</v>
      </c>
      <c r="C11" s="34">
        <f>SUM(C12:C19)</f>
        <v>100689929.5</v>
      </c>
      <c r="D11" s="35">
        <f>SUM(D12:D19)</f>
        <v>36773524</v>
      </c>
      <c r="E11" s="36">
        <f>SUM(E12:E19)</f>
        <v>48905836.8</v>
      </c>
      <c r="F11" s="37">
        <f aca="true" t="shared" si="2" ref="F11:F36">SUM(G11+H11)</f>
        <v>8539593</v>
      </c>
      <c r="G11" s="36">
        <f>SUM(G12:G19)</f>
        <v>8539593</v>
      </c>
      <c r="H11" s="38">
        <f>SUM(H12:H19)</f>
        <v>0</v>
      </c>
      <c r="I11" s="39">
        <f>SUM(I12:I19)</f>
        <v>7869000</v>
      </c>
    </row>
    <row r="12" spans="1:9" ht="12" customHeight="1">
      <c r="A12" s="40" t="s">
        <v>13</v>
      </c>
      <c r="B12" s="41">
        <f t="shared" si="1"/>
        <v>23499128</v>
      </c>
      <c r="C12" s="3">
        <f>11002000+185000+398000+305000</f>
        <v>11890000</v>
      </c>
      <c r="D12" s="4">
        <f>3845000+65000+139101</f>
        <v>4049101</v>
      </c>
      <c r="E12" s="5">
        <f>5814000+800000-11473+50000-86912</f>
        <v>6565615</v>
      </c>
      <c r="F12" s="42">
        <f t="shared" si="2"/>
        <v>994412</v>
      </c>
      <c r="G12" s="7">
        <f>95000+193000+924500-218088</f>
        <v>994412</v>
      </c>
      <c r="H12" s="8"/>
      <c r="I12" s="43">
        <v>924500</v>
      </c>
    </row>
    <row r="13" spans="1:9" ht="11.25" customHeight="1">
      <c r="A13" s="44" t="s">
        <v>14</v>
      </c>
      <c r="B13" s="41">
        <f t="shared" si="1"/>
        <v>19239164</v>
      </c>
      <c r="C13" s="3">
        <f>9519000+96000+349000+390790</f>
        <v>10354790</v>
      </c>
      <c r="D13" s="4">
        <f>3327000+33000+121976+141000+254000</f>
        <v>3876976</v>
      </c>
      <c r="E13" s="13">
        <f>4718000-18102+50000-625000</f>
        <v>4124898</v>
      </c>
      <c r="F13" s="14">
        <f t="shared" si="2"/>
        <v>882500</v>
      </c>
      <c r="G13" s="7">
        <f>80000+141000+802500-141000</f>
        <v>882500</v>
      </c>
      <c r="H13" s="45"/>
      <c r="I13" s="43">
        <v>802500</v>
      </c>
    </row>
    <row r="14" spans="1:9" ht="11.25" customHeight="1">
      <c r="A14" s="46" t="s">
        <v>15</v>
      </c>
      <c r="B14" s="41">
        <f t="shared" si="1"/>
        <v>23518387</v>
      </c>
      <c r="C14" s="3">
        <f>10912000+213000+361000+249000</f>
        <v>11735000</v>
      </c>
      <c r="D14" s="4">
        <f>3814000+74000+126170+221000+98000</f>
        <v>4333170</v>
      </c>
      <c r="E14" s="47">
        <f>5424000+500000-5099-221000+50000+692325+230775-194000-165284</f>
        <v>6311717</v>
      </c>
      <c r="F14" s="14">
        <f t="shared" si="2"/>
        <v>1138500</v>
      </c>
      <c r="G14" s="7">
        <f>82000+179000+1030500-153000</f>
        <v>1138500</v>
      </c>
      <c r="H14" s="48"/>
      <c r="I14" s="43">
        <v>1030500</v>
      </c>
    </row>
    <row r="15" spans="1:9" ht="12" customHeight="1">
      <c r="A15" s="44" t="s">
        <v>16</v>
      </c>
      <c r="B15" s="41">
        <f t="shared" si="1"/>
        <v>20535562</v>
      </c>
      <c r="C15" s="3">
        <f>10095000+91000+338000+141000</f>
        <v>10665000</v>
      </c>
      <c r="D15" s="4">
        <f>3528000+32000+118131+228779-28223</f>
        <v>3878687</v>
      </c>
      <c r="E15" s="13">
        <f>4859000-13768+50000-120000+191647</f>
        <v>4966879</v>
      </c>
      <c r="F15" s="14">
        <f t="shared" si="2"/>
        <v>1024996</v>
      </c>
      <c r="G15" s="7">
        <f>86000+140000+873500+88920-163424</f>
        <v>1024996</v>
      </c>
      <c r="H15" s="45"/>
      <c r="I15" s="43">
        <v>873500</v>
      </c>
    </row>
    <row r="16" spans="1:9" ht="12.75" customHeight="1">
      <c r="A16" s="46" t="s">
        <v>17</v>
      </c>
      <c r="B16" s="41">
        <f t="shared" si="1"/>
        <v>26687622</v>
      </c>
      <c r="C16" s="3">
        <f>13447000+127000+371000+200000</f>
        <v>14145000</v>
      </c>
      <c r="D16" s="4">
        <f>4700000+44000+129665+165000+42000-17376</f>
        <v>5063289</v>
      </c>
      <c r="E16" s="47">
        <f>6554000-38243+50000-165000-140000+209164</f>
        <v>6469921</v>
      </c>
      <c r="F16" s="14">
        <f t="shared" si="2"/>
        <v>1009412</v>
      </c>
      <c r="G16" s="7">
        <f>92000+183000+956200-30000-191788</f>
        <v>1009412</v>
      </c>
      <c r="H16" s="48"/>
      <c r="I16" s="43">
        <v>956200</v>
      </c>
    </row>
    <row r="17" spans="1:9" ht="12" customHeight="1">
      <c r="A17" s="44" t="s">
        <v>18</v>
      </c>
      <c r="B17" s="41">
        <f t="shared" si="1"/>
        <v>25654674</v>
      </c>
      <c r="C17" s="3">
        <f>12779000+112000+361000+250000</f>
        <v>13502000</v>
      </c>
      <c r="D17" s="4">
        <f>4466000+39000+126170+333000</f>
        <v>4964170</v>
      </c>
      <c r="E17" s="13">
        <f>6215000-25496+50000-192000+6589</f>
        <v>6054093</v>
      </c>
      <c r="F17" s="14">
        <f t="shared" si="2"/>
        <v>1134411</v>
      </c>
      <c r="G17" s="7">
        <f>90000+185000+1007000-141000-6589</f>
        <v>1134411</v>
      </c>
      <c r="H17" s="45"/>
      <c r="I17" s="43">
        <v>1007000</v>
      </c>
    </row>
    <row r="18" spans="1:9" ht="11.25" customHeight="1">
      <c r="A18" s="46" t="s">
        <v>19</v>
      </c>
      <c r="B18" s="41">
        <f t="shared" si="1"/>
        <v>26189548.3</v>
      </c>
      <c r="C18" s="3">
        <f>12894000+111000+382000+3825.5+654314</f>
        <v>14045139.5</v>
      </c>
      <c r="D18" s="4">
        <f>4506000+39000+133509+399491+1340+228335+30438</f>
        <v>5338113</v>
      </c>
      <c r="E18" s="47">
        <f>6328000-30595-169491+319.8-500000</f>
        <v>5628233.8</v>
      </c>
      <c r="F18" s="14">
        <f t="shared" si="2"/>
        <v>1178062</v>
      </c>
      <c r="G18" s="49">
        <f>98000+184000+1156500-230000-30438</f>
        <v>1178062</v>
      </c>
      <c r="H18" s="48"/>
      <c r="I18" s="43">
        <v>1156500</v>
      </c>
    </row>
    <row r="19" spans="1:9" ht="12" customHeight="1">
      <c r="A19" s="50" t="s">
        <v>20</v>
      </c>
      <c r="B19" s="18">
        <f t="shared" si="1"/>
        <v>29584798</v>
      </c>
      <c r="C19" s="19">
        <f>13464000+125000+360000+404000</f>
        <v>14353000</v>
      </c>
      <c r="D19" s="20">
        <f>4706000+43000+125820+154000+141198+125000-25000</f>
        <v>5270018</v>
      </c>
      <c r="E19" s="21">
        <f>6554000+890000-28045+30000+50000+1450500+483500-300000+68000-90000-323475</f>
        <v>8784480</v>
      </c>
      <c r="F19" s="51">
        <f t="shared" si="2"/>
        <v>1177300</v>
      </c>
      <c r="G19" s="23">
        <f>102000+184000+1118300-184000-43000</f>
        <v>1177300</v>
      </c>
      <c r="H19" s="24"/>
      <c r="I19" s="43">
        <v>1118300</v>
      </c>
    </row>
    <row r="20" spans="1:9" ht="13.5" customHeight="1">
      <c r="A20" s="52" t="s">
        <v>21</v>
      </c>
      <c r="B20" s="53">
        <f>SUM(C20+D20+E20+F20)</f>
        <v>343909394</v>
      </c>
      <c r="C20" s="54">
        <f>117696000+2453000+234000+1112000+2779000-2392000</f>
        <v>121882000</v>
      </c>
      <c r="D20" s="55">
        <f>41136000-110000+34100+1361000-836000-1600000</f>
        <v>39985100</v>
      </c>
      <c r="E20" s="56">
        <f>253380000-5000000-716376-3900000-5981000-9000000-1112000-1207200-6385000-811000-657000-57500000-6000000-820000-262000-750000-2281000-684542-2933256-520000-140000-350000+2500000+7155900+800000+218088+86912+371000-197699+249000+128000+271665+158802-125000+16200000+1600000-850000</f>
        <v>174936294</v>
      </c>
      <c r="F20" s="57">
        <f t="shared" si="2"/>
        <v>7106000</v>
      </c>
      <c r="G20" s="58">
        <f>13000000+3055000-7869000-400000-650000-30000</f>
        <v>7106000</v>
      </c>
      <c r="H20" s="59"/>
      <c r="I20" s="43">
        <v>0</v>
      </c>
    </row>
    <row r="21" spans="1:8" ht="12" customHeight="1">
      <c r="A21" s="1" t="s">
        <v>22</v>
      </c>
      <c r="B21" s="60">
        <f>SUM(C21:F21)</f>
        <v>25557775.21</v>
      </c>
      <c r="C21" s="3">
        <f>3037106.02+3371881.38+6878723.66</f>
        <v>13287711.06</v>
      </c>
      <c r="D21" s="5">
        <f>1018156.19+1151783.48+2346863.42</f>
        <v>4516803.09</v>
      </c>
      <c r="E21" s="13">
        <f>223031.25+277604.02+202308.37+743479.27+1953197.62+1131742.89+1758225+2622165+86295.89+103411.8+552937.27+144286.05+330541.72+555522.41-2931487.5</f>
        <v>7753261.060000002</v>
      </c>
      <c r="F21" s="61">
        <f>SUM(G21:H21)</f>
        <v>0</v>
      </c>
      <c r="G21" s="7"/>
      <c r="H21" s="8"/>
    </row>
    <row r="22" spans="1:8" ht="11.25" customHeight="1">
      <c r="A22" s="9" t="s">
        <v>23</v>
      </c>
      <c r="B22" s="60">
        <f>SUM(C22:F22)</f>
        <v>9496421.06</v>
      </c>
      <c r="C22" s="3">
        <f>1012368.68+1123960.47+2292907.89</f>
        <v>4429237.04</v>
      </c>
      <c r="D22" s="5">
        <f>339385.41+383927.87+782287.83</f>
        <v>1505601.1099999999</v>
      </c>
      <c r="E22" s="13">
        <f>74343.75+92534.68+67436.13+247826.43+651065.88+377247.63+586075+874055+28765.31+34470.6+184312.43+48095.35+110180.58+185174.14</f>
        <v>3561582.9100000006</v>
      </c>
      <c r="F22" s="61">
        <f>SUM(G22:H22)</f>
        <v>0</v>
      </c>
      <c r="G22" s="7"/>
      <c r="H22" s="8"/>
    </row>
    <row r="23" spans="1:8" ht="12" customHeight="1">
      <c r="A23" s="1" t="s">
        <v>24</v>
      </c>
      <c r="B23" s="60">
        <f>SUM(C23:F23)</f>
        <v>9997762.03</v>
      </c>
      <c r="C23" s="3"/>
      <c r="D23" s="5"/>
      <c r="E23" s="13">
        <f>578000+315873.73+26015.1+136000+178006.57+1001385+955867.5+797719.47+6279644.44+21391.69-292141.47</f>
        <v>9997762.03</v>
      </c>
      <c r="F23" s="61">
        <f>SUM(G23:H23)</f>
        <v>0</v>
      </c>
      <c r="G23" s="7"/>
      <c r="H23" s="8"/>
    </row>
    <row r="24" spans="1:8" ht="12.75" customHeight="1">
      <c r="A24" s="9" t="s">
        <v>25</v>
      </c>
      <c r="B24" s="60">
        <f>SUM(C24:F24)</f>
        <v>1764310.9800000002</v>
      </c>
      <c r="C24" s="3"/>
      <c r="D24" s="5"/>
      <c r="E24" s="13">
        <f>102000+55742.43+4590.9+24000+31412.93+176715+168682.5+140774.03+1108172.56+3775.01-51554.38</f>
        <v>1764310.9800000002</v>
      </c>
      <c r="F24" s="61">
        <f>SUM(G24:H24)</f>
        <v>0</v>
      </c>
      <c r="G24" s="7"/>
      <c r="H24" s="8"/>
    </row>
    <row r="25" spans="1:8" ht="12" customHeight="1">
      <c r="A25" s="9" t="s">
        <v>26</v>
      </c>
      <c r="B25" s="41">
        <f t="shared" si="1"/>
        <v>7.130438461899757E-10</v>
      </c>
      <c r="C25" s="3">
        <f>902043.17+14526000-416809.5-3037106.02-1308386.18-3371881.38-6878723.66-415136.43</f>
        <v>6.402842700481415E-10</v>
      </c>
      <c r="D25" s="5">
        <f>4680000-141482.83-1018156.19-1151783.48-2346863.42-21714.08</f>
        <v>7.275957614183426E-11</v>
      </c>
      <c r="E25" s="13">
        <f>48808000+30258573.5-34282000-14526000-223031.25-4680000-11007381.6-277604.02-202308.37-743479.27-1953197.62-612000-1131742.89-1758225-2622165-86295.89-103411.8-552937.27-144286.05-330541.72-2973465.75-555522.41+2931487.5-3232465.09</f>
        <v>0</v>
      </c>
      <c r="F25" s="61">
        <f t="shared" si="2"/>
        <v>0</v>
      </c>
      <c r="G25" s="7"/>
      <c r="H25" s="8"/>
    </row>
    <row r="26" spans="1:8" ht="12" customHeight="1">
      <c r="A26" s="9" t="s">
        <v>27</v>
      </c>
      <c r="B26" s="10">
        <f t="shared" si="1"/>
        <v>2.355591277591884E-09</v>
      </c>
      <c r="C26" s="11">
        <f>300681.03+4842000-138936.5-1012368.68-436128.72-1123960.47-2292907.89-138378.77</f>
        <v>0</v>
      </c>
      <c r="D26" s="12">
        <f>1560000-47160.97-339385.41-383927.87-782287.83-7237.92</f>
        <v>1.5825207810848951E-10</v>
      </c>
      <c r="E26" s="13">
        <f>32923000+9990432.81-19988000-4842000-74343.75-1560000-3669127.2-92534.68-67436.13-247826.43-651065.88-204000-377247.63-586075-874055-28765.31-34470.6-184312.43-48095.35-110180.58-895396.84-185174.14-8093000-100325.86</f>
        <v>2.1973391994833946E-09</v>
      </c>
      <c r="F26" s="62">
        <f t="shared" si="2"/>
        <v>0</v>
      </c>
      <c r="G26" s="63"/>
      <c r="H26" s="45"/>
    </row>
    <row r="27" spans="1:8" ht="12.75" customHeight="1">
      <c r="A27" s="1" t="s">
        <v>28</v>
      </c>
      <c r="B27" s="10">
        <f t="shared" si="1"/>
        <v>0</v>
      </c>
      <c r="C27" s="11">
        <f>29787750-29787750</f>
        <v>0</v>
      </c>
      <c r="D27" s="12">
        <f>9929250-9929250</f>
        <v>0</v>
      </c>
      <c r="E27" s="13">
        <f>75417000-315873.73-578000-26015.1-136000-178006.57-29787750-9929250-1001385-955867.5-797719.47-6279644.44-21391.69-25410096.5</f>
        <v>0</v>
      </c>
      <c r="F27" s="62">
        <f t="shared" si="2"/>
        <v>0</v>
      </c>
      <c r="G27" s="64"/>
      <c r="H27" s="65"/>
    </row>
    <row r="28" spans="1:8" ht="12" customHeight="1">
      <c r="A28" s="66" t="s">
        <v>29</v>
      </c>
      <c r="B28" s="10">
        <f t="shared" si="1"/>
        <v>0</v>
      </c>
      <c r="C28" s="93">
        <f>5256750-5256750</f>
        <v>0</v>
      </c>
      <c r="D28" s="88">
        <f>1752250-1752250</f>
        <v>0</v>
      </c>
      <c r="E28" s="47">
        <f>13309000-55742.43-102000-4590.9-24000-31412.93-5256750-1752250-176715-168682.5-140774.03-1108172.56-3775.01-4484134.64</f>
        <v>0</v>
      </c>
      <c r="F28" s="62">
        <f t="shared" si="2"/>
        <v>0</v>
      </c>
      <c r="G28" s="49"/>
      <c r="H28" s="48"/>
    </row>
    <row r="29" spans="1:8" ht="15" customHeight="1">
      <c r="A29" s="52" t="s">
        <v>30</v>
      </c>
      <c r="B29" s="67">
        <f t="shared" si="1"/>
        <v>1086940539</v>
      </c>
      <c r="C29" s="54"/>
      <c r="D29" s="55"/>
      <c r="E29" s="56">
        <f>730000000+300000000-30000000-10000000+100000000-3059461</f>
        <v>1086940539</v>
      </c>
      <c r="F29" s="68">
        <f t="shared" si="2"/>
        <v>0</v>
      </c>
      <c r="G29" s="58"/>
      <c r="H29" s="59"/>
    </row>
    <row r="30" spans="1:8" ht="14.25" customHeight="1">
      <c r="A30" s="52" t="s">
        <v>31</v>
      </c>
      <c r="B30" s="67">
        <f t="shared" si="1"/>
        <v>900000000</v>
      </c>
      <c r="C30" s="34"/>
      <c r="D30" s="69"/>
      <c r="E30" s="70"/>
      <c r="F30" s="68">
        <f t="shared" si="2"/>
        <v>900000000</v>
      </c>
      <c r="G30" s="71"/>
      <c r="H30" s="72">
        <f>960000000-60000000</f>
        <v>900000000</v>
      </c>
    </row>
    <row r="31" spans="1:8" ht="14.25" customHeight="1">
      <c r="A31" s="73" t="s">
        <v>32</v>
      </c>
      <c r="B31" s="67">
        <f t="shared" si="1"/>
        <v>349397000</v>
      </c>
      <c r="C31" s="34">
        <v>9764000</v>
      </c>
      <c r="D31" s="69">
        <v>3413000</v>
      </c>
      <c r="E31" s="70">
        <f>200000000+250000000-58507918-55272082</f>
        <v>336220000</v>
      </c>
      <c r="F31" s="68">
        <f t="shared" si="2"/>
        <v>0</v>
      </c>
      <c r="G31" s="71"/>
      <c r="H31" s="72"/>
    </row>
    <row r="32" spans="1:8" s="74" customFormat="1" ht="12.75" customHeight="1">
      <c r="A32" s="1" t="s">
        <v>33</v>
      </c>
      <c r="B32" s="10">
        <f t="shared" si="1"/>
        <v>0</v>
      </c>
      <c r="C32" s="3">
        <f>1308386.18-1308386.18</f>
        <v>0</v>
      </c>
      <c r="D32" s="5">
        <f>612000-612000</f>
        <v>0</v>
      </c>
      <c r="E32" s="5"/>
      <c r="F32" s="14">
        <f t="shared" si="2"/>
        <v>0</v>
      </c>
      <c r="G32" s="7"/>
      <c r="H32" s="8"/>
    </row>
    <row r="33" spans="1:8" s="74" customFormat="1" ht="13.5" customHeight="1">
      <c r="A33" s="9" t="s">
        <v>34</v>
      </c>
      <c r="B33" s="10">
        <f t="shared" si="1"/>
        <v>0</v>
      </c>
      <c r="C33" s="3">
        <f>436128.72-436128.72</f>
        <v>0</v>
      </c>
      <c r="D33" s="5">
        <f>204000-204000</f>
        <v>0</v>
      </c>
      <c r="E33" s="5"/>
      <c r="F33" s="14">
        <f t="shared" si="2"/>
        <v>0</v>
      </c>
      <c r="G33" s="7"/>
      <c r="H33" s="8"/>
    </row>
    <row r="34" spans="1:8" s="74" customFormat="1" ht="13.5" customHeight="1">
      <c r="A34" s="1" t="s">
        <v>35</v>
      </c>
      <c r="B34" s="10">
        <f t="shared" si="1"/>
        <v>558292.33</v>
      </c>
      <c r="C34" s="3">
        <f>416809.5</f>
        <v>416809.5</v>
      </c>
      <c r="D34" s="5">
        <f>141482.83</f>
        <v>141482.83</v>
      </c>
      <c r="E34" s="5"/>
      <c r="F34" s="14">
        <f t="shared" si="2"/>
        <v>0</v>
      </c>
      <c r="G34" s="7"/>
      <c r="H34" s="8"/>
    </row>
    <row r="35" spans="1:8" s="74" customFormat="1" ht="11.25" customHeight="1">
      <c r="A35" s="9" t="s">
        <v>36</v>
      </c>
      <c r="B35" s="10">
        <f t="shared" si="1"/>
        <v>186097.47</v>
      </c>
      <c r="C35" s="3">
        <f>138936.5</f>
        <v>138936.5</v>
      </c>
      <c r="D35" s="5">
        <f>47160.97</f>
        <v>47160.97</v>
      </c>
      <c r="E35" s="5"/>
      <c r="F35" s="14">
        <f t="shared" si="2"/>
        <v>0</v>
      </c>
      <c r="G35" s="7"/>
      <c r="H35" s="8"/>
    </row>
    <row r="36" spans="1:8" ht="13.5" customHeight="1" thickBot="1">
      <c r="A36" s="73" t="s">
        <v>37</v>
      </c>
      <c r="B36" s="33">
        <f t="shared" si="1"/>
        <v>168580312</v>
      </c>
      <c r="C36" s="34">
        <f>99204000+2280000+3855000</f>
        <v>105339000</v>
      </c>
      <c r="D36" s="69">
        <f>34672000+797000+1345000+1000000</f>
        <v>37814000</v>
      </c>
      <c r="E36" s="70">
        <f>17002000-2400000+10000000+1135252-1345000-3855000+55695+410540-89175</f>
        <v>20914312</v>
      </c>
      <c r="F36" s="37">
        <f t="shared" si="2"/>
        <v>4513000</v>
      </c>
      <c r="G36" s="71">
        <f>1000000+1113000+2400000</f>
        <v>4513000</v>
      </c>
      <c r="H36" s="72"/>
    </row>
    <row r="37" spans="1:8" ht="13.5" customHeight="1" thickBot="1">
      <c r="A37" s="75" t="s">
        <v>38</v>
      </c>
      <c r="B37" s="26">
        <f>SUM(B38)</f>
        <v>47196713</v>
      </c>
      <c r="C37" s="27">
        <f aca="true" t="shared" si="3" ref="C37:H37">SUM(C38)</f>
        <v>20491200</v>
      </c>
      <c r="D37" s="76">
        <f t="shared" si="3"/>
        <v>7162000</v>
      </c>
      <c r="E37" s="77">
        <f t="shared" si="3"/>
        <v>19049313</v>
      </c>
      <c r="F37" s="78">
        <f t="shared" si="3"/>
        <v>494200</v>
      </c>
      <c r="G37" s="77">
        <f t="shared" si="3"/>
        <v>494200</v>
      </c>
      <c r="H37" s="30">
        <f t="shared" si="3"/>
        <v>0</v>
      </c>
    </row>
    <row r="38" spans="1:8" ht="13.5" customHeight="1" thickBot="1">
      <c r="A38" s="79" t="s">
        <v>39</v>
      </c>
      <c r="B38" s="80">
        <f aca="true" t="shared" si="4" ref="B38:B60">SUM(C38+D38+E38+F38)</f>
        <v>47196713</v>
      </c>
      <c r="C38" s="3">
        <f>19146000+138000+1207200</f>
        <v>20491200</v>
      </c>
      <c r="D38" s="4">
        <f>6692000+48000+422000</f>
        <v>7162000</v>
      </c>
      <c r="E38" s="5">
        <f>13057000+5981000-76487+102800-15000</f>
        <v>19049313</v>
      </c>
      <c r="F38" s="42">
        <f>SUM(G38+H38)</f>
        <v>494200</v>
      </c>
      <c r="G38" s="7">
        <f>200000+382000-102800+15000</f>
        <v>494200</v>
      </c>
      <c r="H38" s="8"/>
    </row>
    <row r="39" spans="1:8" ht="13.5" customHeight="1" thickBot="1">
      <c r="A39" s="75" t="s">
        <v>40</v>
      </c>
      <c r="B39" s="26">
        <f t="shared" si="4"/>
        <v>11529581640</v>
      </c>
      <c r="C39" s="27">
        <f>SUM(C40:C45)</f>
        <v>24869000</v>
      </c>
      <c r="D39" s="28">
        <f>SUM(D40:D45)</f>
        <v>9092000</v>
      </c>
      <c r="E39" s="76">
        <f>SUM(E40:E45)</f>
        <v>9056558</v>
      </c>
      <c r="F39" s="78">
        <f>SUM(G39:H39)</f>
        <v>11486564082</v>
      </c>
      <c r="G39" s="77">
        <f>SUM(G40:G45)</f>
        <v>859000</v>
      </c>
      <c r="H39" s="30">
        <f>SUM(H40:H45)</f>
        <v>11485705082</v>
      </c>
    </row>
    <row r="40" spans="1:8" ht="13.5" customHeight="1">
      <c r="A40" s="81" t="s">
        <v>41</v>
      </c>
      <c r="B40" s="33">
        <f t="shared" si="4"/>
        <v>5000000000</v>
      </c>
      <c r="C40" s="82"/>
      <c r="D40" s="83"/>
      <c r="E40" s="84"/>
      <c r="F40" s="37">
        <f aca="true" t="shared" si="5" ref="F40:F46">SUM(G40+H40)</f>
        <v>5000000000</v>
      </c>
      <c r="G40" s="85"/>
      <c r="H40" s="86">
        <f>4500000000+500000000</f>
        <v>5000000000</v>
      </c>
    </row>
    <row r="41" spans="1:8" ht="13.5" customHeight="1">
      <c r="A41" s="9" t="s">
        <v>42</v>
      </c>
      <c r="B41" s="80">
        <f t="shared" si="4"/>
        <v>705272082</v>
      </c>
      <c r="C41" s="11"/>
      <c r="D41" s="12"/>
      <c r="E41" s="13"/>
      <c r="F41" s="22">
        <f t="shared" si="5"/>
        <v>705272082</v>
      </c>
      <c r="G41" s="63"/>
      <c r="H41" s="45">
        <f>650000000+55272082</f>
        <v>705272082</v>
      </c>
    </row>
    <row r="42" spans="1:8" ht="13.5" customHeight="1">
      <c r="A42" s="87" t="s">
        <v>43</v>
      </c>
      <c r="B42" s="10">
        <f t="shared" si="4"/>
        <v>0</v>
      </c>
      <c r="C42" s="11"/>
      <c r="D42" s="12"/>
      <c r="E42" s="13"/>
      <c r="F42" s="14">
        <f t="shared" si="5"/>
        <v>0</v>
      </c>
      <c r="G42" s="63"/>
      <c r="H42" s="45">
        <v>0</v>
      </c>
    </row>
    <row r="43" spans="1:8" ht="13.5" customHeight="1">
      <c r="A43" s="52" t="s">
        <v>44</v>
      </c>
      <c r="B43" s="67">
        <f t="shared" si="4"/>
        <v>5775433000</v>
      </c>
      <c r="C43" s="54"/>
      <c r="D43" s="55"/>
      <c r="E43" s="56"/>
      <c r="F43" s="68">
        <f t="shared" si="5"/>
        <v>5775433000</v>
      </c>
      <c r="G43" s="58"/>
      <c r="H43" s="59">
        <f>2400000000+1200000000+500000000+1200000000+475433000</f>
        <v>5775433000</v>
      </c>
    </row>
    <row r="44" spans="1:8" ht="13.5" customHeight="1">
      <c r="A44" s="87" t="s">
        <v>45</v>
      </c>
      <c r="B44" s="10">
        <f t="shared" si="4"/>
        <v>5000000</v>
      </c>
      <c r="C44" s="11"/>
      <c r="D44" s="4"/>
      <c r="E44" s="13"/>
      <c r="F44" s="14">
        <f t="shared" si="5"/>
        <v>5000000</v>
      </c>
      <c r="G44" s="63"/>
      <c r="H44" s="45">
        <v>5000000</v>
      </c>
    </row>
    <row r="45" spans="1:8" ht="13.5" customHeight="1">
      <c r="A45" s="87" t="s">
        <v>46</v>
      </c>
      <c r="B45" s="10">
        <f t="shared" si="4"/>
        <v>43876558</v>
      </c>
      <c r="C45" s="11">
        <f>24680000+189000+16210000-6562000-2779000-2474000-3356000-400000-639000</f>
        <v>24869000</v>
      </c>
      <c r="D45" s="4">
        <f>8626000+66000+5665000-2179000-865000-1173000-972000-140000-336000+400000</f>
        <v>9092000</v>
      </c>
      <c r="E45" s="13">
        <f>15588000-5000000-331442-800000-400000</f>
        <v>9056558</v>
      </c>
      <c r="F45" s="14">
        <f t="shared" si="5"/>
        <v>859000</v>
      </c>
      <c r="G45" s="63">
        <f>400000+459000</f>
        <v>859000</v>
      </c>
      <c r="H45" s="45"/>
    </row>
    <row r="46" spans="1:8" ht="13.5" customHeight="1" thickBot="1">
      <c r="A46" s="87" t="s">
        <v>47</v>
      </c>
      <c r="B46" s="80">
        <f t="shared" si="4"/>
        <v>0</v>
      </c>
      <c r="C46" s="11">
        <f>17506000-1296000-6562000-2779000-2474000-3356000-400000-639000</f>
        <v>0</v>
      </c>
      <c r="D46" s="88">
        <f>6118000-453000-2179000-865000-1173000-972000-140000-336000</f>
        <v>0</v>
      </c>
      <c r="E46" s="13">
        <v>0</v>
      </c>
      <c r="F46" s="89">
        <f t="shared" si="5"/>
        <v>0</v>
      </c>
      <c r="G46" s="63">
        <v>0</v>
      </c>
      <c r="H46" s="45"/>
    </row>
    <row r="47" spans="1:8" ht="13.5" customHeight="1" thickBot="1">
      <c r="A47" s="75" t="s">
        <v>48</v>
      </c>
      <c r="B47" s="26">
        <f t="shared" si="4"/>
        <v>234119117</v>
      </c>
      <c r="C47" s="27">
        <f>SUM(C48+C49+C50)</f>
        <v>28283000</v>
      </c>
      <c r="D47" s="28">
        <f>SUM(D48+D49+D50)</f>
        <v>10605000</v>
      </c>
      <c r="E47" s="28">
        <f>SUM(E48+E49+E50)</f>
        <v>33901117</v>
      </c>
      <c r="F47" s="78">
        <f>SUM(G47:H47)</f>
        <v>161330000</v>
      </c>
      <c r="G47" s="90">
        <f>SUM(G48+G49+G50)</f>
        <v>430000</v>
      </c>
      <c r="H47" s="91">
        <f>SUM(H48+H49+H50)</f>
        <v>160900000</v>
      </c>
    </row>
    <row r="48" spans="1:8" ht="13.5" customHeight="1">
      <c r="A48" s="92" t="s">
        <v>49</v>
      </c>
      <c r="B48" s="80">
        <f t="shared" si="4"/>
        <v>160900000</v>
      </c>
      <c r="C48" s="93"/>
      <c r="D48" s="88"/>
      <c r="E48" s="47"/>
      <c r="F48" s="6">
        <f aca="true" t="shared" si="6" ref="F48:F60">SUM(G48+H48)</f>
        <v>160900000</v>
      </c>
      <c r="G48" s="49"/>
      <c r="H48" s="48">
        <f>85000000+15000000+57500000+400000+3000000</f>
        <v>160900000</v>
      </c>
    </row>
    <row r="49" spans="1:8" ht="13.5" customHeight="1">
      <c r="A49" s="87" t="s">
        <v>50</v>
      </c>
      <c r="B49" s="10">
        <f t="shared" si="4"/>
        <v>0</v>
      </c>
      <c r="C49" s="11"/>
      <c r="D49" s="12"/>
      <c r="E49" s="13"/>
      <c r="F49" s="14">
        <f t="shared" si="6"/>
        <v>0</v>
      </c>
      <c r="G49" s="63"/>
      <c r="H49" s="45"/>
    </row>
    <row r="50" spans="1:8" ht="13.5" customHeight="1" thickBot="1">
      <c r="A50" s="92" t="s">
        <v>51</v>
      </c>
      <c r="B50" s="80">
        <f t="shared" si="4"/>
        <v>73219117</v>
      </c>
      <c r="C50" s="93">
        <f>24182000+745000+3356000</f>
        <v>28283000</v>
      </c>
      <c r="D50" s="4">
        <f>8452000+260000+1173000+900000-180000</f>
        <v>10605000</v>
      </c>
      <c r="E50" s="47">
        <f>25270000+3900000+2500000-1228883+520000-900000+140000+650000+2000000+50000+1000000</f>
        <v>33901117</v>
      </c>
      <c r="F50" s="22">
        <f t="shared" si="6"/>
        <v>430000</v>
      </c>
      <c r="G50" s="49">
        <f>300000-50000+180000</f>
        <v>430000</v>
      </c>
      <c r="H50" s="48"/>
    </row>
    <row r="51" spans="1:8" ht="13.5" customHeight="1" thickBot="1">
      <c r="A51" s="75" t="s">
        <v>52</v>
      </c>
      <c r="B51" s="26">
        <f t="shared" si="4"/>
        <v>5500000</v>
      </c>
      <c r="C51" s="27"/>
      <c r="D51" s="76"/>
      <c r="E51" s="28"/>
      <c r="F51" s="78">
        <f t="shared" si="6"/>
        <v>5500000</v>
      </c>
      <c r="G51" s="77"/>
      <c r="H51" s="94">
        <f>20000000-14500000</f>
        <v>5500000</v>
      </c>
    </row>
    <row r="52" spans="1:8" ht="13.5" customHeight="1" thickBot="1">
      <c r="A52" s="95" t="s">
        <v>53</v>
      </c>
      <c r="B52" s="96">
        <f t="shared" si="4"/>
        <v>127702883</v>
      </c>
      <c r="C52" s="97">
        <f aca="true" t="shared" si="7" ref="C52:H52">SUM(C53+C54)</f>
        <v>64761000</v>
      </c>
      <c r="D52" s="98">
        <f t="shared" si="7"/>
        <v>23834000</v>
      </c>
      <c r="E52" s="99">
        <f t="shared" si="7"/>
        <v>38365883</v>
      </c>
      <c r="F52" s="100">
        <f t="shared" si="6"/>
        <v>742000</v>
      </c>
      <c r="G52" s="99">
        <f t="shared" si="7"/>
        <v>742000</v>
      </c>
      <c r="H52" s="101">
        <f t="shared" si="7"/>
        <v>0</v>
      </c>
    </row>
    <row r="53" spans="1:8" ht="13.5" customHeight="1">
      <c r="A53" s="79" t="s">
        <v>54</v>
      </c>
      <c r="B53" s="41">
        <f t="shared" si="4"/>
        <v>116787720</v>
      </c>
      <c r="C53" s="3">
        <f>53635000+5402000</f>
        <v>59037000</v>
      </c>
      <c r="D53" s="4">
        <f>18745000+1888000+1200000</f>
        <v>21833000</v>
      </c>
      <c r="E53" s="5">
        <f>33703000+5802000-1249280-1200000-1000000-750000</f>
        <v>35305720</v>
      </c>
      <c r="F53" s="42">
        <f t="shared" si="6"/>
        <v>612000</v>
      </c>
      <c r="G53" s="7">
        <f>500000+1112000+1500000-2500000</f>
        <v>612000</v>
      </c>
      <c r="H53" s="8"/>
    </row>
    <row r="54" spans="1:8" ht="13.5" customHeight="1">
      <c r="A54" s="87" t="s">
        <v>55</v>
      </c>
      <c r="B54" s="10">
        <f t="shared" si="4"/>
        <v>10915163</v>
      </c>
      <c r="C54" s="11">
        <f>5303000+21000+400000</f>
        <v>5724000</v>
      </c>
      <c r="D54" s="4">
        <f>1853000+8000+140000</f>
        <v>2001000</v>
      </c>
      <c r="E54" s="13">
        <f>3104000-158837+115000</f>
        <v>3060163</v>
      </c>
      <c r="F54" s="42">
        <f t="shared" si="6"/>
        <v>130000</v>
      </c>
      <c r="G54" s="63">
        <f>100000+115000-115000+30000</f>
        <v>130000</v>
      </c>
      <c r="H54" s="45"/>
    </row>
    <row r="55" spans="1:8" ht="13.5" customHeight="1">
      <c r="A55" s="102" t="s">
        <v>56</v>
      </c>
      <c r="B55" s="103">
        <f t="shared" si="4"/>
        <v>4844100</v>
      </c>
      <c r="C55" s="104"/>
      <c r="D55" s="105"/>
      <c r="E55" s="106">
        <f>12000000-7155900</f>
        <v>4844100</v>
      </c>
      <c r="F55" s="107">
        <f t="shared" si="6"/>
        <v>0</v>
      </c>
      <c r="G55" s="108"/>
      <c r="H55" s="109"/>
    </row>
    <row r="56" spans="1:8" ht="12.75" customHeight="1">
      <c r="A56" s="102" t="s">
        <v>57</v>
      </c>
      <c r="B56" s="103">
        <f>SUM(C56+D56+E56+F56)</f>
        <v>18000000</v>
      </c>
      <c r="C56" s="104"/>
      <c r="D56" s="110"/>
      <c r="E56" s="106">
        <f>9000000+350000</f>
        <v>9350000</v>
      </c>
      <c r="F56" s="107">
        <f t="shared" si="6"/>
        <v>8650000</v>
      </c>
      <c r="G56" s="108"/>
      <c r="H56" s="109">
        <f>5000000+4000000-350000</f>
        <v>8650000</v>
      </c>
    </row>
    <row r="57" spans="1:8" ht="12.75" customHeight="1">
      <c r="A57" s="102" t="s">
        <v>58</v>
      </c>
      <c r="B57" s="103">
        <f t="shared" si="4"/>
        <v>0</v>
      </c>
      <c r="C57" s="104"/>
      <c r="D57" s="110"/>
      <c r="E57" s="106"/>
      <c r="F57" s="107">
        <f t="shared" si="6"/>
        <v>0</v>
      </c>
      <c r="G57" s="108"/>
      <c r="H57" s="109">
        <v>0</v>
      </c>
    </row>
    <row r="58" spans="1:8" ht="12" customHeight="1">
      <c r="A58" s="111" t="s">
        <v>59</v>
      </c>
      <c r="B58" s="103">
        <f t="shared" si="4"/>
        <v>26940369</v>
      </c>
      <c r="C58" s="104">
        <f>12211000-243000+2474000</f>
        <v>14442000</v>
      </c>
      <c r="D58" s="110">
        <f>4268000-85000+865000</f>
        <v>5048000</v>
      </c>
      <c r="E58" s="106">
        <f>6786000-109631</f>
        <v>6676369</v>
      </c>
      <c r="F58" s="107">
        <f t="shared" si="6"/>
        <v>774000</v>
      </c>
      <c r="G58" s="108">
        <f>160000+614000</f>
        <v>774000</v>
      </c>
      <c r="H58" s="109"/>
    </row>
    <row r="59" spans="1:8" ht="12" customHeight="1" thickBot="1">
      <c r="A59" s="112" t="s">
        <v>60</v>
      </c>
      <c r="B59" s="103">
        <f t="shared" si="4"/>
        <v>2000000</v>
      </c>
      <c r="C59" s="104"/>
      <c r="D59" s="110"/>
      <c r="E59" s="106">
        <v>2000000</v>
      </c>
      <c r="F59" s="107">
        <f t="shared" si="6"/>
        <v>0</v>
      </c>
      <c r="G59" s="108"/>
      <c r="H59" s="109"/>
    </row>
    <row r="60" spans="1:8" ht="13.5" customHeight="1" thickBot="1">
      <c r="A60" s="113" t="s">
        <v>61</v>
      </c>
      <c r="B60" s="114">
        <f t="shared" si="4"/>
        <v>15849343881.380001</v>
      </c>
      <c r="C60" s="115">
        <f>SUM(C59+C58+C57+C56+C55+C52+C51+C47+C39+C37+C10+C9+C8+C7)</f>
        <v>928993719.6</v>
      </c>
      <c r="D60" s="115">
        <f>SUM(D59+D58+D57+D56+D55+D52+D51+D47+D39+D37+D10+D9+D8+D7)</f>
        <v>318447358</v>
      </c>
      <c r="E60" s="116">
        <f>SUM(E59+E58+E57+E56+E55+E52+E51+E47+E39+E37+E10+E9+E8+E7)</f>
        <v>1986346928.78</v>
      </c>
      <c r="F60" s="117">
        <f t="shared" si="6"/>
        <v>12615555875</v>
      </c>
      <c r="G60" s="118">
        <f>SUM(G59+G58+G57+G56+G55+G52+G51+G47+G39+G37+G10+G9+G8+G7)</f>
        <v>54800793</v>
      </c>
      <c r="H60" s="119">
        <f>SUM(H59+H58+H57+H56+H55+H52+H51+H47+H39+H37+H10+H9+H8+H7)</f>
        <v>12560755082</v>
      </c>
    </row>
    <row r="61" spans="1:8" s="122" customFormat="1" ht="14.25" customHeight="1">
      <c r="A61" s="256" t="s">
        <v>137</v>
      </c>
      <c r="B61" s="257"/>
      <c r="C61" s="257"/>
      <c r="D61" s="257"/>
      <c r="E61" s="257"/>
      <c r="F61" s="257"/>
      <c r="G61" s="257"/>
      <c r="H61" s="257"/>
    </row>
    <row r="62" spans="1:8" s="122" customFormat="1" ht="18" customHeight="1" thickBot="1">
      <c r="A62" s="120"/>
      <c r="B62" s="121"/>
      <c r="C62" s="121"/>
      <c r="D62" s="121"/>
      <c r="E62" s="121"/>
      <c r="F62" s="121"/>
      <c r="G62" s="121"/>
      <c r="H62" s="121"/>
    </row>
    <row r="63" spans="1:8" ht="43.5" customHeight="1" thickBot="1">
      <c r="A63" s="123" t="s">
        <v>62</v>
      </c>
      <c r="B63" s="123" t="s">
        <v>63</v>
      </c>
      <c r="C63" s="124" t="s">
        <v>64</v>
      </c>
      <c r="D63" s="125" t="s">
        <v>65</v>
      </c>
      <c r="E63" s="126"/>
      <c r="F63" s="127" t="s">
        <v>66</v>
      </c>
      <c r="G63" s="128" t="s">
        <v>67</v>
      </c>
      <c r="H63" s="129" t="s">
        <v>68</v>
      </c>
    </row>
    <row r="64" spans="1:8" ht="12.75" customHeight="1">
      <c r="A64" s="1" t="s">
        <v>7</v>
      </c>
      <c r="B64" s="41">
        <f>SUM(C64:D64)</f>
        <v>0</v>
      </c>
      <c r="C64" s="3"/>
      <c r="D64" s="8"/>
      <c r="E64" s="130"/>
      <c r="F64" s="41">
        <f aca="true" t="shared" si="8" ref="F64:F85">B7+B64</f>
        <v>22035000</v>
      </c>
      <c r="G64" s="131"/>
      <c r="H64" s="132"/>
    </row>
    <row r="65" spans="1:8" ht="12.75" customHeight="1">
      <c r="A65" s="9" t="s">
        <v>69</v>
      </c>
      <c r="B65" s="41">
        <f>SUM(C65:D65)</f>
        <v>0</v>
      </c>
      <c r="C65" s="11"/>
      <c r="D65" s="8"/>
      <c r="E65" s="130"/>
      <c r="F65" s="41">
        <f t="shared" si="8"/>
        <v>44120000</v>
      </c>
      <c r="G65" s="131"/>
      <c r="H65" s="133"/>
    </row>
    <row r="66" spans="1:8" ht="12.75" customHeight="1" thickBot="1">
      <c r="A66" s="17" t="s">
        <v>9</v>
      </c>
      <c r="B66" s="41">
        <f>SUM(C66:D66)</f>
        <v>63119739.59</v>
      </c>
      <c r="C66" s="19">
        <f>25000000+15000000+19326866.26-3714000+14842000-7335126.67</f>
        <v>63119739.59</v>
      </c>
      <c r="D66" s="24"/>
      <c r="E66" s="130"/>
      <c r="F66" s="80">
        <f t="shared" si="8"/>
        <v>759127011.59</v>
      </c>
      <c r="G66" s="134"/>
      <c r="H66" s="135"/>
    </row>
    <row r="67" spans="1:8" ht="12.75" customHeight="1" thickBot="1">
      <c r="A67" s="25" t="s">
        <v>70</v>
      </c>
      <c r="B67" s="136">
        <f>SUM(B68+B77+B78+B79+B80+B81+B82+B83+B84+B85+B86+B108+B109+B110)</f>
        <v>14905266597.05</v>
      </c>
      <c r="C67" s="27">
        <f>SUM(C68+C77+C78+C79+C80+C81+C82+C83+C84+C85+C86+C108+C109+C110)</f>
        <v>4473476228.49</v>
      </c>
      <c r="D67" s="30">
        <f>SUM(D68+D77+D78+D79+D80+D81+D82+D83+D84+D85+D86+D108+D109+D110)</f>
        <v>10431790368.560001</v>
      </c>
      <c r="E67" s="137"/>
      <c r="F67" s="26">
        <f t="shared" si="8"/>
        <v>17996563384.43</v>
      </c>
      <c r="G67" s="138"/>
      <c r="H67" s="139"/>
    </row>
    <row r="68" spans="1:8" ht="12.75" customHeight="1">
      <c r="A68" s="140" t="s">
        <v>12</v>
      </c>
      <c r="B68" s="141">
        <f>SUM(B69:B76)</f>
        <v>1425757.5</v>
      </c>
      <c r="C68" s="142">
        <f>SUM(C69:C76)</f>
        <v>1425757.5</v>
      </c>
      <c r="D68" s="143">
        <f>SUM(D69:D76)</f>
        <v>0</v>
      </c>
      <c r="E68" s="130"/>
      <c r="F68" s="33">
        <f t="shared" si="8"/>
        <v>196334640.8</v>
      </c>
      <c r="G68" s="138"/>
      <c r="H68" s="139"/>
    </row>
    <row r="69" spans="1:8" ht="12.75" customHeight="1">
      <c r="A69" s="40" t="s">
        <v>13</v>
      </c>
      <c r="B69" s="41">
        <f>SUM(C69+D69)</f>
        <v>125000</v>
      </c>
      <c r="C69" s="7">
        <v>125000</v>
      </c>
      <c r="D69" s="8"/>
      <c r="E69" s="130"/>
      <c r="F69" s="41">
        <f t="shared" si="8"/>
        <v>23624128</v>
      </c>
      <c r="G69" s="144"/>
      <c r="H69" s="145"/>
    </row>
    <row r="70" spans="1:8" ht="12.75" customHeight="1">
      <c r="A70" s="44" t="s">
        <v>14</v>
      </c>
      <c r="B70" s="41">
        <f aca="true" t="shared" si="9" ref="B70:B76">SUM(C70+D70)</f>
        <v>125000</v>
      </c>
      <c r="C70" s="7">
        <v>125000</v>
      </c>
      <c r="D70" s="45"/>
      <c r="E70" s="130"/>
      <c r="F70" s="41">
        <f t="shared" si="8"/>
        <v>19364164</v>
      </c>
      <c r="G70" s="147"/>
      <c r="H70" s="148"/>
    </row>
    <row r="71" spans="1:9" ht="12.75" customHeight="1">
      <c r="A71" s="46" t="s">
        <v>71</v>
      </c>
      <c r="B71" s="41">
        <f t="shared" si="9"/>
        <v>125000</v>
      </c>
      <c r="C71" s="7">
        <v>125000</v>
      </c>
      <c r="D71" s="48"/>
      <c r="E71" s="130"/>
      <c r="F71" s="41">
        <f t="shared" si="8"/>
        <v>23643387</v>
      </c>
      <c r="G71" s="149">
        <f>375000+692325-123962.98</f>
        <v>943362.02</v>
      </c>
      <c r="H71" s="150">
        <f>125000+230775-41321.02</f>
        <v>314453.98</v>
      </c>
      <c r="I71" s="151"/>
    </row>
    <row r="72" spans="1:9" ht="12.75" customHeight="1">
      <c r="A72" s="44" t="s">
        <v>16</v>
      </c>
      <c r="B72" s="41">
        <f t="shared" si="9"/>
        <v>114221</v>
      </c>
      <c r="C72" s="7">
        <f>125000-10779</f>
        <v>114221</v>
      </c>
      <c r="D72" s="45"/>
      <c r="E72" s="130"/>
      <c r="F72" s="41">
        <f t="shared" si="8"/>
        <v>20649783</v>
      </c>
      <c r="G72" s="138"/>
      <c r="H72" s="139"/>
      <c r="I72" s="151"/>
    </row>
    <row r="73" spans="1:9" ht="12.75" customHeight="1">
      <c r="A73" s="46" t="s">
        <v>17</v>
      </c>
      <c r="B73" s="41">
        <f t="shared" si="9"/>
        <v>686536.5</v>
      </c>
      <c r="C73" s="7">
        <f>125000+318425.5+243111</f>
        <v>686536.5</v>
      </c>
      <c r="D73" s="48"/>
      <c r="E73" s="130"/>
      <c r="F73" s="41">
        <f t="shared" si="8"/>
        <v>27374158.5</v>
      </c>
      <c r="G73" s="138"/>
      <c r="H73" s="139"/>
      <c r="I73" s="151"/>
    </row>
    <row r="74" spans="1:9" ht="12.75" customHeight="1">
      <c r="A74" s="44" t="s">
        <v>18</v>
      </c>
      <c r="B74" s="41">
        <f t="shared" si="9"/>
        <v>125000</v>
      </c>
      <c r="C74" s="7">
        <v>125000</v>
      </c>
      <c r="D74" s="45"/>
      <c r="E74" s="130"/>
      <c r="F74" s="41">
        <f t="shared" si="8"/>
        <v>25779674</v>
      </c>
      <c r="G74" s="144"/>
      <c r="H74" s="145"/>
      <c r="I74" s="151"/>
    </row>
    <row r="75" spans="1:9" ht="12.75" customHeight="1">
      <c r="A75" s="46" t="s">
        <v>19</v>
      </c>
      <c r="B75" s="41">
        <f t="shared" si="9"/>
        <v>125000</v>
      </c>
      <c r="C75" s="7">
        <v>125000</v>
      </c>
      <c r="D75" s="48"/>
      <c r="E75" s="130" t="s">
        <v>72</v>
      </c>
      <c r="F75" s="41">
        <f t="shared" si="8"/>
        <v>26314548.3</v>
      </c>
      <c r="G75" s="152"/>
      <c r="H75" s="153"/>
      <c r="I75" s="151"/>
    </row>
    <row r="76" spans="1:9" ht="12.75" customHeight="1">
      <c r="A76" s="50" t="s">
        <v>73</v>
      </c>
      <c r="B76" s="41">
        <f t="shared" si="9"/>
        <v>0</v>
      </c>
      <c r="C76" s="23">
        <f>125000-125000</f>
        <v>0</v>
      </c>
      <c r="D76" s="24"/>
      <c r="E76" s="130"/>
      <c r="F76" s="41">
        <f t="shared" si="8"/>
        <v>29584798</v>
      </c>
      <c r="G76" s="154">
        <f>667500+1450500-67500-242606.25</f>
        <v>1807893.75</v>
      </c>
      <c r="H76" s="155">
        <f>222500+483500-22500-80868.75</f>
        <v>602631.25</v>
      </c>
      <c r="I76" s="151"/>
    </row>
    <row r="77" spans="1:8" ht="12.75" customHeight="1">
      <c r="A77" s="52" t="s">
        <v>21</v>
      </c>
      <c r="B77" s="67">
        <f aca="true" t="shared" si="10" ref="B77:B85">SUM(C77:D77)</f>
        <v>96684388</v>
      </c>
      <c r="C77" s="58">
        <f>27000000+77000000+100000000-10000000+1000000-10000000-7389280-14709000-130000-4000000-243111-2500000-800000-10000000-800000+10779-3880000+125000-7000000-37000000</f>
        <v>96684388</v>
      </c>
      <c r="D77" s="59"/>
      <c r="E77" s="130"/>
      <c r="F77" s="33">
        <f t="shared" si="8"/>
        <v>440593782</v>
      </c>
      <c r="H77" s="156"/>
    </row>
    <row r="78" spans="1:9" ht="12.75" customHeight="1">
      <c r="A78" s="1" t="s">
        <v>74</v>
      </c>
      <c r="B78" s="41">
        <f t="shared" si="10"/>
        <v>357000</v>
      </c>
      <c r="C78" s="7">
        <f>357000</f>
        <v>357000</v>
      </c>
      <c r="D78" s="8"/>
      <c r="E78" s="130"/>
      <c r="F78" s="10">
        <f t="shared" si="8"/>
        <v>25914775.21</v>
      </c>
      <c r="G78" s="157">
        <f>B21+B78</f>
        <v>25914775.21</v>
      </c>
      <c r="H78" s="158"/>
      <c r="I78" s="151"/>
    </row>
    <row r="79" spans="1:9" ht="12.75" customHeight="1">
      <c r="A79" s="9" t="s">
        <v>75</v>
      </c>
      <c r="B79" s="41">
        <f t="shared" si="10"/>
        <v>119000</v>
      </c>
      <c r="C79" s="7">
        <f>119000</f>
        <v>119000</v>
      </c>
      <c r="D79" s="8"/>
      <c r="E79" s="130"/>
      <c r="F79" s="10">
        <f t="shared" si="8"/>
        <v>9615421.06</v>
      </c>
      <c r="G79" s="159"/>
      <c r="H79" s="160">
        <f>B22+B79</f>
        <v>9615421.06</v>
      </c>
      <c r="I79" s="151"/>
    </row>
    <row r="80" spans="1:9" ht="12.75" customHeight="1">
      <c r="A80" s="1" t="s">
        <v>76</v>
      </c>
      <c r="B80" s="41">
        <f t="shared" si="10"/>
        <v>0</v>
      </c>
      <c r="C80" s="7"/>
      <c r="D80" s="8"/>
      <c r="E80" s="130"/>
      <c r="F80" s="10">
        <f t="shared" si="8"/>
        <v>9997762.03</v>
      </c>
      <c r="G80" s="157">
        <f>B23+B80</f>
        <v>9997762.03</v>
      </c>
      <c r="H80" s="158"/>
      <c r="I80" s="151"/>
    </row>
    <row r="81" spans="1:9" ht="12.75" customHeight="1">
      <c r="A81" s="9" t="s">
        <v>77</v>
      </c>
      <c r="B81" s="41">
        <f t="shared" si="10"/>
        <v>0</v>
      </c>
      <c r="C81" s="7"/>
      <c r="D81" s="8"/>
      <c r="E81" s="130"/>
      <c r="F81" s="10">
        <f t="shared" si="8"/>
        <v>1764310.9800000002</v>
      </c>
      <c r="G81" s="159"/>
      <c r="H81" s="160">
        <f>B24+B81</f>
        <v>1764310.9800000002</v>
      </c>
      <c r="I81" s="151"/>
    </row>
    <row r="82" spans="1:8" ht="12.75" customHeight="1">
      <c r="A82" s="1" t="s">
        <v>78</v>
      </c>
      <c r="B82" s="41">
        <f t="shared" si="10"/>
        <v>0</v>
      </c>
      <c r="C82" s="7">
        <f>3431446.9-357000-1350158.4-1724288.5</f>
        <v>0</v>
      </c>
      <c r="D82" s="8"/>
      <c r="E82" s="130"/>
      <c r="F82" s="10">
        <f t="shared" si="8"/>
        <v>7.130438461899757E-10</v>
      </c>
      <c r="G82" s="157">
        <f>B25+B82</f>
        <v>7.130438461899757E-10</v>
      </c>
      <c r="H82" s="161"/>
    </row>
    <row r="83" spans="1:8" ht="12.75" customHeight="1">
      <c r="A83" s="9" t="s">
        <v>79</v>
      </c>
      <c r="B83" s="10">
        <f t="shared" si="10"/>
        <v>0</v>
      </c>
      <c r="C83" s="63">
        <f>1143815.63-119000-500000-524815.63</f>
        <v>0</v>
      </c>
      <c r="D83" s="45"/>
      <c r="E83" s="130"/>
      <c r="F83" s="10">
        <f t="shared" si="8"/>
        <v>2.355591277591884E-09</v>
      </c>
      <c r="G83" s="162"/>
      <c r="H83" s="160">
        <f>B26+B83</f>
        <v>2.355591277591884E-09</v>
      </c>
    </row>
    <row r="84" spans="1:8" ht="12.75" customHeight="1">
      <c r="A84" s="1" t="s">
        <v>80</v>
      </c>
      <c r="B84" s="10">
        <f t="shared" si="10"/>
        <v>0</v>
      </c>
      <c r="C84" s="63"/>
      <c r="D84" s="45"/>
      <c r="E84" s="130"/>
      <c r="F84" s="41">
        <f t="shared" si="8"/>
        <v>0</v>
      </c>
      <c r="G84" s="163">
        <f>B27+B84</f>
        <v>0</v>
      </c>
      <c r="H84" s="164"/>
    </row>
    <row r="85" spans="1:8" ht="12.75" customHeight="1">
      <c r="A85" s="9" t="s">
        <v>81</v>
      </c>
      <c r="B85" s="10">
        <f t="shared" si="10"/>
        <v>0</v>
      </c>
      <c r="C85" s="49"/>
      <c r="D85" s="48"/>
      <c r="E85" s="130"/>
      <c r="F85" s="10">
        <f t="shared" si="8"/>
        <v>0</v>
      </c>
      <c r="G85" s="162"/>
      <c r="H85" s="160">
        <f>B28+B85</f>
        <v>0</v>
      </c>
    </row>
    <row r="86" spans="1:8" ht="12.75" customHeight="1">
      <c r="A86" s="52" t="s">
        <v>82</v>
      </c>
      <c r="B86" s="67">
        <f>SUM(B87:B107)</f>
        <v>14800310451.55</v>
      </c>
      <c r="C86" s="58">
        <f>SUM(C87:C107)</f>
        <v>4368520082.99</v>
      </c>
      <c r="D86" s="59">
        <f>SUM(D87:D107)</f>
        <v>10431790368.560001</v>
      </c>
      <c r="E86" s="130"/>
      <c r="F86" s="33">
        <f>B29+B30+B31+B86</f>
        <v>17136647990.55</v>
      </c>
      <c r="G86" s="165"/>
      <c r="H86" s="166"/>
    </row>
    <row r="87" spans="1:8" ht="12.75" customHeight="1">
      <c r="A87" s="9" t="s">
        <v>83</v>
      </c>
      <c r="B87" s="10">
        <f aca="true" t="shared" si="11" ref="B87:B92">SUM(C87:D87)</f>
        <v>2772272528.7</v>
      </c>
      <c r="C87" s="63">
        <f>2640000000-15000000-8000000-17000000+53208909.7+300000000-100000000-4370000-76566381</f>
        <v>2772272528.7</v>
      </c>
      <c r="D87" s="45">
        <v>0</v>
      </c>
      <c r="E87" s="130"/>
      <c r="F87" s="10">
        <f>B29+B87</f>
        <v>3859213067.7</v>
      </c>
      <c r="G87" s="165"/>
      <c r="H87" s="166"/>
    </row>
    <row r="88" spans="1:8" ht="12.75" customHeight="1">
      <c r="A88" s="1" t="s">
        <v>84</v>
      </c>
      <c r="B88" s="10">
        <f t="shared" si="11"/>
        <v>144464187.9</v>
      </c>
      <c r="C88" s="7">
        <f>167128827-22664639.1</f>
        <v>144464187.9</v>
      </c>
      <c r="D88" s="8"/>
      <c r="E88" s="130"/>
      <c r="F88" s="80">
        <f>B88</f>
        <v>144464187.9</v>
      </c>
      <c r="G88" s="165"/>
      <c r="H88" s="166"/>
    </row>
    <row r="89" spans="1:8" ht="12.75" customHeight="1">
      <c r="A89" s="9" t="s">
        <v>85</v>
      </c>
      <c r="B89" s="10">
        <f t="shared" si="11"/>
        <v>1087910166.9099998</v>
      </c>
      <c r="C89" s="63">
        <f>1975595.92+6500074.66+2270764.82+3309725.52+14406235.43+5460585.04+8986937.77+5745678.29+390549.73+934157.61+1679948.37+15572286+13471677.11+1457825.51+262302.6+780119.81+1635140.25+8448354.07+3319588.01+698706.64+1844486.65+2740095.67+290334.7+1865610.29+2353007.74+11372309.4+8123179.5+4264498.33+4820304.73+6011855.57+2388473.39+11381201.4+12482211.97+41416772.85+12826008.9+30207930.19+2690474.31+770039.65+4285574.73+2615421.15+22907823.98+10977462.99+8917543.63+8685539.44+12212563.15+8906987.2+11374776+6840457.56+6080059.12+12203564.08+4653620.77+4950676.66+5992936.47+3096532.93+3894323.53+4748474.27+4745912.58+4534193.09+19990127.29+4483207.98+4857959.74+8228316.15+17166032.26+28759397.22+8687057.35+88916161.25+57175805+10547727.24+7379615.01+19625933.17+63478042.16+56113952.81+1989044.91+46656142.49+32985267.73+44739692.38+9398472.79+16090003.62+10976476.18+35707149.54+31731317.05+5539614.13+13409789.72+11877833.77+4283501.69+19337034.55</f>
        <v>1087910166.9099998</v>
      </c>
      <c r="D89" s="45"/>
      <c r="E89" s="130"/>
      <c r="F89" s="10">
        <f>B89</f>
        <v>1087910166.9099998</v>
      </c>
      <c r="G89" s="167">
        <f>B89</f>
        <v>1087910166.9099998</v>
      </c>
      <c r="H89" s="168"/>
    </row>
    <row r="90" spans="1:8" ht="12.75" customHeight="1">
      <c r="A90" s="17" t="s">
        <v>86</v>
      </c>
      <c r="B90" s="10">
        <f t="shared" si="11"/>
        <v>362636722.48</v>
      </c>
      <c r="C90" s="49">
        <f>658531.97+2166691.55+756921.61+1103241.84+4802078.48+1820195.01+2995645.93+1915226.1+130183.25+311385.87+559982.79+5190762+4490559.04+485941.84+96778.24+87434.2+260039.94+545046.75+2816118.02+1106529.34+232902.22+614828.89+913365.23+621870.1+784335.91+3790769.8+2707726.5+1421499.44+1606768.25+2003951.86+796157.8+3793733.8+4160737.33+13805590.95+4275336.3+10069310.06+896824.77+256679.88+1428524.91+871807.05+7635941.33+3659154.33+2972514.54+2895179.82+4070854.38+2968995.74+3791592+2280152.52+2026686.38+4067854.7+1551206.93+1650225.56+1997645.49+1032177.65+1298107.85+1582824.76+1581970.86+1511397.7+6663375.76+1494402.66+1619319.92+2742772.05+5722010.75+9586465.74+2895685.79+29638720.42+19058601.67+3515909.08+2459871.67+6541977.73+21159347.39+18704650.94+663014.97+15552047.5+10995089.24+14913230.79+3132824.27+5363334.54+3658825.4+11902383.18+10577105.69+1846538.04+4469929.91+3959277.93+1427833.9+6445678.19</f>
        <v>362636722.48</v>
      </c>
      <c r="D90" s="48"/>
      <c r="E90" s="130"/>
      <c r="F90" s="10"/>
      <c r="G90" s="162"/>
      <c r="H90" s="160">
        <f>B90</f>
        <v>362636722.48</v>
      </c>
    </row>
    <row r="91" spans="1:8" ht="12.75" customHeight="1">
      <c r="A91" s="9" t="s">
        <v>87</v>
      </c>
      <c r="B91" s="10">
        <f t="shared" si="11"/>
        <v>0</v>
      </c>
      <c r="C91" s="63"/>
      <c r="D91" s="45"/>
      <c r="E91" s="130"/>
      <c r="F91" s="10">
        <f>B91</f>
        <v>0</v>
      </c>
      <c r="G91" s="167">
        <f>B91</f>
        <v>0</v>
      </c>
      <c r="H91" s="168"/>
    </row>
    <row r="92" spans="1:8" ht="12.75" customHeight="1">
      <c r="A92" s="1" t="s">
        <v>88</v>
      </c>
      <c r="B92" s="10">
        <f t="shared" si="11"/>
        <v>0</v>
      </c>
      <c r="C92" s="7"/>
      <c r="D92" s="8"/>
      <c r="E92" s="130"/>
      <c r="F92" s="10"/>
      <c r="G92" s="162"/>
      <c r="H92" s="160">
        <f>B92</f>
        <v>0</v>
      </c>
    </row>
    <row r="93" spans="1:8" ht="12.75" customHeight="1">
      <c r="A93" s="73" t="s">
        <v>89</v>
      </c>
      <c r="B93" s="67">
        <f aca="true" t="shared" si="12" ref="B93:B110">SUM(C93:D93)</f>
        <v>7872847078.41</v>
      </c>
      <c r="C93" s="58">
        <v>0</v>
      </c>
      <c r="D93" s="59">
        <f>8000000000+974481078.41-32489000-1069145000</f>
        <v>7872847078.41</v>
      </c>
      <c r="E93" s="130"/>
      <c r="F93" s="33">
        <f>B30+B93</f>
        <v>8772847078.41</v>
      </c>
      <c r="G93" s="169"/>
      <c r="H93" s="170"/>
    </row>
    <row r="94" spans="1:8" ht="12.75" customHeight="1">
      <c r="A94" s="73" t="s">
        <v>90</v>
      </c>
      <c r="B94" s="67">
        <f t="shared" si="12"/>
        <v>360194173</v>
      </c>
      <c r="C94" s="71">
        <f>1000000000-200000000-9764000-3413000-167128827-9500000-360194173-250000000</f>
        <v>0</v>
      </c>
      <c r="D94" s="72">
        <f>360194173+58507918-58507918</f>
        <v>360194173</v>
      </c>
      <c r="E94" s="130"/>
      <c r="F94" s="33">
        <f>B94+B31</f>
        <v>709591173</v>
      </c>
      <c r="G94" s="169"/>
      <c r="H94" s="170"/>
    </row>
    <row r="95" spans="1:8" ht="12.75" customHeight="1">
      <c r="A95" s="66" t="s">
        <v>91</v>
      </c>
      <c r="B95" s="80">
        <f t="shared" si="12"/>
        <v>1236477</v>
      </c>
      <c r="C95" s="49">
        <f>5000000-3763523</f>
        <v>1236477</v>
      </c>
      <c r="D95" s="48"/>
      <c r="E95" s="130"/>
      <c r="F95" s="41">
        <f aca="true" t="shared" si="13" ref="F95:F105">B95</f>
        <v>1236477</v>
      </c>
      <c r="G95" s="169"/>
      <c r="H95" s="170"/>
    </row>
    <row r="96" spans="1:8" ht="12.75" customHeight="1">
      <c r="A96" s="9" t="s">
        <v>92</v>
      </c>
      <c r="B96" s="10">
        <f t="shared" si="12"/>
        <v>0</v>
      </c>
      <c r="C96" s="15">
        <f>87209000+952340086.34-1975595.92-6500074.66-2270764.82-3309725.52-14406235.43-5460585.04-8986937.77-5745678.29-390549.73-934157.61-1679948.37-15572286-13471677.11-1457825.51-290334.7-262302.6-780119.81-1635140.25-8448354.07-3319588.01-698706.64-1844486.65-2740095.67-1865610.29-2353007.74-11372309.4-8123179.5-4264498.33-4820304.73-6011855.57-2388473.39-11381201.4-12482211.97-41416772.85-12826008.9-30207930.19-2690474.31-770039.65-2615421.15-4285574.73-22907823.98-10977462.99-8917543.63-8685539.44-12212563.15-8906987.2-11374776-6840457.56-6080059.12-12203564.08-4653620.77-4950676.66-5992936.47-3096532.93-3894323.53-4748474.27-4745912.58-4534193.09-19990127.29-4483207.98-4857959.74-8228316.15-17166032.26-28759397.22-8687057.35-88916161.25-57175805-10547727.24-7379615.01-19625933.17-63478042.16-56113952.81-1989044.91-46656142.49-32985267.73-44739692.38-9398472.79-16090003.62-10976476.18-35707149.54-31731317.05-5539614.13+414003527.14-13409789.72-11877833.77-4283501.69-19337034.55-365642446.57</f>
        <v>0</v>
      </c>
      <c r="D96" s="45"/>
      <c r="E96" s="130"/>
      <c r="F96" s="41">
        <f t="shared" si="13"/>
        <v>0</v>
      </c>
      <c r="G96" s="171">
        <f>B96</f>
        <v>0</v>
      </c>
      <c r="H96" s="155"/>
    </row>
    <row r="97" spans="1:8" ht="12.75" customHeight="1">
      <c r="A97" s="9" t="s">
        <v>93</v>
      </c>
      <c r="B97" s="10">
        <f t="shared" si="12"/>
        <v>-1.6391277313232422E-07</v>
      </c>
      <c r="C97" s="15">
        <f>336041000+10475362.44-658531.97-2166691.55-756921.61-1103241.84-4802078.48-1820195.01-2995645.93-1915226.1-130183.25-311385.87-559982.79-5190762-4490559.04-485941.84-96778.24-87434.2-260039.94-545046.75-2816118.02-1106529.34-232902.22-614828.89-913365.23-621870.1-784335.91-3790769.8-2707726.5-1421499.44-1606768.25-2003951.86-796157.8-3793733.8-4160737.33-13805590.95-4275336.3-10069310.06-896824.77-256679.88-1428524.91-871807.05-7635941.33-3659154.33-2972514.54-2895179.82-4070854.38-2968995.74-3791592-2280152.52-2026686.38-4067854.7-1551206.93-1650225.56-1997645.49-1032177.65-1298107.85-1582824.76-1581970.86-1511397.7-6663375.76-1494402.66-1619319.92-2742772.05-5722010.75-9586465.74-2895685.79-29638720.42-19058601.67-3515909.08-2459871.67-6541977.73-21159347.39-18704650.94-663014.97-15552047.5-10995089.24-14913230.79-3132824.27-5363334.54-3658825.4-11902383.18-10577105.69-1846538.04+67140732.41+70860443.3-4469929.91-3959277.93-1427833.9-6445678.19-121880815.67</f>
        <v>-1.6391277313232422E-07</v>
      </c>
      <c r="D97" s="45"/>
      <c r="E97" s="130"/>
      <c r="F97" s="41">
        <f t="shared" si="13"/>
        <v>-1.6391277313232422E-07</v>
      </c>
      <c r="G97" s="171"/>
      <c r="H97" s="155">
        <f>B97</f>
        <v>-1.6391277313232422E-07</v>
      </c>
    </row>
    <row r="98" spans="1:8" ht="12.75" customHeight="1">
      <c r="A98" s="9" t="s">
        <v>94</v>
      </c>
      <c r="B98" s="10">
        <f t="shared" si="12"/>
        <v>0</v>
      </c>
      <c r="C98" s="15">
        <f>354935000-354935000</f>
        <v>0</v>
      </c>
      <c r="D98" s="45"/>
      <c r="E98" s="130"/>
      <c r="F98" s="41"/>
      <c r="G98" s="171">
        <f>B98</f>
        <v>0</v>
      </c>
      <c r="H98" s="155"/>
    </row>
    <row r="99" spans="1:8" ht="12.75" customHeight="1">
      <c r="A99" s="9" t="s">
        <v>95</v>
      </c>
      <c r="B99" s="10">
        <f t="shared" si="12"/>
        <v>0</v>
      </c>
      <c r="C99" s="15">
        <f>62636000-62636000</f>
        <v>0</v>
      </c>
      <c r="D99" s="45"/>
      <c r="E99" s="130"/>
      <c r="F99" s="41"/>
      <c r="G99" s="171"/>
      <c r="H99" s="155">
        <f>B99</f>
        <v>0</v>
      </c>
    </row>
    <row r="100" spans="1:8" ht="12.75" customHeight="1">
      <c r="A100" s="9" t="s">
        <v>96</v>
      </c>
      <c r="B100" s="10">
        <f t="shared" si="12"/>
        <v>550191135.31</v>
      </c>
      <c r="C100" s="15"/>
      <c r="D100" s="45">
        <f>1367082691.26-414003527.14-402888028.81</f>
        <v>550191135.31</v>
      </c>
      <c r="E100" s="130"/>
      <c r="F100" s="41">
        <f t="shared" si="13"/>
        <v>550191135.31</v>
      </c>
      <c r="G100" s="154">
        <f>B100</f>
        <v>550191135.31</v>
      </c>
      <c r="H100" s="155"/>
    </row>
    <row r="101" spans="1:8" ht="12.75" customHeight="1">
      <c r="A101" s="9" t="s">
        <v>97</v>
      </c>
      <c r="B101" s="10">
        <f t="shared" si="12"/>
        <v>146717636.10000002</v>
      </c>
      <c r="C101" s="15"/>
      <c r="D101" s="45">
        <f>23030000+301984451.73-70860443.3-107436372.33</f>
        <v>146717636.10000002</v>
      </c>
      <c r="E101" s="130"/>
      <c r="F101" s="41">
        <f t="shared" si="13"/>
        <v>146717636.10000002</v>
      </c>
      <c r="G101" s="171"/>
      <c r="H101" s="155">
        <f>B101</f>
        <v>146717636.10000002</v>
      </c>
    </row>
    <row r="102" spans="1:8" ht="12.75" customHeight="1">
      <c r="A102" s="9" t="s">
        <v>98</v>
      </c>
      <c r="B102" s="10">
        <f t="shared" si="12"/>
        <v>0</v>
      </c>
      <c r="C102" s="15"/>
      <c r="D102" s="45">
        <f>499620000-499620000</f>
        <v>0</v>
      </c>
      <c r="E102" s="130"/>
      <c r="F102" s="41"/>
      <c r="G102" s="171">
        <f>B102</f>
        <v>0</v>
      </c>
      <c r="H102" s="155"/>
    </row>
    <row r="103" spans="1:8" ht="12.75" customHeight="1">
      <c r="A103" s="9" t="s">
        <v>99</v>
      </c>
      <c r="B103" s="10">
        <f t="shared" si="12"/>
        <v>0</v>
      </c>
      <c r="C103" s="15"/>
      <c r="D103" s="45">
        <f>88168000-88168000</f>
        <v>0</v>
      </c>
      <c r="E103" s="130"/>
      <c r="F103" s="41"/>
      <c r="G103" s="171"/>
      <c r="H103" s="155">
        <f>B103</f>
        <v>0</v>
      </c>
    </row>
    <row r="104" spans="1:8" ht="12.75" customHeight="1">
      <c r="A104" s="9" t="s">
        <v>100</v>
      </c>
      <c r="B104" s="10">
        <f t="shared" si="12"/>
        <v>1111361855.86</v>
      </c>
      <c r="C104" s="15"/>
      <c r="D104" s="45">
        <f>458036000+2769885968.85-2116560112.99</f>
        <v>1111361855.86</v>
      </c>
      <c r="E104" s="130"/>
      <c r="F104" s="41">
        <f t="shared" si="13"/>
        <v>1111361855.86</v>
      </c>
      <c r="G104" s="171">
        <f>B104</f>
        <v>1111361855.86</v>
      </c>
      <c r="H104" s="155"/>
    </row>
    <row r="105" spans="1:8" ht="12.75" customHeight="1">
      <c r="A105" s="9" t="s">
        <v>101</v>
      </c>
      <c r="B105" s="10">
        <f t="shared" si="12"/>
        <v>390478489.8800001</v>
      </c>
      <c r="C105" s="15"/>
      <c r="D105" s="45">
        <f>434063000+700071583.67-743656093.79</f>
        <v>390478489.8800001</v>
      </c>
      <c r="E105" s="130"/>
      <c r="F105" s="41">
        <f t="shared" si="13"/>
        <v>390478489.8800001</v>
      </c>
      <c r="G105" s="171"/>
      <c r="H105" s="155">
        <f>B105</f>
        <v>390478489.8800001</v>
      </c>
    </row>
    <row r="106" spans="1:8" ht="12.75" customHeight="1">
      <c r="A106" s="9" t="s">
        <v>102</v>
      </c>
      <c r="B106" s="10">
        <f t="shared" si="12"/>
        <v>0</v>
      </c>
      <c r="C106" s="15"/>
      <c r="D106" s="45">
        <f>1103585000-1103585000</f>
        <v>0</v>
      </c>
      <c r="E106" s="130"/>
      <c r="F106" s="41"/>
      <c r="G106" s="154">
        <f>B106</f>
        <v>0</v>
      </c>
      <c r="H106" s="155"/>
    </row>
    <row r="107" spans="1:8" ht="12.75" customHeight="1">
      <c r="A107" s="9" t="s">
        <v>103</v>
      </c>
      <c r="B107" s="10">
        <f t="shared" si="12"/>
        <v>0</v>
      </c>
      <c r="C107" s="15"/>
      <c r="D107" s="45">
        <f>194750000-194750000</f>
        <v>0</v>
      </c>
      <c r="E107" s="130"/>
      <c r="F107" s="41"/>
      <c r="G107" s="154"/>
      <c r="H107" s="155">
        <f>B107</f>
        <v>0</v>
      </c>
    </row>
    <row r="108" spans="1:8" ht="12.75" customHeight="1">
      <c r="A108" s="1" t="s">
        <v>35</v>
      </c>
      <c r="B108" s="10">
        <f t="shared" si="12"/>
        <v>0</v>
      </c>
      <c r="C108" s="63"/>
      <c r="D108" s="45"/>
      <c r="E108" s="130"/>
      <c r="F108" s="41">
        <f>B32+B34+B108</f>
        <v>558292.33</v>
      </c>
      <c r="G108" s="154">
        <f>B108+B34+B32</f>
        <v>558292.33</v>
      </c>
      <c r="H108" s="155"/>
    </row>
    <row r="109" spans="1:8" ht="12.75" customHeight="1">
      <c r="A109" s="9" t="s">
        <v>104</v>
      </c>
      <c r="B109" s="10">
        <f t="shared" si="12"/>
        <v>0</v>
      </c>
      <c r="C109" s="63"/>
      <c r="D109" s="45"/>
      <c r="E109" s="130"/>
      <c r="F109" s="41">
        <f>B33+B35+B109</f>
        <v>186097.47</v>
      </c>
      <c r="G109" s="154"/>
      <c r="H109" s="155">
        <f>B109+B35+B33</f>
        <v>186097.47</v>
      </c>
    </row>
    <row r="110" spans="1:8" ht="12.75" customHeight="1" thickBot="1">
      <c r="A110" s="172" t="s">
        <v>105</v>
      </c>
      <c r="B110" s="173">
        <f t="shared" si="12"/>
        <v>6370000</v>
      </c>
      <c r="C110" s="174">
        <f>2000000+4370000</f>
        <v>6370000</v>
      </c>
      <c r="D110" s="175"/>
      <c r="E110" s="130"/>
      <c r="F110" s="67">
        <f aca="true" t="shared" si="14" ref="F110:F116">B36+B110</f>
        <v>174950312</v>
      </c>
      <c r="G110" s="154">
        <f>567626+27847.5+205270-44587.5</f>
        <v>756156</v>
      </c>
      <c r="H110" s="155">
        <f>567626+27847.5+205270-44587.5</f>
        <v>756156</v>
      </c>
    </row>
    <row r="111" spans="1:8" ht="12.75" customHeight="1" thickBot="1">
      <c r="A111" s="75" t="s">
        <v>38</v>
      </c>
      <c r="B111" s="26">
        <f>SUM(B112)</f>
        <v>6018800</v>
      </c>
      <c r="C111" s="27">
        <f>SUM(C112)</f>
        <v>6018800</v>
      </c>
      <c r="D111" s="30">
        <f>SUM(D112)</f>
        <v>0</v>
      </c>
      <c r="E111" s="130"/>
      <c r="F111" s="26">
        <f t="shared" si="14"/>
        <v>53215513</v>
      </c>
      <c r="G111" s="176"/>
      <c r="H111" s="177"/>
    </row>
    <row r="112" spans="1:8" ht="12.75" customHeight="1" thickBot="1">
      <c r="A112" s="79" t="s">
        <v>39</v>
      </c>
      <c r="B112" s="41">
        <f>SUM(C112+D112+E112)</f>
        <v>6018800</v>
      </c>
      <c r="C112" s="3">
        <f>1000000+7389280-2370480</f>
        <v>6018800</v>
      </c>
      <c r="D112" s="8"/>
      <c r="E112" s="130"/>
      <c r="F112" s="80">
        <f t="shared" si="14"/>
        <v>53215513</v>
      </c>
      <c r="G112" s="176"/>
      <c r="H112" s="177"/>
    </row>
    <row r="113" spans="1:8" ht="12.75" customHeight="1" thickBot="1">
      <c r="A113" s="75" t="s">
        <v>40</v>
      </c>
      <c r="B113" s="26">
        <f>SUM(B114:B132)</f>
        <v>2810801001.3100004</v>
      </c>
      <c r="C113" s="27">
        <f>SUM(C114:C132)</f>
        <v>1300000</v>
      </c>
      <c r="D113" s="30">
        <f>SUM(D114:D132)</f>
        <v>2809501001.3100004</v>
      </c>
      <c r="E113" s="130"/>
      <c r="F113" s="26">
        <f t="shared" si="14"/>
        <v>14340382641.310001</v>
      </c>
      <c r="G113" s="176"/>
      <c r="H113" s="177"/>
    </row>
    <row r="114" spans="1:8" ht="12.75" customHeight="1">
      <c r="A114" s="178" t="s">
        <v>106</v>
      </c>
      <c r="B114" s="179">
        <f>SUM(C114:D114)</f>
        <v>0</v>
      </c>
      <c r="C114" s="180"/>
      <c r="D114" s="143"/>
      <c r="E114" s="130"/>
      <c r="F114" s="179">
        <f t="shared" si="14"/>
        <v>5000000000</v>
      </c>
      <c r="G114" s="181"/>
      <c r="H114" s="182"/>
    </row>
    <row r="115" spans="1:8" ht="12.75" customHeight="1">
      <c r="A115" s="9" t="s">
        <v>107</v>
      </c>
      <c r="B115" s="10">
        <f>SUM(C115:D115)</f>
        <v>0</v>
      </c>
      <c r="C115" s="11"/>
      <c r="D115" s="45"/>
      <c r="E115" s="130"/>
      <c r="F115" s="10">
        <f t="shared" si="14"/>
        <v>705272082</v>
      </c>
      <c r="G115" s="181"/>
      <c r="H115" s="182"/>
    </row>
    <row r="116" spans="1:8" ht="12.75" customHeight="1">
      <c r="A116" s="1" t="s">
        <v>108</v>
      </c>
      <c r="B116" s="80">
        <f>SUM(C116:D116)</f>
        <v>0</v>
      </c>
      <c r="C116" s="93"/>
      <c r="D116" s="48">
        <v>0</v>
      </c>
      <c r="E116" s="130"/>
      <c r="F116" s="80">
        <f t="shared" si="14"/>
        <v>0</v>
      </c>
      <c r="G116" s="181"/>
      <c r="H116" s="182"/>
    </row>
    <row r="117" spans="1:18" ht="12.75" customHeight="1">
      <c r="A117" s="1" t="s">
        <v>109</v>
      </c>
      <c r="B117" s="10">
        <f>SUM(C117:D117)</f>
        <v>0</v>
      </c>
      <c r="C117" s="11"/>
      <c r="D117" s="45"/>
      <c r="E117" s="130"/>
      <c r="F117" s="10">
        <f>B117</f>
        <v>0</v>
      </c>
      <c r="G117" s="154">
        <f>B117</f>
        <v>0</v>
      </c>
      <c r="H117" s="183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1:18" ht="12.75" customHeight="1">
      <c r="A118" s="9" t="s">
        <v>110</v>
      </c>
      <c r="B118" s="41">
        <f>SUM(C118:D118)</f>
        <v>0</v>
      </c>
      <c r="C118" s="3"/>
      <c r="D118" s="8"/>
      <c r="E118" s="130"/>
      <c r="F118" s="10">
        <f>B118</f>
        <v>0</v>
      </c>
      <c r="G118" s="184"/>
      <c r="H118" s="60">
        <f>B118</f>
        <v>0</v>
      </c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8" ht="12.75" customHeight="1">
      <c r="A119" s="52" t="s">
        <v>111</v>
      </c>
      <c r="B119" s="67">
        <f aca="true" t="shared" si="15" ref="B119:B132">SUM(C119:D119)</f>
        <v>0</v>
      </c>
      <c r="C119" s="54"/>
      <c r="D119" s="185"/>
      <c r="E119" s="186"/>
      <c r="F119" s="67">
        <f>B43+B119</f>
        <v>5775433000</v>
      </c>
      <c r="G119" s="181"/>
      <c r="H119" s="182"/>
    </row>
    <row r="120" spans="1:8" ht="12.75" customHeight="1">
      <c r="A120" s="9" t="s">
        <v>112</v>
      </c>
      <c r="B120" s="10">
        <f>SUM(C120:D120)</f>
        <v>25720100</v>
      </c>
      <c r="C120" s="11"/>
      <c r="D120" s="45">
        <f>20000000+16555100-10835000</f>
        <v>25720100</v>
      </c>
      <c r="E120" s="186"/>
      <c r="F120" s="41">
        <f>B44+B120</f>
        <v>30720100</v>
      </c>
      <c r="G120" s="187"/>
      <c r="H120" s="188"/>
    </row>
    <row r="121" spans="1:8" ht="12.75" customHeight="1">
      <c r="A121" s="1" t="s">
        <v>113</v>
      </c>
      <c r="B121" s="10">
        <f>SUM(C121:D121)</f>
        <v>9843815.37</v>
      </c>
      <c r="C121" s="3"/>
      <c r="D121" s="8">
        <f>11007381.6-5849841.6+4697754.25-11478.88</f>
        <v>9843815.37</v>
      </c>
      <c r="E121" s="186"/>
      <c r="F121" s="41">
        <f>B121</f>
        <v>9843815.37</v>
      </c>
      <c r="G121" s="189">
        <f>F121</f>
        <v>9843815.37</v>
      </c>
      <c r="H121" s="190"/>
    </row>
    <row r="122" spans="1:8" ht="12.75" customHeight="1">
      <c r="A122" s="9" t="s">
        <v>114</v>
      </c>
      <c r="B122" s="10">
        <f>SUM(C122:D122)</f>
        <v>2025271.7999999998</v>
      </c>
      <c r="C122" s="3"/>
      <c r="D122" s="8">
        <f>3669127.2-2400000+500000+1420212.47-1164067.87</f>
        <v>2025271.7999999998</v>
      </c>
      <c r="E122" s="186"/>
      <c r="F122" s="41">
        <f>B122</f>
        <v>2025271.7999999998</v>
      </c>
      <c r="G122" s="191"/>
      <c r="H122" s="192">
        <f>F122</f>
        <v>2025271.7999999998</v>
      </c>
    </row>
    <row r="123" spans="1:8" ht="12.75" customHeight="1">
      <c r="A123" s="1" t="s">
        <v>115</v>
      </c>
      <c r="B123" s="10">
        <f t="shared" si="15"/>
        <v>458204731.89000005</v>
      </c>
      <c r="C123" s="3"/>
      <c r="D123" s="8">
        <f>90165000+430367027.66-62327295.77</f>
        <v>458204731.89000005</v>
      </c>
      <c r="E123" s="193"/>
      <c r="F123" s="41">
        <f>B123</f>
        <v>458204731.89000005</v>
      </c>
      <c r="G123" s="171">
        <f>B123</f>
        <v>458204731.89000005</v>
      </c>
      <c r="H123" s="155"/>
    </row>
    <row r="124" spans="1:8" ht="12.75" customHeight="1">
      <c r="A124" s="9" t="s">
        <v>116</v>
      </c>
      <c r="B124" s="80">
        <f t="shared" si="15"/>
        <v>152734910.89000005</v>
      </c>
      <c r="C124" s="3"/>
      <c r="D124" s="8">
        <f>285013000+52347582.12-67140732.41-117484938.82</f>
        <v>152734910.89000005</v>
      </c>
      <c r="E124" s="193"/>
      <c r="F124" s="41">
        <f>B124</f>
        <v>152734910.89000005</v>
      </c>
      <c r="G124" s="171"/>
      <c r="H124" s="155">
        <f>B124</f>
        <v>152734910.89000005</v>
      </c>
    </row>
    <row r="125" spans="1:8" ht="12.75" customHeight="1">
      <c r="A125" s="1" t="s">
        <v>117</v>
      </c>
      <c r="B125" s="10">
        <f t="shared" si="15"/>
        <v>0</v>
      </c>
      <c r="C125" s="3"/>
      <c r="D125" s="8">
        <v>0</v>
      </c>
      <c r="E125" s="193"/>
      <c r="F125" s="41"/>
      <c r="G125" s="171">
        <f>B125</f>
        <v>0</v>
      </c>
      <c r="H125" s="155"/>
    </row>
    <row r="126" spans="1:8" ht="12.75" customHeight="1">
      <c r="A126" s="9" t="s">
        <v>118</v>
      </c>
      <c r="B126" s="80">
        <f t="shared" si="15"/>
        <v>0</v>
      </c>
      <c r="C126" s="3"/>
      <c r="D126" s="8">
        <v>0</v>
      </c>
      <c r="E126" s="193"/>
      <c r="F126" s="41"/>
      <c r="G126" s="171"/>
      <c r="H126" s="155">
        <f>B126</f>
        <v>0</v>
      </c>
    </row>
    <row r="127" spans="1:8" ht="12.75" customHeight="1">
      <c r="A127" s="9" t="s">
        <v>119</v>
      </c>
      <c r="B127" s="10">
        <f t="shared" si="15"/>
        <v>367935190.1100001</v>
      </c>
      <c r="C127" s="11"/>
      <c r="D127" s="45">
        <f>1623337723.15-832588000-422814533.04</f>
        <v>367935190.1100001</v>
      </c>
      <c r="E127" s="130"/>
      <c r="F127" s="41">
        <f>B127</f>
        <v>367935190.1100001</v>
      </c>
      <c r="G127" s="194">
        <f>B127</f>
        <v>367935190.1100001</v>
      </c>
      <c r="H127" s="195"/>
    </row>
    <row r="128" spans="1:8" ht="12.75" customHeight="1">
      <c r="A128" s="9" t="s">
        <v>120</v>
      </c>
      <c r="B128" s="10">
        <f t="shared" si="15"/>
        <v>129274526.25000003</v>
      </c>
      <c r="C128" s="11"/>
      <c r="D128" s="45">
        <f>277830497.35-148555971.1</f>
        <v>129274526.25000003</v>
      </c>
      <c r="E128" s="130"/>
      <c r="F128" s="41">
        <f>B128</f>
        <v>129274526.25000003</v>
      </c>
      <c r="G128" s="171"/>
      <c r="H128" s="155">
        <f>B128</f>
        <v>129274526.25000003</v>
      </c>
    </row>
    <row r="129" spans="1:8" ht="12.75" customHeight="1">
      <c r="A129" s="9" t="s">
        <v>121</v>
      </c>
      <c r="B129" s="10">
        <f t="shared" si="15"/>
        <v>0</v>
      </c>
      <c r="C129" s="11"/>
      <c r="D129" s="45">
        <f>657177000-657177000</f>
        <v>0</v>
      </c>
      <c r="E129" s="130"/>
      <c r="F129" s="41"/>
      <c r="G129" s="171">
        <f>B129</f>
        <v>0</v>
      </c>
      <c r="H129" s="155"/>
    </row>
    <row r="130" spans="1:8" ht="12.75" customHeight="1">
      <c r="A130" s="9" t="s">
        <v>122</v>
      </c>
      <c r="B130" s="80">
        <f t="shared" si="15"/>
        <v>0</v>
      </c>
      <c r="C130" s="11"/>
      <c r="D130" s="45">
        <f>115972000-115972000</f>
        <v>0</v>
      </c>
      <c r="E130" s="130"/>
      <c r="F130" s="41"/>
      <c r="G130" s="154"/>
      <c r="H130" s="155">
        <f>B130</f>
        <v>0</v>
      </c>
    </row>
    <row r="131" spans="1:8" ht="12.75" customHeight="1">
      <c r="A131" s="52" t="s">
        <v>123</v>
      </c>
      <c r="B131" s="67">
        <f t="shared" si="15"/>
        <v>1663762455</v>
      </c>
      <c r="C131" s="54"/>
      <c r="D131" s="59">
        <f>1600000000+151841455+304160000-392239000</f>
        <v>1663762455</v>
      </c>
      <c r="E131" s="130"/>
      <c r="F131" s="67">
        <f>B131</f>
        <v>1663762455</v>
      </c>
      <c r="G131" s="196"/>
      <c r="H131" s="197"/>
    </row>
    <row r="132" spans="1:8" ht="12.75" customHeight="1" thickBot="1">
      <c r="A132" s="87" t="s">
        <v>124</v>
      </c>
      <c r="B132" s="10">
        <f t="shared" si="15"/>
        <v>1300000</v>
      </c>
      <c r="C132" s="11">
        <f>500000+800000</f>
        <v>1300000</v>
      </c>
      <c r="D132" s="45"/>
      <c r="E132" s="130"/>
      <c r="F132" s="198">
        <f>B45+B132</f>
        <v>45176558</v>
      </c>
      <c r="G132" s="196"/>
      <c r="H132" s="197"/>
    </row>
    <row r="133" spans="1:8" ht="12.75" customHeight="1" thickBot="1">
      <c r="A133" s="75" t="s">
        <v>48</v>
      </c>
      <c r="B133" s="26">
        <f>SUM(B134:B138)</f>
        <v>188273517.92000002</v>
      </c>
      <c r="C133" s="27">
        <f>SUM(C134:C138)</f>
        <v>15010000</v>
      </c>
      <c r="D133" s="30">
        <f>SUM(D134:D138)</f>
        <v>173263517.92000002</v>
      </c>
      <c r="E133" s="193"/>
      <c r="F133" s="26">
        <f>B47+B133</f>
        <v>422392634.92</v>
      </c>
      <c r="G133" s="196"/>
      <c r="H133" s="197"/>
    </row>
    <row r="134" spans="1:8" ht="12.75" customHeight="1">
      <c r="A134" s="92" t="s">
        <v>49</v>
      </c>
      <c r="B134" s="80">
        <f aca="true" t="shared" si="16" ref="B134:B141">SUM(C134:D134)</f>
        <v>47800000</v>
      </c>
      <c r="C134" s="93"/>
      <c r="D134" s="48">
        <f>25000000+20000000+800000+2000000</f>
        <v>47800000</v>
      </c>
      <c r="E134" s="130"/>
      <c r="F134" s="80">
        <f>B48+B134</f>
        <v>208700000</v>
      </c>
      <c r="G134" s="199"/>
      <c r="H134" s="200"/>
    </row>
    <row r="135" spans="1:8" ht="12.75" customHeight="1">
      <c r="A135" s="87" t="s">
        <v>50</v>
      </c>
      <c r="B135" s="10">
        <f t="shared" si="16"/>
        <v>6000000</v>
      </c>
      <c r="C135" s="11"/>
      <c r="D135" s="45">
        <v>6000000</v>
      </c>
      <c r="E135" s="130"/>
      <c r="F135" s="10">
        <f>B49+B135</f>
        <v>6000000</v>
      </c>
      <c r="G135" s="199"/>
      <c r="H135" s="200"/>
    </row>
    <row r="136" spans="1:8" ht="12.75" customHeight="1">
      <c r="A136" s="87" t="s">
        <v>125</v>
      </c>
      <c r="B136" s="10">
        <f t="shared" si="16"/>
        <v>94313303.53</v>
      </c>
      <c r="C136" s="11"/>
      <c r="D136" s="45">
        <f>779000+68688347.37+34282000-9436043.84</f>
        <v>94313303.53</v>
      </c>
      <c r="E136" s="193"/>
      <c r="F136" s="10">
        <v>0</v>
      </c>
      <c r="G136" s="171">
        <f>B136</f>
        <v>94313303.53</v>
      </c>
      <c r="H136" s="201"/>
    </row>
    <row r="137" spans="1:8" ht="12.75" customHeight="1">
      <c r="A137" s="87" t="s">
        <v>126</v>
      </c>
      <c r="B137" s="10">
        <f t="shared" si="16"/>
        <v>25150214.39</v>
      </c>
      <c r="C137" s="19"/>
      <c r="D137" s="24">
        <f>8895372.71+19988000-3733158.32</f>
        <v>25150214.39</v>
      </c>
      <c r="E137" s="130"/>
      <c r="F137" s="41">
        <f>B137</f>
        <v>25150214.39</v>
      </c>
      <c r="G137" s="202"/>
      <c r="H137" s="155">
        <f>B137</f>
        <v>25150214.39</v>
      </c>
    </row>
    <row r="138" spans="1:8" ht="12.75" customHeight="1" thickBot="1">
      <c r="A138" s="203" t="s">
        <v>51</v>
      </c>
      <c r="B138" s="198">
        <f t="shared" si="16"/>
        <v>15010000</v>
      </c>
      <c r="C138" s="204">
        <f>1000000+10000000+130000+3880000</f>
        <v>15010000</v>
      </c>
      <c r="D138" s="205"/>
      <c r="E138" s="130"/>
      <c r="F138" s="80">
        <f>B50+B138</f>
        <v>88229117</v>
      </c>
      <c r="G138" s="176"/>
      <c r="H138" s="177"/>
    </row>
    <row r="139" spans="1:8" ht="12.75" customHeight="1" thickBot="1">
      <c r="A139" s="75" t="s">
        <v>52</v>
      </c>
      <c r="B139" s="26">
        <f t="shared" si="16"/>
        <v>0</v>
      </c>
      <c r="C139" s="206">
        <f>SUM(C140:C141)</f>
        <v>0</v>
      </c>
      <c r="D139" s="207">
        <f>SUM(D140:D141)</f>
        <v>0</v>
      </c>
      <c r="E139" s="137"/>
      <c r="F139" s="26">
        <f>B51+B139</f>
        <v>5500000</v>
      </c>
      <c r="G139" s="208"/>
      <c r="H139" s="209"/>
    </row>
    <row r="140" spans="1:8" ht="12.75" customHeight="1">
      <c r="A140" s="1" t="s">
        <v>127</v>
      </c>
      <c r="B140" s="2">
        <f t="shared" si="16"/>
        <v>0</v>
      </c>
      <c r="C140" s="210"/>
      <c r="D140" s="211"/>
      <c r="E140" s="137"/>
      <c r="F140" s="2">
        <f>B140</f>
        <v>0</v>
      </c>
      <c r="G140" s="212">
        <f>B140</f>
        <v>0</v>
      </c>
      <c r="H140" s="213"/>
    </row>
    <row r="141" spans="1:8" ht="12.75" customHeight="1" thickBot="1">
      <c r="A141" s="9" t="s">
        <v>128</v>
      </c>
      <c r="B141" s="198">
        <f t="shared" si="16"/>
        <v>0</v>
      </c>
      <c r="C141" s="214"/>
      <c r="D141" s="215"/>
      <c r="E141" s="137"/>
      <c r="F141" s="198">
        <f>B141</f>
        <v>0</v>
      </c>
      <c r="G141" s="216"/>
      <c r="H141" s="217">
        <f>B141</f>
        <v>0</v>
      </c>
    </row>
    <row r="142" spans="1:8" ht="12.75" customHeight="1" thickBot="1">
      <c r="A142" s="95" t="s">
        <v>53</v>
      </c>
      <c r="B142" s="96">
        <f>SUM(B143:B144)</f>
        <v>24653000</v>
      </c>
      <c r="C142" s="97">
        <f>SUM(C143:C144)</f>
        <v>24653000</v>
      </c>
      <c r="D142" s="101">
        <f>SUM(D143:D144)</f>
        <v>0</v>
      </c>
      <c r="E142" s="130"/>
      <c r="F142" s="96">
        <f aca="true" t="shared" si="17" ref="F142:F150">B52+B142</f>
        <v>152355883</v>
      </c>
      <c r="G142" s="208"/>
      <c r="H142" s="209"/>
    </row>
    <row r="143" spans="1:8" ht="12.75" customHeight="1">
      <c r="A143" s="79" t="s">
        <v>54</v>
      </c>
      <c r="B143" s="41">
        <f aca="true" t="shared" si="18" ref="B143:B149">SUM(C143:D143)</f>
        <v>23653000</v>
      </c>
      <c r="C143" s="3">
        <f>2000000+4200000+3000000+500000+11453000+2500000</f>
        <v>23653000</v>
      </c>
      <c r="D143" s="8"/>
      <c r="E143" s="130"/>
      <c r="F143" s="41">
        <f t="shared" si="17"/>
        <v>140440720</v>
      </c>
      <c r="G143" s="196"/>
      <c r="H143" s="197"/>
    </row>
    <row r="144" spans="1:8" ht="12.75" customHeight="1">
      <c r="A144" s="87" t="s">
        <v>55</v>
      </c>
      <c r="B144" s="41">
        <f t="shared" si="18"/>
        <v>1000000</v>
      </c>
      <c r="C144" s="11">
        <v>1000000</v>
      </c>
      <c r="D144" s="8"/>
      <c r="E144" s="130"/>
      <c r="F144" s="41">
        <f t="shared" si="17"/>
        <v>11915163</v>
      </c>
      <c r="G144" s="196"/>
      <c r="H144" s="197"/>
    </row>
    <row r="145" spans="1:8" ht="12.75" customHeight="1">
      <c r="A145" s="218" t="s">
        <v>129</v>
      </c>
      <c r="B145" s="41">
        <f t="shared" si="18"/>
        <v>0</v>
      </c>
      <c r="C145" s="11"/>
      <c r="D145" s="8"/>
      <c r="E145" s="130"/>
      <c r="F145" s="41">
        <f t="shared" si="17"/>
        <v>4844100</v>
      </c>
      <c r="G145" s="196"/>
      <c r="H145" s="197"/>
    </row>
    <row r="146" spans="1:8" ht="12.75" customHeight="1">
      <c r="A146" s="218" t="s">
        <v>57</v>
      </c>
      <c r="B146" s="41">
        <f t="shared" si="18"/>
        <v>0</v>
      </c>
      <c r="C146" s="11"/>
      <c r="D146" s="8"/>
      <c r="E146" s="130"/>
      <c r="F146" s="41">
        <f t="shared" si="17"/>
        <v>18000000</v>
      </c>
      <c r="G146" s="199"/>
      <c r="H146" s="200"/>
    </row>
    <row r="147" spans="1:8" ht="12.75" customHeight="1">
      <c r="A147" s="218" t="s">
        <v>130</v>
      </c>
      <c r="B147" s="41">
        <f t="shared" si="18"/>
        <v>0</v>
      </c>
      <c r="C147" s="11"/>
      <c r="D147" s="8">
        <f>10000000+15500000-25500000</f>
        <v>0</v>
      </c>
      <c r="E147" s="130"/>
      <c r="F147" s="41">
        <f t="shared" si="17"/>
        <v>0</v>
      </c>
      <c r="G147" s="199"/>
      <c r="H147" s="200"/>
    </row>
    <row r="148" spans="1:8" ht="12.75" customHeight="1">
      <c r="A148" s="9" t="s">
        <v>59</v>
      </c>
      <c r="B148" s="41">
        <f t="shared" si="18"/>
        <v>1000000</v>
      </c>
      <c r="C148" s="11">
        <v>1000000</v>
      </c>
      <c r="D148" s="8"/>
      <c r="E148" s="130"/>
      <c r="F148" s="41">
        <f t="shared" si="17"/>
        <v>27940369</v>
      </c>
      <c r="G148" s="176"/>
      <c r="H148" s="177"/>
    </row>
    <row r="149" spans="1:8" ht="12.75" customHeight="1" thickBot="1">
      <c r="A149" s="219" t="s">
        <v>60</v>
      </c>
      <c r="B149" s="41">
        <f t="shared" si="18"/>
        <v>0</v>
      </c>
      <c r="C149" s="11"/>
      <c r="D149" s="45"/>
      <c r="E149" s="130"/>
      <c r="F149" s="80">
        <f t="shared" si="17"/>
        <v>2000000</v>
      </c>
      <c r="G149" s="176"/>
      <c r="H149" s="220"/>
    </row>
    <row r="150" spans="1:8" ht="13.5" customHeight="1" thickBot="1">
      <c r="A150" s="221" t="s">
        <v>61</v>
      </c>
      <c r="B150" s="222">
        <f>SUM(B64+B65+B66+B67+B111+B113+B133+B139+B142+B145+B146+B147+B148+B149)</f>
        <v>17999132655.87</v>
      </c>
      <c r="C150" s="223">
        <f>SUM(C64+C65+C66+C67+C111+C113+C133+C139+C142+C145+C146+C147+C148+C149)</f>
        <v>4584577768.08</v>
      </c>
      <c r="D150" s="224">
        <f>SUM(D64+D65+D66+D67+D111+D113+D133+D139+D142+D145+D146+D147+D148+D149)</f>
        <v>13414554887.790003</v>
      </c>
      <c r="E150" s="130"/>
      <c r="F150" s="222">
        <f t="shared" si="17"/>
        <v>33848476537.25</v>
      </c>
      <c r="G150" s="225">
        <f>SUM(G71+G76+G78+G80+G82+G84+G89+G91+G96+G98+G100+G102+G104+G106+G108+G110+G117+G121+G123+G125+G127+G129+G136+G140)</f>
        <v>3719738440.3199997</v>
      </c>
      <c r="H150" s="226">
        <f>SUM(H71+H76+H79+H81+H83+H85+H90+H92+H97+H99+H101+H103+H105+H107+H109+H110+H118+H122+H124+H126+H128+H130+H137+H141)</f>
        <v>1222256842.5300002</v>
      </c>
    </row>
    <row r="151" spans="1:20" ht="13.5" customHeight="1">
      <c r="A151" s="227"/>
      <c r="B151" s="228"/>
      <c r="C151" s="228"/>
      <c r="D151" s="228"/>
      <c r="E151" s="130"/>
      <c r="F151" s="228"/>
      <c r="G151" s="229"/>
      <c r="H151" s="229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1:14" ht="15" customHeight="1" thickBot="1">
      <c r="A152" s="230"/>
      <c r="B152" s="231"/>
      <c r="C152" s="232"/>
      <c r="D152" s="233"/>
      <c r="E152" s="234"/>
      <c r="F152" s="234"/>
      <c r="G152" s="234"/>
      <c r="H152" s="234"/>
      <c r="I152" s="235"/>
      <c r="J152" s="235"/>
      <c r="K152" s="235"/>
      <c r="L152" s="235"/>
      <c r="M152" s="235"/>
      <c r="N152" s="235"/>
    </row>
    <row r="153" spans="1:14" ht="15" customHeight="1" thickBot="1">
      <c r="A153" s="236" t="s">
        <v>131</v>
      </c>
      <c r="B153" s="237" t="s">
        <v>132</v>
      </c>
      <c r="C153" s="238" t="s">
        <v>133</v>
      </c>
      <c r="D153" s="230"/>
      <c r="E153" s="239"/>
      <c r="F153" s="239"/>
      <c r="G153" s="239"/>
      <c r="H153" s="239"/>
      <c r="I153" s="235"/>
      <c r="J153" s="235"/>
      <c r="K153" s="235"/>
      <c r="L153" s="235"/>
      <c r="M153" s="235"/>
      <c r="N153" s="235"/>
    </row>
    <row r="154" spans="1:14" ht="15" customHeight="1" thickBot="1">
      <c r="A154" s="240" t="s">
        <v>134</v>
      </c>
      <c r="B154" s="241">
        <f>SUM(B155:B156)</f>
        <v>6243000</v>
      </c>
      <c r="C154" s="242">
        <f>SUM(C155:C156)</f>
        <v>0</v>
      </c>
      <c r="D154" s="243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</row>
    <row r="155" spans="1:14" ht="15" customHeight="1">
      <c r="A155" s="244" t="s">
        <v>135</v>
      </c>
      <c r="B155" s="245">
        <v>2806000</v>
      </c>
      <c r="C155" s="246">
        <v>0</v>
      </c>
      <c r="D155" s="247"/>
      <c r="E155" s="248"/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5" customHeight="1" thickBot="1">
      <c r="A156" s="249" t="s">
        <v>136</v>
      </c>
      <c r="B156" s="250">
        <v>3437000</v>
      </c>
      <c r="C156" s="251">
        <v>0</v>
      </c>
      <c r="D156" s="247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</row>
    <row r="157" spans="1:14" ht="15" customHeight="1">
      <c r="A157" s="234"/>
      <c r="B157" s="252"/>
      <c r="C157" s="235"/>
      <c r="D157" s="235"/>
      <c r="E157" s="253"/>
      <c r="F157" s="235"/>
      <c r="G157" s="235"/>
      <c r="H157" s="235"/>
      <c r="I157" s="235"/>
      <c r="J157" s="235"/>
      <c r="K157" s="235"/>
      <c r="L157" s="235"/>
      <c r="M157" s="235"/>
      <c r="N157" s="235"/>
    </row>
    <row r="158" spans="1:28" ht="15.75">
      <c r="A158" s="254"/>
      <c r="B158" s="254"/>
      <c r="C158" s="254"/>
      <c r="D158" s="254"/>
      <c r="E158" s="255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</row>
    <row r="159" spans="1:28" ht="15.75">
      <c r="A159" s="254"/>
      <c r="B159" s="254"/>
      <c r="C159" s="254"/>
      <c r="D159" s="254"/>
      <c r="E159" s="255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</row>
    <row r="160" spans="1:28" ht="15.75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</row>
    <row r="161" spans="1:28" ht="15.75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</row>
    <row r="162" spans="1:28" ht="15.75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</row>
    <row r="163" spans="1:28" ht="15.75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</row>
    <row r="164" spans="1:28" ht="15.75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</row>
    <row r="165" spans="1:28" ht="15.75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</row>
    <row r="166" spans="1:28" ht="15.75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</row>
    <row r="167" spans="1:28" ht="15.75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</row>
    <row r="168" spans="1:28" ht="15.75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</row>
    <row r="169" spans="1:28" ht="15.75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</row>
    <row r="170" spans="1:28" ht="15.75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</row>
    <row r="171" spans="1:28" ht="15.75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</row>
    <row r="172" spans="1:28" ht="15.75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</row>
    <row r="173" spans="1:28" ht="15.75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</row>
    <row r="174" spans="1:28" ht="15.75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</row>
    <row r="175" spans="1:28" ht="15.75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</row>
    <row r="176" spans="1:28" ht="15.75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</row>
    <row r="177" spans="1:28" ht="15.75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</row>
    <row r="178" spans="1:28" ht="15.75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</row>
    <row r="179" spans="1:28" ht="15.75">
      <c r="A179" s="254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</row>
    <row r="180" spans="1:28" ht="15.75">
      <c r="A180" s="254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</row>
    <row r="181" spans="1:28" ht="15.75">
      <c r="A181" s="254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</row>
    <row r="182" spans="1:28" ht="15.75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</row>
    <row r="183" spans="1:28" ht="15.75">
      <c r="A183" s="25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</row>
    <row r="184" spans="1:28" ht="15.75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</row>
    <row r="185" spans="1:28" ht="15.75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</row>
    <row r="186" spans="1:28" ht="15.75">
      <c r="A186" s="254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</row>
    <row r="187" spans="1:28" ht="15.75">
      <c r="A187" s="254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</row>
    <row r="188" spans="1:28" ht="15.75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</row>
    <row r="189" spans="1:28" ht="15.75">
      <c r="A189" s="254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</row>
    <row r="190" spans="1:28" ht="15.75">
      <c r="A190" s="254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</row>
    <row r="191" spans="1:28" ht="15.75">
      <c r="A191" s="254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</row>
    <row r="192" spans="1:28" ht="15.75">
      <c r="A192" s="254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</row>
    <row r="193" spans="1:28" ht="15.75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</row>
    <row r="194" spans="1:28" ht="15.75">
      <c r="A194" s="254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</row>
    <row r="195" spans="1:28" ht="15.75">
      <c r="A195" s="254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</row>
    <row r="196" spans="1:28" ht="15.75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</row>
    <row r="197" spans="1:28" ht="15.75">
      <c r="A197" s="254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</row>
    <row r="198" spans="1:28" ht="15.75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</row>
    <row r="199" spans="1:28" ht="15.75">
      <c r="A199" s="254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</row>
    <row r="200" spans="1:28" ht="15.75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</row>
    <row r="201" spans="1:28" ht="15.75">
      <c r="A201" s="254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</row>
    <row r="202" spans="1:28" ht="15.75">
      <c r="A202" s="254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</row>
    <row r="203" spans="1:28" ht="15.75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</row>
    <row r="204" spans="1:28" ht="15.75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</row>
    <row r="205" spans="1:28" ht="15.75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</row>
    <row r="206" spans="1:28" ht="15.75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</row>
    <row r="207" spans="1:28" ht="15.75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</row>
    <row r="208" spans="1:28" ht="15.75">
      <c r="A208" s="254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</row>
    <row r="209" spans="1:28" ht="15.75">
      <c r="A209" s="254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</row>
    <row r="210" spans="1:28" ht="15.75">
      <c r="A210" s="254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</row>
    <row r="211" spans="1:28" ht="15.75">
      <c r="A211" s="25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</row>
    <row r="212" spans="1:28" ht="15.75">
      <c r="A212" s="25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</row>
    <row r="213" spans="1:28" ht="15.75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</row>
    <row r="214" spans="1:28" ht="15.75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</row>
    <row r="215" spans="1:28" ht="15.75">
      <c r="A215" s="254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</row>
    <row r="216" spans="1:28" ht="15.75">
      <c r="A216" s="254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</row>
    <row r="217" spans="1:28" ht="15.75">
      <c r="A217" s="254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</row>
    <row r="218" spans="1:28" ht="15.75">
      <c r="A218" s="254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</row>
    <row r="219" spans="1:28" ht="15.75">
      <c r="A219" s="254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</row>
    <row r="220" spans="1:28" ht="15.75">
      <c r="A220" s="254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</row>
    <row r="221" spans="1:28" ht="15.75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</row>
    <row r="222" spans="1:28" ht="15.75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</row>
    <row r="223" spans="1:28" ht="15.75">
      <c r="A223" s="254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</row>
    <row r="224" spans="1:28" ht="15.75">
      <c r="A224" s="254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</row>
    <row r="225" spans="1:28" ht="15.75">
      <c r="A225" s="254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</row>
    <row r="226" spans="1:28" ht="15.75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</row>
    <row r="227" spans="1:28" ht="15.75">
      <c r="A227" s="25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</row>
    <row r="228" spans="1:28" ht="15.75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</row>
    <row r="229" spans="1:28" ht="15.75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</row>
    <row r="230" spans="1:28" ht="15.75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</row>
    <row r="231" spans="1:28" ht="15.75">
      <c r="A231" s="25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</row>
    <row r="232" spans="1:28" ht="15.75">
      <c r="A232" s="254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</row>
    <row r="233" spans="1:28" ht="15.75">
      <c r="A233" s="254"/>
      <c r="B233" s="254"/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</row>
    <row r="234" spans="1:28" ht="15.75">
      <c r="A234" s="254"/>
      <c r="B234" s="254"/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</row>
    <row r="235" spans="1:28" ht="15.75">
      <c r="A235" s="254"/>
      <c r="B235" s="254"/>
      <c r="C235" s="254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</row>
    <row r="236" spans="1:28" ht="15.75">
      <c r="A236" s="254"/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</row>
    <row r="237" spans="1:28" ht="15.75">
      <c r="A237" s="254"/>
      <c r="B237" s="254"/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</row>
    <row r="238" spans="1:28" ht="15.75">
      <c r="A238" s="254"/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  <c r="AA238" s="254"/>
      <c r="AB238" s="254"/>
    </row>
    <row r="239" spans="1:28" ht="15.75">
      <c r="A239" s="254"/>
      <c r="B239" s="254"/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</row>
    <row r="240" spans="1:28" ht="15.75">
      <c r="A240" s="254"/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</row>
    <row r="241" spans="1:28" ht="15.75">
      <c r="A241" s="254"/>
      <c r="B241" s="254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</row>
    <row r="242" spans="1:28" ht="15.75">
      <c r="A242" s="254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</row>
    <row r="243" spans="1:28" ht="15.75">
      <c r="A243" s="254"/>
      <c r="B243" s="254"/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</row>
    <row r="244" spans="1:28" ht="15.75">
      <c r="A244" s="254"/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</row>
    <row r="245" spans="1:28" ht="15.75">
      <c r="A245" s="254"/>
      <c r="B245" s="254"/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</row>
    <row r="246" spans="1:28" ht="15.75">
      <c r="A246" s="254"/>
      <c r="B246" s="254"/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</row>
    <row r="247" spans="1:28" ht="15.75">
      <c r="A247" s="254"/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</row>
    <row r="248" spans="1:28" ht="15.75">
      <c r="A248" s="254"/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</row>
    <row r="249" spans="1:28" ht="15.75">
      <c r="A249" s="254"/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</row>
    <row r="250" spans="1:28" ht="15.75">
      <c r="A250" s="254"/>
      <c r="B250" s="254"/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</row>
    <row r="251" spans="1:28" ht="15.75">
      <c r="A251" s="254"/>
      <c r="B251" s="254"/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</row>
    <row r="252" spans="1:28" ht="15.75">
      <c r="A252" s="254"/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</row>
    <row r="253" spans="1:28" ht="15.75">
      <c r="A253" s="254"/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</row>
    <row r="254" spans="1:28" ht="15.75">
      <c r="A254" s="254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</row>
    <row r="255" spans="1:28" ht="15.75">
      <c r="A255" s="254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</row>
    <row r="256" spans="1:28" ht="15.75">
      <c r="A256" s="254"/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</row>
    <row r="257" spans="1:28" ht="15.75">
      <c r="A257" s="254"/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</row>
    <row r="258" spans="1:28" ht="15.75">
      <c r="A258" s="254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</row>
    <row r="259" spans="1:28" ht="15.75">
      <c r="A259" s="254"/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</row>
  </sheetData>
  <mergeCells count="10">
    <mergeCell ref="A61:H61"/>
    <mergeCell ref="A1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" right="0.17" top="0.19" bottom="0.16" header="0.2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2009-03-03T08:58:51Z</cp:lastPrinted>
  <dcterms:created xsi:type="dcterms:W3CDTF">2009-03-03T08:55:40Z</dcterms:created>
  <dcterms:modified xsi:type="dcterms:W3CDTF">2009-03-03T09:01:01Z</dcterms:modified>
  <cp:category/>
  <cp:version/>
  <cp:contentType/>
  <cp:contentStatus/>
</cp:coreProperties>
</file>