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erpanie" sheetId="1" r:id="rId1"/>
  </sheets>
  <definedNames/>
  <calcPr fullCalcOnLoad="1"/>
</workbook>
</file>

<file path=xl/sharedStrings.xml><?xml version="1.0" encoding="utf-8"?>
<sst xmlns="http://schemas.openxmlformats.org/spreadsheetml/2006/main" count="93" uniqueCount="83">
  <si>
    <t>A</t>
  </si>
  <si>
    <t>B</t>
  </si>
  <si>
    <t>C</t>
  </si>
  <si>
    <t>D</t>
  </si>
  <si>
    <t>J</t>
  </si>
  <si>
    <t>L</t>
  </si>
  <si>
    <t>N</t>
  </si>
  <si>
    <t xml:space="preserve">14.0.Technická pomoc </t>
  </si>
  <si>
    <t>14.2 Environmentálna infraštruktúra</t>
  </si>
  <si>
    <t>14.3 Lokálna infraštruktúra</t>
  </si>
  <si>
    <t>spolu</t>
  </si>
  <si>
    <t>SOP PS</t>
  </si>
  <si>
    <t>11.0 Technická pomoc</t>
  </si>
  <si>
    <t>11.1 Rast konkurencieschop. priem. a služ. s využitím rozv. dom. rast. potenciálu</t>
  </si>
  <si>
    <t>11.2 Rozvoj cest. ruchu</t>
  </si>
  <si>
    <t>SOP PRV</t>
  </si>
  <si>
    <t>13.0 Technická pomoc</t>
  </si>
  <si>
    <t>13.1 Podpora produktívneho poľnohospodárstva</t>
  </si>
  <si>
    <t>13.2 Podpora trv.udrž. rozvoja vidieka</t>
  </si>
  <si>
    <t>SOP ĽZ</t>
  </si>
  <si>
    <t xml:space="preserve">12.0.Technická pomoc </t>
  </si>
  <si>
    <t>12.1 Rozvoj aktívnej politiky trhu práce</t>
  </si>
  <si>
    <t>12.2 Posilnenie sociálnej inklúzie a rovnosti príležitostí na trhu práce</t>
  </si>
  <si>
    <t>12.3 Zvýšenie kvalif. a adapt. zamest. a osôb vstup. na trh práce</t>
  </si>
  <si>
    <t>JPD 2</t>
  </si>
  <si>
    <t xml:space="preserve">21.0. Technická pomoc </t>
  </si>
  <si>
    <t>21.1 Podpora hosp. činnosti a trv. udrž. rozv. cieľ. územia</t>
  </si>
  <si>
    <t>JPD 3</t>
  </si>
  <si>
    <t xml:space="preserve">31.0.Technická pomoc </t>
  </si>
  <si>
    <t>31.1 Rozvoj akt. polit. trhu práce a soc. integrácie</t>
  </si>
  <si>
    <t>31.2 Rozvoj celoživot. vzdel. a podp. rozv. výskumu a vývoja v kontexte zvyšovania</t>
  </si>
  <si>
    <t>EQUAL</t>
  </si>
  <si>
    <t>51.0 Technická pomoc</t>
  </si>
  <si>
    <t>51.1 Zamestnanosť</t>
  </si>
  <si>
    <t>51.2 Podnikanie</t>
  </si>
  <si>
    <t>51.4 Rovnosť príležitostí</t>
  </si>
  <si>
    <t>51.5 Žiadatelia o azyl</t>
  </si>
  <si>
    <t xml:space="preserve">INTERREG III A </t>
  </si>
  <si>
    <t xml:space="preserve"> INTERREG IIIA / Rakúsko - SR</t>
  </si>
  <si>
    <t>41.1 Cezhr. spolupr. v ekonomike</t>
  </si>
  <si>
    <t>41.2 Dostupnosť</t>
  </si>
  <si>
    <t>41.3 Cezhr. org. štrukt. a siete</t>
  </si>
  <si>
    <t>41.4 Ľudské zdroje</t>
  </si>
  <si>
    <t>41.5 Udrž. územ. a environ. rozv.</t>
  </si>
  <si>
    <t xml:space="preserve">41.6 Technická pomoc </t>
  </si>
  <si>
    <t>43.2 Udržiavanie krajiny a rozvoj turizmu</t>
  </si>
  <si>
    <t xml:space="preserve">43.3 Technická pomoc </t>
  </si>
  <si>
    <t>42.1 Rozvoj infraštruktúry</t>
  </si>
  <si>
    <t>42.2 Socio-ekonomický rozvoj</t>
  </si>
  <si>
    <t xml:space="preserve">42.3 Technická pomoc </t>
  </si>
  <si>
    <t xml:space="preserve"> INTERREG IIIA / Program susedstva/ Maďarsko - SR - Ukrajina</t>
  </si>
  <si>
    <t>44.1 Cezhr. soc.a hosp. spolupráca</t>
  </si>
  <si>
    <t>44.2 Cezhr. dopr. a život. prostr.</t>
  </si>
  <si>
    <t xml:space="preserve">44.3 Technická pomoc </t>
  </si>
  <si>
    <t>Spolu za CSF</t>
  </si>
  <si>
    <t>E</t>
  </si>
  <si>
    <t>M</t>
  </si>
  <si>
    <t>51.3 Adaptabilita</t>
  </si>
  <si>
    <t>OP ZI</t>
  </si>
  <si>
    <t xml:space="preserve"> INTERREG IIIA / ČR-SR</t>
  </si>
  <si>
    <t xml:space="preserve"> INTERREG IIIA / MVRR SR / Poľsko - SR</t>
  </si>
  <si>
    <t>43.1 Soc.a kultúrny rozvoj a tvorba sietí</t>
  </si>
  <si>
    <t xml:space="preserve">14.1 Dopravná infraštruktúra </t>
  </si>
  <si>
    <t>F</t>
  </si>
  <si>
    <t>H</t>
  </si>
  <si>
    <t xml:space="preserve"> Operačný program/JPD/Iniciatívy</t>
  </si>
  <si>
    <t>Predpoklad nevyčerpania fin. prostr. EÚ+ŠR na základe plánovaného čerpania v mil. Sk</t>
  </si>
  <si>
    <t>Kumulatívny priebeh skutočného čerpania fin. prostriedkov EÚ+ŠR v mil.Sk v jednotlivých rokoch podľa údajov MF</t>
  </si>
  <si>
    <t>Príloha č. 2</t>
  </si>
  <si>
    <t>2008/IV.</t>
  </si>
  <si>
    <t>2009/I.</t>
  </si>
  <si>
    <t>Potreba čerpať v mil. Sk v zostávajúcom období</t>
  </si>
  <si>
    <t>G</t>
  </si>
  <si>
    <t>I</t>
  </si>
  <si>
    <t xml:space="preserve">Alokácia 2004-2006 po znížení záväzku v mil.Sk </t>
  </si>
  <si>
    <t>Čerpanie k 31.3.08 v %</t>
  </si>
  <si>
    <t>Čerpanie k 30.6.08   v %</t>
  </si>
  <si>
    <t>Plán čerpania v jednotlivých štvrťrokoch v mil.Sk (údaje RO/SORO)</t>
  </si>
  <si>
    <t>2009/apríl</t>
  </si>
  <si>
    <t>O</t>
  </si>
  <si>
    <t>Čerpanie k 30.9.08 po odrátaní nezrovnalostí a vrátených fin. prostr. deklar. na EK (MF SR)</t>
  </si>
  <si>
    <t>Stav a plán čerpania alokácie (EÚ+ŠR) na programové obdobie 2004 - 2006 podľa priorít a štvrťrokov k 30. 9. 2008 v mil. Sk</t>
  </si>
  <si>
    <t>Čerpanie k 30.9.08 v %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</si>
</sst>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0.00000000"/>
    <numFmt numFmtId="182" formatCode="0.000000000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name val="Arial Narrow"/>
      <family val="2"/>
    </font>
    <font>
      <sz val="11"/>
      <name val="Arial"/>
      <family val="2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2" fillId="2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" fontId="2" fillId="0" borderId="1" xfId="19" applyNumberFormat="1" applyFont="1" applyBorder="1" applyAlignment="1">
      <alignment horizontal="right"/>
    </xf>
    <xf numFmtId="4" fontId="2" fillId="2" borderId="1" xfId="19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2" borderId="1" xfId="0" applyNumberFormat="1" applyFont="1" applyFill="1" applyBorder="1" applyAlignment="1">
      <alignment horizontal="right"/>
    </xf>
    <xf numFmtId="4" fontId="2" fillId="0" borderId="1" xfId="19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2" fontId="2" fillId="0" borderId="1" xfId="19" applyNumberFormat="1" applyFont="1" applyFill="1" applyBorder="1" applyAlignment="1">
      <alignment horizontal="right"/>
    </xf>
    <xf numFmtId="2" fontId="2" fillId="2" borderId="1" xfId="19" applyNumberFormat="1" applyFont="1" applyFill="1" applyBorder="1" applyAlignment="1">
      <alignment horizontal="right"/>
    </xf>
    <xf numFmtId="2" fontId="2" fillId="3" borderId="1" xfId="19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4" fontId="2" fillId="2" borderId="1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1" xfId="0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right" wrapText="1"/>
    </xf>
    <xf numFmtId="4" fontId="2" fillId="0" borderId="6" xfId="0" applyNumberFormat="1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2" fontId="2" fillId="2" borderId="6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2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85" zoomScaleNormal="85" workbookViewId="0" topLeftCell="A22">
      <pane xSplit="2" topLeftCell="C1" activePane="topRight" state="frozen"/>
      <selection pane="topLeft" activeCell="A22" sqref="A22"/>
      <selection pane="topRight" activeCell="C39" sqref="C39:C45"/>
    </sheetView>
  </sheetViews>
  <sheetFormatPr defaultColWidth="9.140625" defaultRowHeight="12.75"/>
  <cols>
    <col min="1" max="1" width="6.28125" style="12" customWidth="1"/>
    <col min="2" max="2" width="25.421875" style="1" customWidth="1"/>
    <col min="3" max="3" width="10.7109375" style="1" customWidth="1"/>
    <col min="4" max="4" width="8.421875" style="1" customWidth="1"/>
    <col min="5" max="5" width="8.140625" style="1" bestFit="1" customWidth="1"/>
    <col min="6" max="7" width="9.28125" style="1" bestFit="1" customWidth="1"/>
    <col min="8" max="8" width="10.7109375" style="1" customWidth="1"/>
    <col min="9" max="9" width="11.8515625" style="1" bestFit="1" customWidth="1"/>
    <col min="10" max="10" width="16.140625" style="1" customWidth="1"/>
    <col min="11" max="11" width="9.00390625" style="1" customWidth="1"/>
    <col min="12" max="12" width="12.8515625" style="1" customWidth="1"/>
    <col min="13" max="14" width="10.140625" style="1" customWidth="1"/>
    <col min="15" max="15" width="10.7109375" style="1" customWidth="1"/>
    <col min="16" max="16" width="13.8515625" style="1" customWidth="1"/>
    <col min="17" max="16384" width="9.140625" style="1" customWidth="1"/>
  </cols>
  <sheetData>
    <row r="1" spans="1:16" ht="14.25">
      <c r="A1" s="34" t="s">
        <v>81</v>
      </c>
      <c r="B1" s="33"/>
      <c r="C1" s="33"/>
      <c r="D1" s="33"/>
      <c r="E1" s="33"/>
      <c r="F1" s="33"/>
      <c r="G1" s="33"/>
      <c r="H1" s="33"/>
      <c r="I1" s="33"/>
      <c r="K1" s="33"/>
      <c r="L1" s="33"/>
      <c r="M1" s="33"/>
      <c r="N1" s="33"/>
      <c r="O1" s="33"/>
      <c r="P1" s="49" t="s">
        <v>68</v>
      </c>
    </row>
    <row r="2" spans="1:16" ht="53.25" customHeight="1">
      <c r="A2" s="55" t="s">
        <v>65</v>
      </c>
      <c r="B2" s="56"/>
      <c r="C2" s="61" t="s">
        <v>74</v>
      </c>
      <c r="D2" s="72" t="s">
        <v>67</v>
      </c>
      <c r="E2" s="73"/>
      <c r="F2" s="73"/>
      <c r="G2" s="74"/>
      <c r="H2" s="52" t="s">
        <v>75</v>
      </c>
      <c r="I2" s="26"/>
      <c r="J2" s="52" t="s">
        <v>80</v>
      </c>
      <c r="K2" s="62" t="s">
        <v>82</v>
      </c>
      <c r="L2" s="52" t="s">
        <v>71</v>
      </c>
      <c r="M2" s="50" t="s">
        <v>77</v>
      </c>
      <c r="N2" s="50"/>
      <c r="O2" s="50"/>
      <c r="P2" s="61" t="s">
        <v>66</v>
      </c>
    </row>
    <row r="3" spans="1:16" ht="12" customHeight="1">
      <c r="A3" s="57"/>
      <c r="B3" s="58"/>
      <c r="C3" s="61"/>
      <c r="D3" s="69">
        <v>2004</v>
      </c>
      <c r="E3" s="69">
        <v>2005</v>
      </c>
      <c r="F3" s="69">
        <v>2006</v>
      </c>
      <c r="G3" s="52">
        <v>2007</v>
      </c>
      <c r="H3" s="53"/>
      <c r="I3" s="27"/>
      <c r="J3" s="53"/>
      <c r="K3" s="63"/>
      <c r="L3" s="75"/>
      <c r="M3" s="77" t="s">
        <v>69</v>
      </c>
      <c r="N3" s="77" t="s">
        <v>70</v>
      </c>
      <c r="O3" s="65" t="s">
        <v>78</v>
      </c>
      <c r="P3" s="61"/>
    </row>
    <row r="4" spans="1:16" ht="36" customHeight="1">
      <c r="A4" s="57"/>
      <c r="B4" s="58"/>
      <c r="C4" s="61"/>
      <c r="D4" s="70"/>
      <c r="E4" s="70"/>
      <c r="F4" s="70"/>
      <c r="G4" s="71"/>
      <c r="H4" s="54"/>
      <c r="I4" s="28" t="s">
        <v>76</v>
      </c>
      <c r="J4" s="54"/>
      <c r="K4" s="64"/>
      <c r="L4" s="76"/>
      <c r="M4" s="78"/>
      <c r="N4" s="78"/>
      <c r="O4" s="66"/>
      <c r="P4" s="61"/>
    </row>
    <row r="5" spans="1:16" ht="12">
      <c r="A5" s="59"/>
      <c r="B5" s="60"/>
      <c r="C5" s="2" t="s">
        <v>0</v>
      </c>
      <c r="D5" s="2" t="s">
        <v>1</v>
      </c>
      <c r="E5" s="3" t="s">
        <v>2</v>
      </c>
      <c r="F5" s="2" t="s">
        <v>3</v>
      </c>
      <c r="G5" s="2" t="s">
        <v>55</v>
      </c>
      <c r="H5" s="2" t="s">
        <v>63</v>
      </c>
      <c r="I5" s="2" t="s">
        <v>72</v>
      </c>
      <c r="J5" s="2" t="s">
        <v>64</v>
      </c>
      <c r="K5" s="2" t="s">
        <v>73</v>
      </c>
      <c r="L5" s="2" t="s">
        <v>4</v>
      </c>
      <c r="M5" s="2" t="s">
        <v>5</v>
      </c>
      <c r="N5" s="2" t="s">
        <v>56</v>
      </c>
      <c r="O5" s="41" t="s">
        <v>6</v>
      </c>
      <c r="P5" s="2" t="s">
        <v>79</v>
      </c>
    </row>
    <row r="6" spans="1:17" ht="12.75">
      <c r="A6" s="51" t="s">
        <v>58</v>
      </c>
      <c r="B6" s="4" t="s">
        <v>7</v>
      </c>
      <c r="C6" s="16">
        <v>1092.611074</v>
      </c>
      <c r="D6" s="16">
        <v>32.67007895</v>
      </c>
      <c r="E6" s="16">
        <f>D6+80.31469042</f>
        <v>112.98476937000001</v>
      </c>
      <c r="F6" s="16">
        <f>E6+296.38673858</f>
        <v>409.37150795</v>
      </c>
      <c r="G6" s="21">
        <v>729.15256638</v>
      </c>
      <c r="H6" s="29">
        <v>68.57840942311373</v>
      </c>
      <c r="I6" s="29">
        <v>79.6544528323168</v>
      </c>
      <c r="J6" s="32">
        <v>908.9459715600001</v>
      </c>
      <c r="K6" s="32">
        <f>J6/C6*100</f>
        <v>83.19025801490277</v>
      </c>
      <c r="L6" s="32">
        <f>C6-J6</f>
        <v>183.66510243999983</v>
      </c>
      <c r="M6" s="32">
        <v>104.29773600000001</v>
      </c>
      <c r="N6" s="32">
        <v>56.285</v>
      </c>
      <c r="O6" s="42">
        <v>0</v>
      </c>
      <c r="P6" s="23">
        <f>L6-(M6+N6+O6)</f>
        <v>23.082366439999817</v>
      </c>
      <c r="Q6" s="24"/>
    </row>
    <row r="7" spans="1:17" ht="12.75">
      <c r="A7" s="51"/>
      <c r="B7" s="5" t="s">
        <v>62</v>
      </c>
      <c r="C7" s="8">
        <v>10548.36</v>
      </c>
      <c r="D7" s="8">
        <v>0</v>
      </c>
      <c r="E7" s="8">
        <v>1038.83125302</v>
      </c>
      <c r="F7" s="8">
        <f>E7+2209.29108992</f>
        <v>3248.12234294</v>
      </c>
      <c r="G7" s="13">
        <v>5999.92931535</v>
      </c>
      <c r="H7" s="29">
        <v>60.83362721788031</v>
      </c>
      <c r="I7" s="29">
        <v>65.07075110206705</v>
      </c>
      <c r="J7" s="16">
        <v>7402.819716960001</v>
      </c>
      <c r="K7" s="16">
        <f aca="true" t="shared" si="0" ref="K7:K37">J7/C7*100</f>
        <v>70.17981673890539</v>
      </c>
      <c r="L7" s="32">
        <f aca="true" t="shared" si="1" ref="L7:L37">C7-J7</f>
        <v>3145.54028304</v>
      </c>
      <c r="M7" s="16">
        <v>1886.60457594</v>
      </c>
      <c r="N7" s="16">
        <v>669.055</v>
      </c>
      <c r="O7" s="43">
        <v>0</v>
      </c>
      <c r="P7" s="23">
        <f aca="true" t="shared" si="2" ref="P7:P61">L7-(M7+N7+O7)</f>
        <v>589.8807071000001</v>
      </c>
      <c r="Q7" s="24"/>
    </row>
    <row r="8" spans="1:17" ht="24">
      <c r="A8" s="51"/>
      <c r="B8" s="5" t="s">
        <v>8</v>
      </c>
      <c r="C8" s="8">
        <v>5074.490588</v>
      </c>
      <c r="D8" s="8">
        <v>0</v>
      </c>
      <c r="E8" s="8">
        <v>289.17252554000004</v>
      </c>
      <c r="F8" s="8">
        <f>E8+1580.74270921</f>
        <v>1869.9152347499999</v>
      </c>
      <c r="G8" s="21">
        <v>3416.60295599</v>
      </c>
      <c r="H8" s="29">
        <v>74.27070628355258</v>
      </c>
      <c r="I8" s="29">
        <v>85.67860048497148</v>
      </c>
      <c r="J8" s="16">
        <v>4718.8419164100005</v>
      </c>
      <c r="K8" s="16">
        <f t="shared" si="0"/>
        <v>92.99144090579208</v>
      </c>
      <c r="L8" s="32">
        <f t="shared" si="1"/>
        <v>355.64867158999914</v>
      </c>
      <c r="M8" s="16">
        <v>326.81</v>
      </c>
      <c r="N8" s="16">
        <v>60.04</v>
      </c>
      <c r="O8" s="43">
        <v>0</v>
      </c>
      <c r="P8" s="23">
        <f t="shared" si="2"/>
        <v>-31.201328410000883</v>
      </c>
      <c r="Q8" s="24"/>
    </row>
    <row r="9" spans="1:17" ht="12.75">
      <c r="A9" s="51"/>
      <c r="B9" s="4" t="s">
        <v>9</v>
      </c>
      <c r="C9" s="8">
        <v>4415.565458</v>
      </c>
      <c r="D9" s="8">
        <v>0</v>
      </c>
      <c r="E9" s="8">
        <v>381.23074362</v>
      </c>
      <c r="F9" s="8">
        <f>E9+870.73509736</f>
        <v>1251.96584098</v>
      </c>
      <c r="G9" s="13">
        <v>2658.6889816199996</v>
      </c>
      <c r="H9" s="29">
        <v>66.44222643522637</v>
      </c>
      <c r="I9" s="29">
        <v>74.60510660693731</v>
      </c>
      <c r="J9" s="16">
        <v>3614.78627479</v>
      </c>
      <c r="K9" s="16">
        <f t="shared" si="0"/>
        <v>81.86462887195636</v>
      </c>
      <c r="L9" s="32">
        <f t="shared" si="1"/>
        <v>800.7791832100002</v>
      </c>
      <c r="M9" s="16">
        <v>410</v>
      </c>
      <c r="N9" s="16">
        <v>305</v>
      </c>
      <c r="O9" s="43">
        <v>85.78</v>
      </c>
      <c r="P9" s="23">
        <f t="shared" si="2"/>
        <v>-0.0008167899998170469</v>
      </c>
      <c r="Q9" s="24"/>
    </row>
    <row r="10" spans="1:17" ht="12">
      <c r="A10" s="51"/>
      <c r="B10" s="6" t="s">
        <v>10</v>
      </c>
      <c r="C10" s="10">
        <f>SUM(C6:C9)</f>
        <v>21131.027120000002</v>
      </c>
      <c r="D10" s="10">
        <f>SUM(D6:D9)</f>
        <v>32.67007895</v>
      </c>
      <c r="E10" s="10">
        <f>SUM(E6:E9)</f>
        <v>1822.21929155</v>
      </c>
      <c r="F10" s="10">
        <f>SUM(F6:F9)</f>
        <v>6779.374926619999</v>
      </c>
      <c r="G10" s="14">
        <v>12804.37381934</v>
      </c>
      <c r="H10" s="30">
        <v>65.63462306511866</v>
      </c>
      <c r="I10" s="30">
        <v>72.76598624851889</v>
      </c>
      <c r="J10" s="10">
        <v>16645.393879720003</v>
      </c>
      <c r="K10" s="10">
        <f t="shared" si="0"/>
        <v>78.77228960614765</v>
      </c>
      <c r="L10" s="10">
        <f t="shared" si="1"/>
        <v>4485.63324028</v>
      </c>
      <c r="M10" s="10">
        <f>SUM(M6:M9)</f>
        <v>2727.71231194</v>
      </c>
      <c r="N10" s="10">
        <f>SUM(N6:N9)</f>
        <v>1090.3799999999999</v>
      </c>
      <c r="O10" s="44">
        <f>SUM(O6:O9)</f>
        <v>85.78</v>
      </c>
      <c r="P10" s="20">
        <f t="shared" si="2"/>
        <v>581.7609283400002</v>
      </c>
      <c r="Q10" s="22"/>
    </row>
    <row r="11" spans="1:17" ht="12">
      <c r="A11" s="51" t="s">
        <v>11</v>
      </c>
      <c r="B11" s="5" t="s">
        <v>12</v>
      </c>
      <c r="C11" s="8">
        <v>431.79</v>
      </c>
      <c r="D11" s="8">
        <v>0</v>
      </c>
      <c r="E11" s="8">
        <v>29.03051341</v>
      </c>
      <c r="F11" s="8">
        <f>E11+66.66145455</f>
        <v>95.69196796</v>
      </c>
      <c r="G11" s="13">
        <v>293.74195694</v>
      </c>
      <c r="H11" s="29">
        <v>70.04793997081914</v>
      </c>
      <c r="I11" s="29">
        <v>73.20319065749554</v>
      </c>
      <c r="J11" s="16">
        <v>339.2</v>
      </c>
      <c r="K11" s="16">
        <f t="shared" si="0"/>
        <v>78.55670580606312</v>
      </c>
      <c r="L11" s="32">
        <f t="shared" si="1"/>
        <v>92.59000000000003</v>
      </c>
      <c r="M11" s="16">
        <v>80.809</v>
      </c>
      <c r="N11" s="16">
        <v>0</v>
      </c>
      <c r="O11" s="43">
        <v>0</v>
      </c>
      <c r="P11" s="23">
        <f t="shared" si="2"/>
        <v>11.781000000000034</v>
      </c>
      <c r="Q11" s="18"/>
    </row>
    <row r="12" spans="1:17" ht="36">
      <c r="A12" s="51"/>
      <c r="B12" s="5" t="s">
        <v>13</v>
      </c>
      <c r="C12" s="8">
        <v>4727.84</v>
      </c>
      <c r="D12" s="8">
        <v>0</v>
      </c>
      <c r="E12" s="8">
        <v>280.38504969</v>
      </c>
      <c r="F12" s="8">
        <f>E12+1239.00935968</f>
        <v>1519.39440937</v>
      </c>
      <c r="G12" s="13">
        <v>2470.00663329</v>
      </c>
      <c r="H12" s="29">
        <v>55.325053301296144</v>
      </c>
      <c r="I12" s="29">
        <v>61.26916228742936</v>
      </c>
      <c r="J12" s="16">
        <v>3070.25</v>
      </c>
      <c r="K12" s="16">
        <f t="shared" si="0"/>
        <v>64.93980337744087</v>
      </c>
      <c r="L12" s="32">
        <f t="shared" si="1"/>
        <v>1657.5900000000001</v>
      </c>
      <c r="M12" s="16">
        <v>1484.368</v>
      </c>
      <c r="N12" s="16">
        <v>0</v>
      </c>
      <c r="O12" s="43">
        <v>0</v>
      </c>
      <c r="P12" s="23">
        <f t="shared" si="2"/>
        <v>173.2220000000002</v>
      </c>
      <c r="Q12" s="18"/>
    </row>
    <row r="13" spans="1:16" ht="12">
      <c r="A13" s="51"/>
      <c r="B13" s="5" t="s">
        <v>14</v>
      </c>
      <c r="C13" s="8">
        <v>3608.5</v>
      </c>
      <c r="D13" s="8">
        <v>0</v>
      </c>
      <c r="E13" s="8">
        <v>84.67436079</v>
      </c>
      <c r="F13" s="8">
        <f>E13+1157.02664808</f>
        <v>1241.7010088700001</v>
      </c>
      <c r="G13" s="13">
        <v>2337.13097713</v>
      </c>
      <c r="H13" s="29">
        <v>68.82471941249827</v>
      </c>
      <c r="I13" s="29">
        <v>75.17436203768878</v>
      </c>
      <c r="J13" s="16">
        <v>2806.1</v>
      </c>
      <c r="K13" s="16">
        <f t="shared" si="0"/>
        <v>77.76361368989885</v>
      </c>
      <c r="L13" s="32">
        <f t="shared" si="1"/>
        <v>802.4000000000001</v>
      </c>
      <c r="M13" s="16">
        <v>869.345</v>
      </c>
      <c r="N13" s="16">
        <v>0</v>
      </c>
      <c r="O13" s="43">
        <v>0</v>
      </c>
      <c r="P13" s="23">
        <f t="shared" si="2"/>
        <v>-66.94499999999994</v>
      </c>
    </row>
    <row r="14" spans="1:17" ht="12">
      <c r="A14" s="51"/>
      <c r="B14" s="7" t="s">
        <v>10</v>
      </c>
      <c r="C14" s="10">
        <f>SUM(C11:C13)</f>
        <v>8768.130000000001</v>
      </c>
      <c r="D14" s="10">
        <f>SUM(D11:D13)</f>
        <v>0</v>
      </c>
      <c r="E14" s="10">
        <f>SUM(E11:E13)</f>
        <v>394.08992389</v>
      </c>
      <c r="F14" s="10">
        <f>SUM(F11:F13)</f>
        <v>2856.7873862</v>
      </c>
      <c r="G14" s="14">
        <v>5100.87956736</v>
      </c>
      <c r="H14" s="30">
        <v>61.605838417085515</v>
      </c>
      <c r="I14" s="30">
        <v>67.57950524638662</v>
      </c>
      <c r="J14" s="10">
        <v>6215.55</v>
      </c>
      <c r="K14" s="10">
        <f t="shared" si="0"/>
        <v>70.88797725398688</v>
      </c>
      <c r="L14" s="35">
        <f t="shared" si="1"/>
        <v>2552.580000000001</v>
      </c>
      <c r="M14" s="10">
        <f>SUM(M11:M13)</f>
        <v>2434.522</v>
      </c>
      <c r="N14" s="10">
        <f>SUM(N11:N13)</f>
        <v>0</v>
      </c>
      <c r="O14" s="44">
        <f>SUM(O11:O13)</f>
        <v>0</v>
      </c>
      <c r="P14" s="20">
        <f t="shared" si="2"/>
        <v>118.0580000000009</v>
      </c>
      <c r="Q14" s="18"/>
    </row>
    <row r="15" spans="1:17" ht="12.75">
      <c r="A15" s="51" t="s">
        <v>15</v>
      </c>
      <c r="B15" s="5" t="s">
        <v>16</v>
      </c>
      <c r="C15" s="8">
        <v>219.55602</v>
      </c>
      <c r="D15" s="8">
        <v>0</v>
      </c>
      <c r="E15" s="8">
        <v>26.28</v>
      </c>
      <c r="F15" s="8">
        <v>72.97</v>
      </c>
      <c r="G15" s="8">
        <v>127.3</v>
      </c>
      <c r="H15" s="29">
        <v>59.486798772358874</v>
      </c>
      <c r="I15" s="29">
        <v>64.67597654575812</v>
      </c>
      <c r="J15" s="8">
        <v>191.77</v>
      </c>
      <c r="K15" s="8">
        <f t="shared" si="0"/>
        <v>87.34445086042278</v>
      </c>
      <c r="L15" s="32">
        <f t="shared" si="1"/>
        <v>27.78601999999998</v>
      </c>
      <c r="M15" s="8">
        <v>20.69</v>
      </c>
      <c r="N15" s="8">
        <v>7</v>
      </c>
      <c r="O15" s="45">
        <v>2</v>
      </c>
      <c r="P15" s="23">
        <f t="shared" si="2"/>
        <v>-1.903980000000022</v>
      </c>
      <c r="Q15" s="24"/>
    </row>
    <row r="16" spans="1:16" ht="24">
      <c r="A16" s="51"/>
      <c r="B16" s="5" t="s">
        <v>17</v>
      </c>
      <c r="C16" s="8">
        <v>7038.008462</v>
      </c>
      <c r="D16" s="8">
        <v>0</v>
      </c>
      <c r="E16" s="8">
        <v>2078.46</v>
      </c>
      <c r="F16" s="8">
        <v>4213.44</v>
      </c>
      <c r="G16" s="8">
        <v>5936.25</v>
      </c>
      <c r="H16" s="29">
        <v>86.93098385763209</v>
      </c>
      <c r="I16" s="29">
        <v>90.85865745297538</v>
      </c>
      <c r="J16" s="8">
        <v>6518.81</v>
      </c>
      <c r="K16" s="8">
        <f t="shared" si="0"/>
        <v>92.62293495662468</v>
      </c>
      <c r="L16" s="32">
        <f t="shared" si="1"/>
        <v>519.1984619999994</v>
      </c>
      <c r="M16" s="8">
        <v>482.91</v>
      </c>
      <c r="N16" s="8">
        <v>0</v>
      </c>
      <c r="O16" s="45">
        <v>0</v>
      </c>
      <c r="P16" s="23">
        <f t="shared" si="2"/>
        <v>36.288461999999356</v>
      </c>
    </row>
    <row r="17" spans="1:16" ht="24">
      <c r="A17" s="51"/>
      <c r="B17" s="5" t="s">
        <v>18</v>
      </c>
      <c r="C17" s="8">
        <v>2470.14</v>
      </c>
      <c r="D17" s="8">
        <v>0</v>
      </c>
      <c r="E17" s="8">
        <v>38.78961186</v>
      </c>
      <c r="F17" s="8">
        <v>645.27961186</v>
      </c>
      <c r="G17" s="8">
        <v>1387.02961186</v>
      </c>
      <c r="H17" s="29">
        <v>64.71900378116221</v>
      </c>
      <c r="I17" s="29">
        <v>72.80921777146236</v>
      </c>
      <c r="J17" s="8">
        <v>1990.51</v>
      </c>
      <c r="K17" s="8">
        <f t="shared" si="0"/>
        <v>80.58288194191422</v>
      </c>
      <c r="L17" s="32">
        <f t="shared" si="1"/>
        <v>479.6299999999999</v>
      </c>
      <c r="M17" s="8">
        <v>326.86</v>
      </c>
      <c r="N17" s="8">
        <v>0</v>
      </c>
      <c r="O17" s="45">
        <v>0</v>
      </c>
      <c r="P17" s="23">
        <f t="shared" si="2"/>
        <v>152.76999999999987</v>
      </c>
    </row>
    <row r="18" spans="1:17" ht="12">
      <c r="A18" s="51"/>
      <c r="B18" s="7" t="s">
        <v>10</v>
      </c>
      <c r="C18" s="10">
        <f>C15+C16+C17</f>
        <v>9727.704482</v>
      </c>
      <c r="D18" s="10">
        <f>D15+D16+D17</f>
        <v>0</v>
      </c>
      <c r="E18" s="10">
        <f>E15+E16+E17</f>
        <v>2143.5296118600004</v>
      </c>
      <c r="F18" s="10">
        <f>F15+F16+F17</f>
        <v>4931.68961186</v>
      </c>
      <c r="G18" s="10">
        <v>7450.57961186</v>
      </c>
      <c r="H18" s="30">
        <v>80.67134455534544</v>
      </c>
      <c r="I18" s="30">
        <v>85.6844451564416</v>
      </c>
      <c r="J18" s="10">
        <f>SUM(J15:J17)</f>
        <v>8701.09</v>
      </c>
      <c r="K18" s="10">
        <f t="shared" si="0"/>
        <v>89.44648777211899</v>
      </c>
      <c r="L18" s="35">
        <f t="shared" si="1"/>
        <v>1026.614481999999</v>
      </c>
      <c r="M18" s="10">
        <f>SUM(M15:M17)</f>
        <v>830.46</v>
      </c>
      <c r="N18" s="10">
        <f>SUM(N15:N17)</f>
        <v>7</v>
      </c>
      <c r="O18" s="44">
        <f>SUM(O15:O17)</f>
        <v>2</v>
      </c>
      <c r="P18" s="20">
        <f t="shared" si="2"/>
        <v>187.154481999999</v>
      </c>
      <c r="Q18" s="22"/>
    </row>
    <row r="19" spans="1:16" ht="12">
      <c r="A19" s="51" t="s">
        <v>19</v>
      </c>
      <c r="B19" s="5" t="s">
        <v>20</v>
      </c>
      <c r="C19" s="8">
        <v>432.411006</v>
      </c>
      <c r="D19" s="8">
        <v>10.48818335</v>
      </c>
      <c r="E19" s="8">
        <f>D19+29.3032287</f>
        <v>39.79141205</v>
      </c>
      <c r="F19" s="8">
        <f>E19+79.54294162</f>
        <v>119.33435366999998</v>
      </c>
      <c r="G19" s="13">
        <v>231.93684146999996</v>
      </c>
      <c r="H19" s="29">
        <v>57.752924077977795</v>
      </c>
      <c r="I19" s="29">
        <v>65.06579528644097</v>
      </c>
      <c r="J19" s="16">
        <v>304.36351055</v>
      </c>
      <c r="K19" s="25">
        <f t="shared" si="0"/>
        <v>70.38754942097843</v>
      </c>
      <c r="L19" s="32">
        <f t="shared" si="1"/>
        <v>128.04749544999999</v>
      </c>
      <c r="M19" s="25">
        <v>44.64</v>
      </c>
      <c r="N19" s="25">
        <v>45.13</v>
      </c>
      <c r="O19" s="46">
        <v>22.22</v>
      </c>
      <c r="P19" s="23">
        <f t="shared" si="2"/>
        <v>16.057495449999976</v>
      </c>
    </row>
    <row r="20" spans="1:16" ht="24">
      <c r="A20" s="51"/>
      <c r="B20" s="5" t="s">
        <v>21</v>
      </c>
      <c r="C20" s="8">
        <v>9010.50965</v>
      </c>
      <c r="D20" s="8">
        <v>99.617778</v>
      </c>
      <c r="E20" s="8">
        <f>D20+2010.36079673</f>
        <v>2109.9785747299998</v>
      </c>
      <c r="F20" s="8">
        <f>E20+2787.04881683</f>
        <v>4897.027391559999</v>
      </c>
      <c r="G20" s="13">
        <v>6897.1365692300005</v>
      </c>
      <c r="H20" s="29">
        <v>79.75331339887084</v>
      </c>
      <c r="I20" s="29">
        <v>84.46823632889621</v>
      </c>
      <c r="J20" s="16">
        <v>7927.24055469056</v>
      </c>
      <c r="K20" s="25">
        <f t="shared" si="0"/>
        <v>87.97771560780205</v>
      </c>
      <c r="L20" s="32">
        <f t="shared" si="1"/>
        <v>1083.2690953094398</v>
      </c>
      <c r="M20" s="25">
        <v>383.77625</v>
      </c>
      <c r="N20" s="25">
        <v>354.6688626933333</v>
      </c>
      <c r="O20" s="46">
        <v>177.33443134666666</v>
      </c>
      <c r="P20" s="23">
        <f t="shared" si="2"/>
        <v>167.48955126943974</v>
      </c>
    </row>
    <row r="21" spans="1:16" ht="24.75" customHeight="1">
      <c r="A21" s="51"/>
      <c r="B21" s="5" t="s">
        <v>22</v>
      </c>
      <c r="C21" s="8">
        <v>935.744946</v>
      </c>
      <c r="D21" s="8">
        <v>0</v>
      </c>
      <c r="E21" s="8">
        <f>D21+23.6884609</f>
        <v>23.6884609</v>
      </c>
      <c r="F21" s="8">
        <f>E21+88.33540378</f>
        <v>112.02386467999999</v>
      </c>
      <c r="G21" s="13">
        <v>182.48060321</v>
      </c>
      <c r="H21" s="29">
        <v>24.938419491073585</v>
      </c>
      <c r="I21" s="29">
        <v>35.552522270315315</v>
      </c>
      <c r="J21" s="16">
        <v>453.14443691</v>
      </c>
      <c r="K21" s="25">
        <f t="shared" si="0"/>
        <v>48.4260629829787</v>
      </c>
      <c r="L21" s="32">
        <f t="shared" si="1"/>
        <v>482.60050909</v>
      </c>
      <c r="M21" s="25">
        <v>175.903072</v>
      </c>
      <c r="N21" s="25">
        <v>143.16584266666666</v>
      </c>
      <c r="O21" s="46">
        <v>71.58292133333333</v>
      </c>
      <c r="P21" s="23">
        <f t="shared" si="2"/>
        <v>91.94867309</v>
      </c>
    </row>
    <row r="22" spans="1:17" ht="36">
      <c r="A22" s="51"/>
      <c r="B22" s="5" t="s">
        <v>23</v>
      </c>
      <c r="C22" s="8">
        <v>3575.08864</v>
      </c>
      <c r="D22" s="8">
        <v>0</v>
      </c>
      <c r="E22" s="8">
        <f>D22+81.2196277</f>
        <v>81.2196277</v>
      </c>
      <c r="F22" s="8">
        <f>E22+197.22896438</f>
        <v>278.44859208</v>
      </c>
      <c r="G22" s="13">
        <v>616.38624805</v>
      </c>
      <c r="H22" s="29">
        <v>19.76957975509105</v>
      </c>
      <c r="I22" s="29">
        <v>25.38617743111399</v>
      </c>
      <c r="J22" s="16">
        <v>1086.2288896</v>
      </c>
      <c r="K22" s="25">
        <f t="shared" si="0"/>
        <v>30.383271548758017</v>
      </c>
      <c r="L22" s="32">
        <f t="shared" si="1"/>
        <v>2488.8597504</v>
      </c>
      <c r="M22" s="25">
        <v>327.68399999999997</v>
      </c>
      <c r="N22" s="25">
        <v>592.729</v>
      </c>
      <c r="O22" s="46">
        <v>223.035</v>
      </c>
      <c r="P22" s="23">
        <f t="shared" si="2"/>
        <v>1345.4117503999998</v>
      </c>
      <c r="Q22" s="18"/>
    </row>
    <row r="23" spans="1:17" ht="12">
      <c r="A23" s="51"/>
      <c r="B23" s="7" t="s">
        <v>10</v>
      </c>
      <c r="C23" s="10">
        <f>SUM(C19:C22)</f>
        <v>13953.754242</v>
      </c>
      <c r="D23" s="10">
        <f>SUM(D19:D22)</f>
        <v>110.10596135</v>
      </c>
      <c r="E23" s="10">
        <f>SUM(E19:E22)</f>
        <v>2254.6780753799994</v>
      </c>
      <c r="F23" s="10">
        <f>SUM(F19:F22)</f>
        <v>5406.834201989999</v>
      </c>
      <c r="G23" s="14">
        <v>7927.9402619600005</v>
      </c>
      <c r="H23" s="30">
        <v>60.02721457418656</v>
      </c>
      <c r="I23" s="30">
        <v>65.44926449873473</v>
      </c>
      <c r="J23" s="10">
        <v>9770.977391750563</v>
      </c>
      <c r="K23" s="20">
        <f t="shared" si="0"/>
        <v>70.02400373614493</v>
      </c>
      <c r="L23" s="35">
        <f t="shared" si="1"/>
        <v>4182.776850249438</v>
      </c>
      <c r="M23" s="20">
        <f>SUM(M19:M22)</f>
        <v>932.003322</v>
      </c>
      <c r="N23" s="20">
        <f>SUM(N19:N22)</f>
        <v>1135.69370536</v>
      </c>
      <c r="O23" s="47">
        <f>SUM(O19:O22)</f>
        <v>494.17235268</v>
      </c>
      <c r="P23" s="20">
        <f t="shared" si="2"/>
        <v>1620.907470209438</v>
      </c>
      <c r="Q23" s="22"/>
    </row>
    <row r="24" spans="1:16" ht="12">
      <c r="A24" s="51" t="s">
        <v>24</v>
      </c>
      <c r="B24" s="5" t="s">
        <v>25</v>
      </c>
      <c r="C24" s="8">
        <v>106.2119</v>
      </c>
      <c r="D24" s="8">
        <v>2.538431</v>
      </c>
      <c r="E24" s="8">
        <f>D24+8.61328</f>
        <v>11.151710999999999</v>
      </c>
      <c r="F24" s="8">
        <f>E24+28.67040337</f>
        <v>39.822114369999994</v>
      </c>
      <c r="G24" s="13">
        <v>65.29829017</v>
      </c>
      <c r="H24" s="29">
        <v>62.47887477768499</v>
      </c>
      <c r="I24" s="29">
        <v>70.32880700750104</v>
      </c>
      <c r="J24" s="16">
        <v>79.2</v>
      </c>
      <c r="K24" s="23">
        <f t="shared" si="0"/>
        <v>74.56791564786997</v>
      </c>
      <c r="L24" s="32">
        <f t="shared" si="1"/>
        <v>27.011899999999997</v>
      </c>
      <c r="M24" s="16">
        <v>19.3</v>
      </c>
      <c r="N24" s="16">
        <v>4.82</v>
      </c>
      <c r="O24" s="48">
        <v>0</v>
      </c>
      <c r="P24" s="23">
        <f t="shared" si="2"/>
        <v>2.891899999999996</v>
      </c>
    </row>
    <row r="25" spans="1:17" ht="24">
      <c r="A25" s="51"/>
      <c r="B25" s="5" t="s">
        <v>26</v>
      </c>
      <c r="C25" s="8">
        <v>2738.85437</v>
      </c>
      <c r="D25" s="8">
        <v>0</v>
      </c>
      <c r="E25" s="8">
        <v>0</v>
      </c>
      <c r="F25" s="8">
        <v>405.20032181</v>
      </c>
      <c r="G25" s="13">
        <v>1450.03370016</v>
      </c>
      <c r="H25" s="29">
        <v>59.545699759129576</v>
      </c>
      <c r="I25" s="29">
        <v>70.05480715500765</v>
      </c>
      <c r="J25" s="16">
        <v>1960.2</v>
      </c>
      <c r="K25" s="23">
        <f t="shared" si="0"/>
        <v>71.57007037216076</v>
      </c>
      <c r="L25" s="32">
        <f t="shared" si="1"/>
        <v>778.65437</v>
      </c>
      <c r="M25" s="39">
        <v>352.32</v>
      </c>
      <c r="N25" s="39">
        <v>88.08</v>
      </c>
      <c r="O25" s="48">
        <v>0</v>
      </c>
      <c r="P25" s="23">
        <f t="shared" si="2"/>
        <v>338.25437</v>
      </c>
      <c r="Q25" s="18"/>
    </row>
    <row r="26" spans="1:17" ht="12">
      <c r="A26" s="51"/>
      <c r="B26" s="7" t="s">
        <v>10</v>
      </c>
      <c r="C26" s="10">
        <f>C24+C25</f>
        <v>2845.06627</v>
      </c>
      <c r="D26" s="10">
        <f>D24+D25</f>
        <v>2.538431</v>
      </c>
      <c r="E26" s="10">
        <f>E24+E25</f>
        <v>11.151710999999999</v>
      </c>
      <c r="F26" s="10">
        <f>F24+F25</f>
        <v>445.02243618</v>
      </c>
      <c r="G26" s="14">
        <v>1515.33199033</v>
      </c>
      <c r="H26" s="30">
        <v>59.65520093140045</v>
      </c>
      <c r="I26" s="30">
        <v>70.06503610652275</v>
      </c>
      <c r="J26" s="10">
        <v>2039.4</v>
      </c>
      <c r="K26" s="10">
        <f t="shared" si="0"/>
        <v>71.6819858118806</v>
      </c>
      <c r="L26" s="35">
        <f t="shared" si="1"/>
        <v>805.6662699999997</v>
      </c>
      <c r="M26" s="10">
        <f>SUM(M24:M25)</f>
        <v>371.62</v>
      </c>
      <c r="N26" s="10">
        <f>SUM(N24:N25)</f>
        <v>92.9</v>
      </c>
      <c r="O26" s="44">
        <f>SUM(O24:O25)</f>
        <v>0</v>
      </c>
      <c r="P26" s="20">
        <f t="shared" si="2"/>
        <v>341.14626999999973</v>
      </c>
      <c r="Q26" s="18"/>
    </row>
    <row r="27" spans="1:16" ht="12">
      <c r="A27" s="51" t="s">
        <v>27</v>
      </c>
      <c r="B27" s="5" t="s">
        <v>28</v>
      </c>
      <c r="C27" s="8">
        <v>119.5</v>
      </c>
      <c r="D27" s="8">
        <v>4.22</v>
      </c>
      <c r="E27" s="8">
        <v>16.18</v>
      </c>
      <c r="F27" s="8">
        <v>41.49</v>
      </c>
      <c r="G27" s="8">
        <v>69.32</v>
      </c>
      <c r="H27" s="29">
        <v>61.48953974895398</v>
      </c>
      <c r="I27" s="29">
        <v>63.09623430962343</v>
      </c>
      <c r="J27" s="16">
        <v>76.43</v>
      </c>
      <c r="K27" s="25">
        <f t="shared" si="0"/>
        <v>63.95815899581591</v>
      </c>
      <c r="L27" s="32">
        <f t="shared" si="1"/>
        <v>43.06999999999999</v>
      </c>
      <c r="M27" s="25">
        <v>15.97239552</v>
      </c>
      <c r="N27" s="25">
        <v>16.80059328</v>
      </c>
      <c r="O27" s="46">
        <v>5.257999999999999</v>
      </c>
      <c r="P27" s="23">
        <f t="shared" si="2"/>
        <v>5.03901119999999</v>
      </c>
    </row>
    <row r="28" spans="1:16" ht="24">
      <c r="A28" s="51"/>
      <c r="B28" s="5" t="s">
        <v>29</v>
      </c>
      <c r="C28" s="8">
        <v>740.69</v>
      </c>
      <c r="D28" s="8">
        <v>4.22</v>
      </c>
      <c r="E28" s="8">
        <v>74</v>
      </c>
      <c r="F28" s="8">
        <v>195.72</v>
      </c>
      <c r="G28" s="8">
        <v>312.99</v>
      </c>
      <c r="H28" s="29">
        <v>43.80510064939448</v>
      </c>
      <c r="I28" s="29">
        <v>47.13172852340385</v>
      </c>
      <c r="J28" s="16">
        <v>383.72</v>
      </c>
      <c r="K28" s="25">
        <f t="shared" si="0"/>
        <v>51.805748693785524</v>
      </c>
      <c r="L28" s="32">
        <f t="shared" si="1"/>
        <v>356.97</v>
      </c>
      <c r="M28" s="25">
        <v>55.68143923732998</v>
      </c>
      <c r="N28" s="25">
        <v>60.00506581471149</v>
      </c>
      <c r="O28" s="46">
        <v>36.258</v>
      </c>
      <c r="P28" s="23">
        <f t="shared" si="2"/>
        <v>205.02549494795855</v>
      </c>
    </row>
    <row r="29" spans="1:16" ht="36">
      <c r="A29" s="51"/>
      <c r="B29" s="5" t="s">
        <v>30</v>
      </c>
      <c r="C29" s="8">
        <v>1914.07</v>
      </c>
      <c r="D29" s="8">
        <v>0</v>
      </c>
      <c r="E29" s="8">
        <v>18.29</v>
      </c>
      <c r="F29" s="8">
        <v>221</v>
      </c>
      <c r="G29" s="8">
        <v>633.28</v>
      </c>
      <c r="H29" s="29">
        <v>34.72443536547775</v>
      </c>
      <c r="I29" s="29">
        <v>39.7529870903363</v>
      </c>
      <c r="J29" s="16">
        <v>901.77</v>
      </c>
      <c r="K29" s="25">
        <f t="shared" si="0"/>
        <v>47.1126970277994</v>
      </c>
      <c r="L29" s="32">
        <f t="shared" si="1"/>
        <v>1012.3</v>
      </c>
      <c r="M29" s="25">
        <v>165.91468192972</v>
      </c>
      <c r="N29" s="25">
        <v>183.34075229808</v>
      </c>
      <c r="O29" s="46">
        <v>64.353</v>
      </c>
      <c r="P29" s="23">
        <f t="shared" si="2"/>
        <v>598.6915657722</v>
      </c>
    </row>
    <row r="30" spans="1:17" ht="12">
      <c r="A30" s="51"/>
      <c r="B30" s="7" t="s">
        <v>10</v>
      </c>
      <c r="C30" s="10">
        <f>SUM(C27:C29)</f>
        <v>2774.26</v>
      </c>
      <c r="D30" s="10">
        <f>SUM(D27:D29)</f>
        <v>8.44</v>
      </c>
      <c r="E30" s="10">
        <f>SUM(E27:E29)</f>
        <v>108.47</v>
      </c>
      <c r="F30" s="10">
        <f>SUM(F27:F29)</f>
        <v>458.21000000000004</v>
      </c>
      <c r="G30" s="10">
        <v>1015.59</v>
      </c>
      <c r="H30" s="30">
        <v>38.298140765465384</v>
      </c>
      <c r="I30" s="30">
        <v>42.728511386820266</v>
      </c>
      <c r="J30" s="10">
        <v>1361.92</v>
      </c>
      <c r="K30" s="20">
        <f t="shared" si="0"/>
        <v>49.09128920865384</v>
      </c>
      <c r="L30" s="35">
        <f t="shared" si="1"/>
        <v>1412.3400000000001</v>
      </c>
      <c r="M30" s="20">
        <f>SUM(M27:M29)</f>
        <v>237.56851668704996</v>
      </c>
      <c r="N30" s="20">
        <f>SUM(N27:N29)</f>
        <v>260.1464113927915</v>
      </c>
      <c r="O30" s="47">
        <f>SUM(O27:O29)</f>
        <v>105.869</v>
      </c>
      <c r="P30" s="20">
        <f t="shared" si="2"/>
        <v>808.7560719201587</v>
      </c>
      <c r="Q30" s="22"/>
    </row>
    <row r="31" spans="1:16" ht="12">
      <c r="A31" s="51" t="s">
        <v>31</v>
      </c>
      <c r="B31" s="5" t="s">
        <v>32</v>
      </c>
      <c r="C31" s="8">
        <v>97.12002</v>
      </c>
      <c r="D31" s="8">
        <v>0</v>
      </c>
      <c r="E31" s="8">
        <v>7.72602807</v>
      </c>
      <c r="F31" s="8">
        <f>14.17628896+E31</f>
        <v>21.90231703</v>
      </c>
      <c r="G31" s="13">
        <v>36.50080835</v>
      </c>
      <c r="H31" s="29">
        <v>38.44819722030535</v>
      </c>
      <c r="I31" s="29">
        <v>45.08586881468929</v>
      </c>
      <c r="J31" s="16">
        <v>46.293794350000006</v>
      </c>
      <c r="K31" s="25">
        <f t="shared" si="0"/>
        <v>47.66658238950116</v>
      </c>
      <c r="L31" s="32">
        <f t="shared" si="1"/>
        <v>50.82622564999999</v>
      </c>
      <c r="M31" s="25">
        <v>20.517128476000003</v>
      </c>
      <c r="N31" s="25">
        <v>20.453534722399997</v>
      </c>
      <c r="O31" s="46">
        <v>9.25</v>
      </c>
      <c r="P31" s="23">
        <f t="shared" si="2"/>
        <v>0.6055624515999867</v>
      </c>
    </row>
    <row r="32" spans="1:16" ht="12">
      <c r="A32" s="51"/>
      <c r="B32" s="5" t="s">
        <v>33</v>
      </c>
      <c r="C32" s="8">
        <v>400.215392</v>
      </c>
      <c r="D32" s="8">
        <v>0</v>
      </c>
      <c r="E32" s="8">
        <v>9.18158657</v>
      </c>
      <c r="F32" s="8">
        <f>77.80303906+E32</f>
        <v>86.98462563000001</v>
      </c>
      <c r="G32" s="13">
        <v>218.90738629</v>
      </c>
      <c r="H32" s="29">
        <v>56.57453574399257</v>
      </c>
      <c r="I32" s="29">
        <v>60.58161998926818</v>
      </c>
      <c r="J32" s="16">
        <v>265.65853093000004</v>
      </c>
      <c r="K32" s="25">
        <f t="shared" si="0"/>
        <v>66.37888902833603</v>
      </c>
      <c r="L32" s="32">
        <f t="shared" si="1"/>
        <v>134.55686106999997</v>
      </c>
      <c r="M32" s="25">
        <v>31.57</v>
      </c>
      <c r="N32" s="25">
        <v>25.255999999999997</v>
      </c>
      <c r="O32" s="46">
        <v>10.824000000000002</v>
      </c>
      <c r="P32" s="23">
        <f t="shared" si="2"/>
        <v>66.90686106999998</v>
      </c>
    </row>
    <row r="33" spans="1:16" ht="12">
      <c r="A33" s="51"/>
      <c r="B33" s="5" t="s">
        <v>34</v>
      </c>
      <c r="C33" s="8">
        <v>291.911858</v>
      </c>
      <c r="D33" s="8">
        <v>0</v>
      </c>
      <c r="E33" s="8">
        <v>4.56774179</v>
      </c>
      <c r="F33" s="8">
        <f>46.23742802+E33</f>
        <v>50.80516981</v>
      </c>
      <c r="G33" s="13">
        <v>133.32961743</v>
      </c>
      <c r="H33" s="29">
        <v>47.43897728197119</v>
      </c>
      <c r="I33" s="29">
        <v>53.6487746928047</v>
      </c>
      <c r="J33" s="16">
        <v>173.90728932</v>
      </c>
      <c r="K33" s="25">
        <f t="shared" si="0"/>
        <v>59.5752740267235</v>
      </c>
      <c r="L33" s="32">
        <f t="shared" si="1"/>
        <v>118.00456868</v>
      </c>
      <c r="M33" s="25">
        <v>22.003333333333337</v>
      </c>
      <c r="N33" s="25">
        <v>17.602666666666668</v>
      </c>
      <c r="O33" s="46">
        <v>7.5440000000000005</v>
      </c>
      <c r="P33" s="23">
        <f t="shared" si="2"/>
        <v>70.85456868</v>
      </c>
    </row>
    <row r="34" spans="1:16" ht="12">
      <c r="A34" s="51"/>
      <c r="B34" s="5" t="s">
        <v>57</v>
      </c>
      <c r="C34" s="8">
        <v>248.759628</v>
      </c>
      <c r="D34" s="8">
        <v>0</v>
      </c>
      <c r="E34" s="8">
        <v>1.0312282</v>
      </c>
      <c r="F34" s="8">
        <f>56.55260496+E34</f>
        <v>57.58383316</v>
      </c>
      <c r="G34" s="13">
        <v>133.90379907</v>
      </c>
      <c r="H34" s="29">
        <v>56.862120729654734</v>
      </c>
      <c r="I34" s="29">
        <v>65.17056364950024</v>
      </c>
      <c r="J34" s="16">
        <v>165.75076864</v>
      </c>
      <c r="K34" s="25">
        <f t="shared" si="0"/>
        <v>66.63089584617002</v>
      </c>
      <c r="L34" s="32">
        <f t="shared" si="1"/>
        <v>83.00885936</v>
      </c>
      <c r="M34" s="25">
        <v>20.09</v>
      </c>
      <c r="N34" s="25">
        <v>16.072</v>
      </c>
      <c r="O34" s="46">
        <v>6.888000000000002</v>
      </c>
      <c r="P34" s="23">
        <f t="shared" si="2"/>
        <v>39.958859360000005</v>
      </c>
    </row>
    <row r="35" spans="1:16" ht="12">
      <c r="A35" s="51"/>
      <c r="B35" s="5" t="s">
        <v>35</v>
      </c>
      <c r="C35" s="8">
        <v>142.148424</v>
      </c>
      <c r="D35" s="8">
        <v>0</v>
      </c>
      <c r="E35" s="8">
        <v>3.1870105</v>
      </c>
      <c r="F35" s="8">
        <f>24.38211247+E35</f>
        <v>27.56912297</v>
      </c>
      <c r="G35" s="13">
        <v>63.06937504</v>
      </c>
      <c r="H35" s="29">
        <v>47.999125196069706</v>
      </c>
      <c r="I35" s="29">
        <v>56.09897394993277</v>
      </c>
      <c r="J35" s="16">
        <v>85.4775106</v>
      </c>
      <c r="K35" s="25">
        <f t="shared" si="0"/>
        <v>60.13257705903232</v>
      </c>
      <c r="L35" s="32">
        <f t="shared" si="1"/>
        <v>56.6709134</v>
      </c>
      <c r="M35" s="25">
        <v>11.48</v>
      </c>
      <c r="N35" s="25">
        <v>9.184</v>
      </c>
      <c r="O35" s="46">
        <v>3.936</v>
      </c>
      <c r="P35" s="23">
        <f t="shared" si="2"/>
        <v>32.0709134</v>
      </c>
    </row>
    <row r="36" spans="1:16" ht="12">
      <c r="A36" s="51"/>
      <c r="B36" s="5" t="s">
        <v>36</v>
      </c>
      <c r="C36" s="8">
        <v>33.84489</v>
      </c>
      <c r="D36" s="8">
        <v>0</v>
      </c>
      <c r="E36" s="8">
        <v>0</v>
      </c>
      <c r="F36" s="8">
        <f>8.3033088+E36</f>
        <v>8.3033088</v>
      </c>
      <c r="G36" s="13">
        <v>19.09670898</v>
      </c>
      <c r="H36" s="29">
        <v>60.038605532474776</v>
      </c>
      <c r="I36" s="29">
        <v>60.15252568408407</v>
      </c>
      <c r="J36" s="16">
        <v>20.73733634</v>
      </c>
      <c r="K36" s="25">
        <f t="shared" si="0"/>
        <v>61.27169076336191</v>
      </c>
      <c r="L36" s="32">
        <f t="shared" si="1"/>
        <v>13.10755366</v>
      </c>
      <c r="M36" s="25">
        <v>2.87</v>
      </c>
      <c r="N36" s="25">
        <v>2.296</v>
      </c>
      <c r="O36" s="46">
        <v>0.984</v>
      </c>
      <c r="P36" s="23">
        <f t="shared" si="2"/>
        <v>6.95755366</v>
      </c>
    </row>
    <row r="37" spans="1:17" ht="12">
      <c r="A37" s="51"/>
      <c r="B37" s="7" t="s">
        <v>10</v>
      </c>
      <c r="C37" s="10">
        <f>SUM(C31:C36)</f>
        <v>1214.0002120000001</v>
      </c>
      <c r="D37" s="10">
        <f>SUM(D31:D36)</f>
        <v>0</v>
      </c>
      <c r="E37" s="10">
        <f>SUM(E31:E36)</f>
        <v>25.69359513</v>
      </c>
      <c r="F37" s="10">
        <f>SUM(F31:F36)</f>
        <v>253.14837740000002</v>
      </c>
      <c r="G37" s="14">
        <v>604.80769516</v>
      </c>
      <c r="H37" s="30">
        <v>52.079068335451</v>
      </c>
      <c r="I37" s="30">
        <v>58.0784019607733</v>
      </c>
      <c r="J37" s="10">
        <v>757.8252301799998</v>
      </c>
      <c r="K37" s="20">
        <f t="shared" si="0"/>
        <v>62.4238136607508</v>
      </c>
      <c r="L37" s="35">
        <f t="shared" si="1"/>
        <v>456.1749818200003</v>
      </c>
      <c r="M37" s="20">
        <f>SUM(M31:M36)</f>
        <v>108.53046180933335</v>
      </c>
      <c r="N37" s="20">
        <f>SUM(N31:N36)</f>
        <v>90.86420138906666</v>
      </c>
      <c r="O37" s="20">
        <f>SUM(O31:O36)</f>
        <v>39.426</v>
      </c>
      <c r="P37" s="20">
        <f t="shared" si="2"/>
        <v>217.35431862160033</v>
      </c>
      <c r="Q37" s="22"/>
    </row>
    <row r="38" spans="1:16" ht="12">
      <c r="A38" s="51" t="s">
        <v>37</v>
      </c>
      <c r="B38" s="68" t="s">
        <v>38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16" ht="24">
      <c r="A39" s="51"/>
      <c r="B39" s="5" t="s">
        <v>39</v>
      </c>
      <c r="C39" s="8">
        <v>102.9354678</v>
      </c>
      <c r="D39" s="8">
        <v>0</v>
      </c>
      <c r="E39" s="8">
        <v>0.32206007</v>
      </c>
      <c r="F39" s="8">
        <f>E39+22.53993114</f>
        <v>22.86199121</v>
      </c>
      <c r="G39" s="13">
        <v>67.89677323000001</v>
      </c>
      <c r="H39" s="29">
        <v>65.96365805800517</v>
      </c>
      <c r="I39" s="29">
        <v>76.21224702881274</v>
      </c>
      <c r="J39" s="8">
        <v>93.808018625</v>
      </c>
      <c r="K39" s="8">
        <f aca="true" t="shared" si="3" ref="K39:K45">J39/C39*100</f>
        <v>91.13284335314403</v>
      </c>
      <c r="L39" s="32">
        <f aca="true" t="shared" si="4" ref="L39:L45">C39-J39</f>
        <v>9.127449174999995</v>
      </c>
      <c r="M39" s="8">
        <f>L39*95%</f>
        <v>8.671076716249996</v>
      </c>
      <c r="N39" s="8">
        <f>L39*5%</f>
        <v>0.45637245874999977</v>
      </c>
      <c r="O39" s="8">
        <v>0</v>
      </c>
      <c r="P39" s="23">
        <f t="shared" si="2"/>
        <v>0</v>
      </c>
    </row>
    <row r="40" spans="1:16" ht="12">
      <c r="A40" s="51"/>
      <c r="B40" s="5" t="s">
        <v>40</v>
      </c>
      <c r="C40" s="8">
        <v>54.2</v>
      </c>
      <c r="D40" s="8">
        <v>0</v>
      </c>
      <c r="E40" s="8">
        <v>0</v>
      </c>
      <c r="F40" s="8">
        <v>30.50499293</v>
      </c>
      <c r="G40" s="13">
        <v>46.68664577</v>
      </c>
      <c r="H40" s="29">
        <v>86.14391143911439</v>
      </c>
      <c r="I40" s="29">
        <v>145.06742250922508</v>
      </c>
      <c r="J40" s="8">
        <v>85.33955612500002</v>
      </c>
      <c r="K40" s="8">
        <f t="shared" si="3"/>
        <v>157.45305558118082</v>
      </c>
      <c r="L40" s="32">
        <f t="shared" si="4"/>
        <v>-31.139556125000013</v>
      </c>
      <c r="M40" s="8">
        <v>0</v>
      </c>
      <c r="N40" s="8">
        <v>0</v>
      </c>
      <c r="O40" s="8">
        <v>0</v>
      </c>
      <c r="P40" s="23">
        <f t="shared" si="2"/>
        <v>-31.139556125000013</v>
      </c>
    </row>
    <row r="41" spans="1:16" ht="12">
      <c r="A41" s="51"/>
      <c r="B41" s="5" t="s">
        <v>41</v>
      </c>
      <c r="C41" s="8">
        <v>66.2974334</v>
      </c>
      <c r="D41" s="8">
        <v>0</v>
      </c>
      <c r="E41" s="8">
        <v>0</v>
      </c>
      <c r="F41" s="8">
        <v>8.23756877</v>
      </c>
      <c r="G41" s="13">
        <v>35.300360690000005</v>
      </c>
      <c r="H41" s="29">
        <v>53.24544088610224</v>
      </c>
      <c r="I41" s="29">
        <v>64.32470732720702</v>
      </c>
      <c r="J41" s="8">
        <v>50.08059118</v>
      </c>
      <c r="K41" s="8">
        <f t="shared" si="3"/>
        <v>75.53926089090501</v>
      </c>
      <c r="L41" s="32">
        <f t="shared" si="4"/>
        <v>16.216842220000004</v>
      </c>
      <c r="M41" s="8">
        <f>L41*95%</f>
        <v>15.406000109000002</v>
      </c>
      <c r="N41" s="8">
        <f>L41*5%</f>
        <v>0.8108421110000003</v>
      </c>
      <c r="O41" s="8">
        <v>0</v>
      </c>
      <c r="P41" s="23">
        <f t="shared" si="2"/>
        <v>0</v>
      </c>
    </row>
    <row r="42" spans="1:16" ht="12">
      <c r="A42" s="51"/>
      <c r="B42" s="5" t="s">
        <v>42</v>
      </c>
      <c r="C42" s="8">
        <v>52.6030067</v>
      </c>
      <c r="D42" s="8">
        <v>0</v>
      </c>
      <c r="E42" s="8">
        <v>0</v>
      </c>
      <c r="F42" s="8">
        <v>16.17867596</v>
      </c>
      <c r="G42" s="13">
        <v>25.670947819999995</v>
      </c>
      <c r="H42" s="29">
        <v>48.80129374810052</v>
      </c>
      <c r="I42" s="29">
        <v>65.83083396257652</v>
      </c>
      <c r="J42" s="8">
        <v>40.80240656</v>
      </c>
      <c r="K42" s="8">
        <f t="shared" si="3"/>
        <v>77.56668129770613</v>
      </c>
      <c r="L42" s="32">
        <f t="shared" si="4"/>
        <v>11.80060014</v>
      </c>
      <c r="M42" s="8">
        <f>L42*95%</f>
        <v>11.210570133</v>
      </c>
      <c r="N42" s="8">
        <f>L42*5%</f>
        <v>0.5900300070000001</v>
      </c>
      <c r="O42" s="8">
        <v>0</v>
      </c>
      <c r="P42" s="23">
        <f t="shared" si="2"/>
        <v>0</v>
      </c>
    </row>
    <row r="43" spans="1:16" ht="24">
      <c r="A43" s="51"/>
      <c r="B43" s="5" t="s">
        <v>43</v>
      </c>
      <c r="C43" s="8">
        <v>85.3551288</v>
      </c>
      <c r="D43" s="8">
        <v>0</v>
      </c>
      <c r="E43" s="8">
        <v>0</v>
      </c>
      <c r="F43" s="8">
        <v>21.56723951</v>
      </c>
      <c r="G43" s="13">
        <v>58.37426232</v>
      </c>
      <c r="H43" s="29">
        <v>68.38989424616744</v>
      </c>
      <c r="I43" s="29">
        <v>81.46274275202077</v>
      </c>
      <c r="J43" s="8">
        <v>77.07783230999999</v>
      </c>
      <c r="K43" s="8">
        <f t="shared" si="3"/>
        <v>90.30252006368009</v>
      </c>
      <c r="L43" s="32">
        <f t="shared" si="4"/>
        <v>8.277296490000012</v>
      </c>
      <c r="M43" s="8">
        <f>L43*95%</f>
        <v>7.863431665500011</v>
      </c>
      <c r="N43" s="8">
        <f>L43*5%</f>
        <v>0.4138648245000006</v>
      </c>
      <c r="O43" s="8">
        <v>0</v>
      </c>
      <c r="P43" s="23">
        <f t="shared" si="2"/>
        <v>0</v>
      </c>
    </row>
    <row r="44" spans="1:16" ht="12">
      <c r="A44" s="51"/>
      <c r="B44" s="5" t="s">
        <v>44</v>
      </c>
      <c r="C44" s="8">
        <v>26.1704423</v>
      </c>
      <c r="D44" s="8">
        <v>0.470662</v>
      </c>
      <c r="E44" s="8">
        <f>D44+3.8212961</f>
        <v>4.2919581</v>
      </c>
      <c r="F44" s="8">
        <f>E44+3.98815607</f>
        <v>8.280114170000001</v>
      </c>
      <c r="G44" s="13">
        <v>13.65946222</v>
      </c>
      <c r="H44" s="29">
        <v>52.19621458212802</v>
      </c>
      <c r="I44" s="29">
        <v>62.47232588804966</v>
      </c>
      <c r="J44" s="8">
        <v>20.37713729</v>
      </c>
      <c r="K44" s="8">
        <f t="shared" si="3"/>
        <v>77.8631750140501</v>
      </c>
      <c r="L44" s="32">
        <f t="shared" si="4"/>
        <v>5.793305010000001</v>
      </c>
      <c r="M44" s="8">
        <f>L44*95%</f>
        <v>5.5036397595</v>
      </c>
      <c r="N44" s="8">
        <f>L44*5%</f>
        <v>0.2896652505000001</v>
      </c>
      <c r="O44" s="8">
        <v>0</v>
      </c>
      <c r="P44" s="23">
        <f t="shared" si="2"/>
        <v>0</v>
      </c>
    </row>
    <row r="45" spans="1:17" ht="12">
      <c r="A45" s="51"/>
      <c r="B45" s="7" t="s">
        <v>10</v>
      </c>
      <c r="C45" s="10">
        <f>C39+C40+C41+C42+C43+C44</f>
        <v>387.56147899999996</v>
      </c>
      <c r="D45" s="10">
        <f>D39+D40+D41+D42+D43+D44</f>
        <v>0.470662</v>
      </c>
      <c r="E45" s="10">
        <f>E39+E40+E41+E42+E43+E44</f>
        <v>4.6140181700000005</v>
      </c>
      <c r="F45" s="10">
        <f>F39+F40+F41+F42+F43+F44</f>
        <v>107.63058255</v>
      </c>
      <c r="G45" s="14">
        <v>247.58845205000003</v>
      </c>
      <c r="H45" s="30">
        <v>63.88379740650129</v>
      </c>
      <c r="I45" s="30">
        <v>82.6275402360099</v>
      </c>
      <c r="J45" s="10">
        <v>367.48554209</v>
      </c>
      <c r="K45" s="10">
        <f t="shared" si="3"/>
        <v>94.81993490121862</v>
      </c>
      <c r="L45" s="35">
        <f t="shared" si="4"/>
        <v>20.07593690999994</v>
      </c>
      <c r="M45" s="10">
        <f>SUM(M39:M44)</f>
        <v>48.65471838325</v>
      </c>
      <c r="N45" s="10">
        <f>SUM(N39:N44)</f>
        <v>2.560774651750001</v>
      </c>
      <c r="O45" s="10">
        <f>SUM(O39:O44)</f>
        <v>0</v>
      </c>
      <c r="P45" s="20">
        <f t="shared" si="2"/>
        <v>-31.139556125000063</v>
      </c>
      <c r="Q45" s="18"/>
    </row>
    <row r="46" spans="1:16" ht="12">
      <c r="A46" s="51"/>
      <c r="B46" s="68" t="s">
        <v>59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1:16" ht="24">
      <c r="A47" s="51"/>
      <c r="B47" s="5" t="s">
        <v>61</v>
      </c>
      <c r="C47" s="8">
        <v>67.3958842</v>
      </c>
      <c r="D47" s="8">
        <v>0</v>
      </c>
      <c r="E47" s="8">
        <v>2.35745367</v>
      </c>
      <c r="F47" s="8">
        <f>E47+11.36221018</f>
        <v>13.71966385</v>
      </c>
      <c r="G47" s="13">
        <v>28.759550570000002</v>
      </c>
      <c r="H47" s="29">
        <v>52.80737900015563</v>
      </c>
      <c r="I47" s="29">
        <v>69.25727252347555</v>
      </c>
      <c r="J47" s="8">
        <v>50.68168052</v>
      </c>
      <c r="K47" s="8">
        <f>J47/C47*100</f>
        <v>75.19996379838283</v>
      </c>
      <c r="L47" s="32">
        <f>C47-J47</f>
        <v>16.714203679999997</v>
      </c>
      <c r="M47" s="8">
        <f>L47*95%</f>
        <v>15.878493495999997</v>
      </c>
      <c r="N47" s="8">
        <f>L47*5%</f>
        <v>0.8357101839999999</v>
      </c>
      <c r="O47" s="8">
        <v>0</v>
      </c>
      <c r="P47" s="23">
        <f t="shared" si="2"/>
        <v>0</v>
      </c>
    </row>
    <row r="48" spans="1:16" ht="24">
      <c r="A48" s="51"/>
      <c r="B48" s="5" t="s">
        <v>45</v>
      </c>
      <c r="C48" s="8">
        <v>141.53</v>
      </c>
      <c r="D48" s="8">
        <v>0</v>
      </c>
      <c r="E48" s="8">
        <v>0</v>
      </c>
      <c r="F48" s="8">
        <v>34.62372894</v>
      </c>
      <c r="G48" s="13">
        <v>95.87065321000001</v>
      </c>
      <c r="H48" s="29">
        <v>72.69007209778844</v>
      </c>
      <c r="I48" s="29">
        <v>81.25980759556278</v>
      </c>
      <c r="J48" s="8">
        <v>123.32246565000001</v>
      </c>
      <c r="K48" s="8">
        <f>J48/C48*100</f>
        <v>87.13521207517842</v>
      </c>
      <c r="L48" s="32">
        <f>C48-J48</f>
        <v>18.20753434999999</v>
      </c>
      <c r="M48" s="8">
        <f>L48*95%</f>
        <v>17.29715763249999</v>
      </c>
      <c r="N48" s="8">
        <f>L48*5%</f>
        <v>0.9103767174999995</v>
      </c>
      <c r="O48" s="8">
        <v>0</v>
      </c>
      <c r="P48" s="23">
        <f t="shared" si="2"/>
        <v>0</v>
      </c>
    </row>
    <row r="49" spans="1:16" ht="12">
      <c r="A49" s="51"/>
      <c r="B49" s="5" t="s">
        <v>46</v>
      </c>
      <c r="C49" s="8">
        <v>15.725629300000001</v>
      </c>
      <c r="D49" s="8">
        <v>0</v>
      </c>
      <c r="E49" s="8">
        <v>0.7104239499999999</v>
      </c>
      <c r="F49" s="8">
        <f>E49+3.77551494</f>
        <v>4.48593889</v>
      </c>
      <c r="G49" s="13">
        <v>8.50971677</v>
      </c>
      <c r="H49" s="29">
        <v>56.815500858843215</v>
      </c>
      <c r="I49" s="29">
        <v>67.57745529458715</v>
      </c>
      <c r="J49" s="8">
        <v>12.80210516</v>
      </c>
      <c r="K49" s="8">
        <f>J49/C49*100</f>
        <v>81.40917552978308</v>
      </c>
      <c r="L49" s="32">
        <f>C49-J49</f>
        <v>2.9235241400000014</v>
      </c>
      <c r="M49" s="8">
        <f>L49*95%</f>
        <v>2.777347933000001</v>
      </c>
      <c r="N49" s="8">
        <f>L49*5%</f>
        <v>0.14617620700000009</v>
      </c>
      <c r="O49" s="8">
        <v>0</v>
      </c>
      <c r="P49" s="23">
        <f t="shared" si="2"/>
        <v>0</v>
      </c>
    </row>
    <row r="50" spans="1:17" ht="12">
      <c r="A50" s="51"/>
      <c r="B50" s="7" t="s">
        <v>10</v>
      </c>
      <c r="C50" s="10">
        <f>SUM(C47:C49)</f>
        <v>224.6515135</v>
      </c>
      <c r="D50" s="10">
        <f>SUM(D47:D49)</f>
        <v>0</v>
      </c>
      <c r="E50" s="10">
        <f>SUM(E47:E49)</f>
        <v>3.06787762</v>
      </c>
      <c r="F50" s="10">
        <f>SUM(F47:F49)</f>
        <v>52.829331679999996</v>
      </c>
      <c r="G50" s="14">
        <v>133.13992055000003</v>
      </c>
      <c r="H50" s="30">
        <v>65.4791938448258</v>
      </c>
      <c r="I50" s="30">
        <v>76.70125800866239</v>
      </c>
      <c r="J50" s="10">
        <v>186.80625133</v>
      </c>
      <c r="K50" s="10">
        <f>J50/C50*100</f>
        <v>83.15379158573975</v>
      </c>
      <c r="L50" s="35">
        <f>C50-J50</f>
        <v>37.845262169999984</v>
      </c>
      <c r="M50" s="10">
        <f>SUM(M47:M49)</f>
        <v>35.95299906149999</v>
      </c>
      <c r="N50" s="10">
        <f>SUM(N47:N49)</f>
        <v>1.8922631084999995</v>
      </c>
      <c r="O50" s="10">
        <f>SUM(O47:O49)</f>
        <v>0</v>
      </c>
      <c r="P50" s="20">
        <f t="shared" si="2"/>
        <v>0</v>
      </c>
      <c r="Q50" s="18"/>
    </row>
    <row r="51" spans="1:16" ht="12">
      <c r="A51" s="51"/>
      <c r="B51" s="68" t="s">
        <v>60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1:16" ht="12">
      <c r="A52" s="51"/>
      <c r="B52" s="5" t="s">
        <v>47</v>
      </c>
      <c r="C52" s="8">
        <v>251.496654</v>
      </c>
      <c r="D52" s="8">
        <v>0</v>
      </c>
      <c r="E52" s="8">
        <v>0</v>
      </c>
      <c r="F52" s="8">
        <v>52.86896447</v>
      </c>
      <c r="G52" s="13">
        <v>185.93896708</v>
      </c>
      <c r="H52" s="29">
        <v>77.14946421513822</v>
      </c>
      <c r="I52" s="29">
        <v>89.14038411421569</v>
      </c>
      <c r="J52" s="8">
        <v>226.41861484999998</v>
      </c>
      <c r="K52" s="8">
        <f>J52/C52*100</f>
        <v>90.02848000116931</v>
      </c>
      <c r="L52" s="32">
        <f>C52-J52</f>
        <v>25.078039150000023</v>
      </c>
      <c r="M52" s="8">
        <f>L52*95%</f>
        <v>23.82413719250002</v>
      </c>
      <c r="N52" s="8">
        <f>L52*5%</f>
        <v>1.2539019575000012</v>
      </c>
      <c r="O52" s="8">
        <v>0</v>
      </c>
      <c r="P52" s="23">
        <f t="shared" si="2"/>
        <v>0</v>
      </c>
    </row>
    <row r="53" spans="1:16" ht="12">
      <c r="A53" s="51"/>
      <c r="B53" s="5" t="s">
        <v>48</v>
      </c>
      <c r="C53" s="8">
        <v>173.761346</v>
      </c>
      <c r="D53" s="8">
        <v>0</v>
      </c>
      <c r="E53" s="8">
        <v>0</v>
      </c>
      <c r="F53" s="8">
        <v>15.56768962</v>
      </c>
      <c r="G53" s="13">
        <v>71.70827052</v>
      </c>
      <c r="H53" s="29">
        <v>49.540092397764916</v>
      </c>
      <c r="I53" s="29">
        <v>68.99126751124498</v>
      </c>
      <c r="J53" s="8">
        <v>134.62953281000003</v>
      </c>
      <c r="K53" s="8">
        <f>J53/C53*100</f>
        <v>77.47956372874783</v>
      </c>
      <c r="L53" s="32">
        <f>C53-J53</f>
        <v>39.131813189999974</v>
      </c>
      <c r="M53" s="8">
        <f>L53*95%</f>
        <v>37.17522253049997</v>
      </c>
      <c r="N53" s="8">
        <f>L53*5%</f>
        <v>1.9565906594999989</v>
      </c>
      <c r="O53" s="8">
        <v>0</v>
      </c>
      <c r="P53" s="23">
        <f t="shared" si="2"/>
        <v>0</v>
      </c>
    </row>
    <row r="54" spans="1:16" ht="12">
      <c r="A54" s="51"/>
      <c r="B54" s="5" t="s">
        <v>49</v>
      </c>
      <c r="C54" s="8">
        <v>32.008654</v>
      </c>
      <c r="D54" s="8">
        <v>0</v>
      </c>
      <c r="E54" s="8">
        <v>0.78938749</v>
      </c>
      <c r="F54" s="8">
        <f>E54+0.78102524</f>
        <v>1.57041273</v>
      </c>
      <c r="G54" s="13">
        <v>8.51081575</v>
      </c>
      <c r="H54" s="29">
        <v>26.861506735022346</v>
      </c>
      <c r="I54" s="29">
        <v>41.545938732693976</v>
      </c>
      <c r="J54" s="8">
        <v>14.799829780000001</v>
      </c>
      <c r="K54" s="8">
        <f>J54/C54*100</f>
        <v>46.236963853587845</v>
      </c>
      <c r="L54" s="32">
        <f>C54-J54</f>
        <v>17.208824219999997</v>
      </c>
      <c r="M54" s="8">
        <f>L54*95%</f>
        <v>16.348383008999996</v>
      </c>
      <c r="N54" s="8">
        <f>L54*5%</f>
        <v>0.8604412109999999</v>
      </c>
      <c r="O54" s="8">
        <v>0</v>
      </c>
      <c r="P54" s="23">
        <f t="shared" si="2"/>
        <v>0</v>
      </c>
    </row>
    <row r="55" spans="1:17" ht="12">
      <c r="A55" s="51"/>
      <c r="B55" s="7" t="s">
        <v>10</v>
      </c>
      <c r="C55" s="10">
        <f>SUM(C52:C54)</f>
        <v>457.266654</v>
      </c>
      <c r="D55" s="10">
        <f>SUM(D52:D54)</f>
        <v>0</v>
      </c>
      <c r="E55" s="10">
        <f>SUM(E52:E54)</f>
        <v>0.78938749</v>
      </c>
      <c r="F55" s="10">
        <f>SUM(F52:F54)</f>
        <v>70.00706682</v>
      </c>
      <c r="G55" s="14">
        <v>266.15805335</v>
      </c>
      <c r="H55" s="30">
        <v>63.1377461410077</v>
      </c>
      <c r="I55" s="30">
        <v>78.15210908425436</v>
      </c>
      <c r="J55" s="10">
        <v>375.84797744</v>
      </c>
      <c r="K55" s="10">
        <f>J55/C55*100</f>
        <v>82.1944863357563</v>
      </c>
      <c r="L55" s="35">
        <f>C55-J55</f>
        <v>81.41867656</v>
      </c>
      <c r="M55" s="10">
        <f>SUM(M52:M54)</f>
        <v>77.347742732</v>
      </c>
      <c r="N55" s="10">
        <f>SUM(N52:N54)</f>
        <v>4.070933827999999</v>
      </c>
      <c r="O55" s="10">
        <f>SUM(O52:O54)</f>
        <v>0</v>
      </c>
      <c r="P55" s="20">
        <f t="shared" si="2"/>
        <v>0</v>
      </c>
      <c r="Q55" s="18"/>
    </row>
    <row r="56" spans="1:16" ht="12">
      <c r="A56" s="51"/>
      <c r="B56" s="68" t="s">
        <v>50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1:16" ht="24">
      <c r="A57" s="51"/>
      <c r="B57" s="5" t="s">
        <v>51</v>
      </c>
      <c r="C57" s="8">
        <v>205.77</v>
      </c>
      <c r="D57" s="8">
        <v>0</v>
      </c>
      <c r="E57" s="8">
        <v>0</v>
      </c>
      <c r="F57" s="8">
        <v>36.66927689</v>
      </c>
      <c r="G57" s="13">
        <v>123.35804941999999</v>
      </c>
      <c r="H57" s="29">
        <v>72.70253195315158</v>
      </c>
      <c r="I57" s="29">
        <v>79.06875852651018</v>
      </c>
      <c r="J57" s="8">
        <v>182.6</v>
      </c>
      <c r="K57" s="8">
        <f>J57/C57*100</f>
        <v>88.73985517811148</v>
      </c>
      <c r="L57" s="32">
        <f>C57-J57</f>
        <v>23.170000000000016</v>
      </c>
      <c r="M57" s="8">
        <f>L57*95%</f>
        <v>22.011500000000016</v>
      </c>
      <c r="N57" s="8">
        <f>L57*5%</f>
        <v>1.1585000000000008</v>
      </c>
      <c r="O57" s="8">
        <v>0</v>
      </c>
      <c r="P57" s="23">
        <f t="shared" si="2"/>
        <v>0</v>
      </c>
    </row>
    <row r="58" spans="1:16" ht="24">
      <c r="A58" s="51"/>
      <c r="B58" s="5" t="s">
        <v>52</v>
      </c>
      <c r="C58" s="8">
        <v>219.49</v>
      </c>
      <c r="D58" s="8">
        <v>0</v>
      </c>
      <c r="E58" s="8">
        <v>0</v>
      </c>
      <c r="F58" s="8">
        <v>44.16637605</v>
      </c>
      <c r="G58" s="13">
        <v>107.50771036</v>
      </c>
      <c r="H58" s="29">
        <v>54.38516561118958</v>
      </c>
      <c r="I58" s="29">
        <v>62.92418577611737</v>
      </c>
      <c r="J58" s="8">
        <v>162.3</v>
      </c>
      <c r="K58" s="8">
        <f>J58/C58*100</f>
        <v>73.94414324114994</v>
      </c>
      <c r="L58" s="32">
        <f>C58-J58</f>
        <v>57.19</v>
      </c>
      <c r="M58" s="8">
        <f>L58*95%</f>
        <v>54.330499999999994</v>
      </c>
      <c r="N58" s="8">
        <f>L58*5%</f>
        <v>2.8595</v>
      </c>
      <c r="O58" s="8">
        <v>0</v>
      </c>
      <c r="P58" s="23">
        <f t="shared" si="2"/>
        <v>0</v>
      </c>
    </row>
    <row r="59" spans="1:16" ht="12">
      <c r="A59" s="51"/>
      <c r="B59" s="5" t="s">
        <v>53</v>
      </c>
      <c r="C59" s="8">
        <v>33.69</v>
      </c>
      <c r="D59" s="8">
        <v>0</v>
      </c>
      <c r="E59" s="8">
        <v>0.23300437</v>
      </c>
      <c r="F59" s="8">
        <f>E59+4.22010038</f>
        <v>4.45310475</v>
      </c>
      <c r="G59" s="13">
        <v>13.57118234</v>
      </c>
      <c r="H59" s="29">
        <v>44.351440872662515</v>
      </c>
      <c r="I59" s="29">
        <v>51.953488691006235</v>
      </c>
      <c r="J59" s="8">
        <v>19.1</v>
      </c>
      <c r="K59" s="8">
        <f>J59/C59*100</f>
        <v>56.69338082517068</v>
      </c>
      <c r="L59" s="32">
        <f>C59-J59</f>
        <v>14.589999999999996</v>
      </c>
      <c r="M59" s="8">
        <f>L59*95%</f>
        <v>13.860499999999996</v>
      </c>
      <c r="N59" s="8">
        <f>L59*5%</f>
        <v>0.7294999999999998</v>
      </c>
      <c r="O59" s="8">
        <v>0</v>
      </c>
      <c r="P59" s="23">
        <f t="shared" si="2"/>
        <v>0</v>
      </c>
    </row>
    <row r="60" spans="1:16" ht="12">
      <c r="A60" s="51"/>
      <c r="B60" s="7" t="s">
        <v>10</v>
      </c>
      <c r="C60" s="10">
        <f>C57+C58+C59</f>
        <v>458.95</v>
      </c>
      <c r="D60" s="10">
        <f>D57+D58+D59</f>
        <v>0</v>
      </c>
      <c r="E60" s="10">
        <f>E57+E58+E59</f>
        <v>0.23300437</v>
      </c>
      <c r="F60" s="10">
        <f>F57+F58+F59</f>
        <v>85.28875768999998</v>
      </c>
      <c r="G60" s="14">
        <v>244.43694212</v>
      </c>
      <c r="H60" s="30">
        <v>61.86076914696591</v>
      </c>
      <c r="I60" s="30">
        <v>69.35727423902387</v>
      </c>
      <c r="J60" s="10">
        <v>364</v>
      </c>
      <c r="K60" s="10">
        <f>J60/C60*100</f>
        <v>79.31147183789083</v>
      </c>
      <c r="L60" s="35">
        <f>C60-J60</f>
        <v>94.94999999999999</v>
      </c>
      <c r="M60" s="10">
        <f>SUM(M57:M59)</f>
        <v>90.20250000000001</v>
      </c>
      <c r="N60" s="10">
        <f>SUM(N57:N59)</f>
        <v>4.7475000000000005</v>
      </c>
      <c r="O60" s="10">
        <f>SUM(O57:O59)</f>
        <v>0</v>
      </c>
      <c r="P60" s="20">
        <f t="shared" si="2"/>
        <v>0</v>
      </c>
    </row>
    <row r="61" spans="1:17" s="9" customFormat="1" ht="12">
      <c r="A61" s="67" t="s">
        <v>54</v>
      </c>
      <c r="B61" s="67"/>
      <c r="C61" s="15">
        <f>SUM(C10,C14,C18,C23,C26,C30,C37,C45,C50,C55,C60)</f>
        <v>61942.37197250001</v>
      </c>
      <c r="D61" s="15">
        <f>D10+D14+D18+D23+D26+D30+D37+D45+D50+D55+D60</f>
        <v>154.2251333</v>
      </c>
      <c r="E61" s="15">
        <f>E10+E14+E18+E23+E26+E30+E37+E45+E50+E55+E60</f>
        <v>6768.536496460001</v>
      </c>
      <c r="F61" s="15">
        <f>F10+F14+F18+F23+F26+F30+F37+F45+F50+F55+F60</f>
        <v>21446.822678989996</v>
      </c>
      <c r="G61" s="15">
        <v>37310.82631408</v>
      </c>
      <c r="H61" s="31">
        <v>64.34002376750037</v>
      </c>
      <c r="I61" s="31">
        <v>70.74560971760178</v>
      </c>
      <c r="J61" s="15">
        <f>SUM(J10,J14,J18,J23,J26,J30,J37,J45,J50,J55,J60)</f>
        <v>46786.29627251056</v>
      </c>
      <c r="K61" s="15">
        <f>J61/C61*100</f>
        <v>75.53197396651495</v>
      </c>
      <c r="L61" s="36">
        <f>C61-J61</f>
        <v>15156.075699989451</v>
      </c>
      <c r="M61" s="15">
        <f>M10+M14+M18+M23+M26+M30+M37+M45+M50+M55+M60</f>
        <v>7894.574572613133</v>
      </c>
      <c r="N61" s="15">
        <f>N10+N14+N18+N23+N26+N30+N37+N45+N50+N55+N60</f>
        <v>2690.2557897301076</v>
      </c>
      <c r="O61" s="15">
        <f>O10+O14+O18+O23+O26+O30+O37+O45+O50+O55+O60</f>
        <v>727.2473526800001</v>
      </c>
      <c r="P61" s="40">
        <f t="shared" si="2"/>
        <v>3843.9979849662104</v>
      </c>
      <c r="Q61" s="22"/>
    </row>
    <row r="63" ht="12">
      <c r="J63" s="18"/>
    </row>
    <row r="64" spans="2:1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2:16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2:16" ht="12.75">
      <c r="B67" s="37"/>
      <c r="C67" s="38"/>
      <c r="D67" s="37"/>
      <c r="E67" s="37"/>
      <c r="F67" s="37"/>
      <c r="G67" s="37"/>
      <c r="H67" s="37"/>
      <c r="I67" s="37"/>
      <c r="J67" s="38"/>
      <c r="K67" s="37"/>
      <c r="L67" s="37"/>
      <c r="M67" s="37"/>
      <c r="N67" s="37"/>
      <c r="O67" s="37"/>
      <c r="P67" s="37"/>
    </row>
    <row r="68" spans="2:16" ht="12.75">
      <c r="B68" s="1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2:16" ht="12.7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2:16" ht="12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2:16" ht="12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2:16" ht="12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</sheetData>
  <mergeCells count="29">
    <mergeCell ref="P2:P4"/>
    <mergeCell ref="E3:E4"/>
    <mergeCell ref="D3:D4"/>
    <mergeCell ref="G3:G4"/>
    <mergeCell ref="H2:H4"/>
    <mergeCell ref="F3:F4"/>
    <mergeCell ref="D2:G2"/>
    <mergeCell ref="L2:L4"/>
    <mergeCell ref="M3:M4"/>
    <mergeCell ref="N3:N4"/>
    <mergeCell ref="A61:B61"/>
    <mergeCell ref="A38:A60"/>
    <mergeCell ref="B38:P38"/>
    <mergeCell ref="B46:P46"/>
    <mergeCell ref="B51:P51"/>
    <mergeCell ref="B56:P56"/>
    <mergeCell ref="A31:A37"/>
    <mergeCell ref="A6:A10"/>
    <mergeCell ref="A27:A30"/>
    <mergeCell ref="A24:A26"/>
    <mergeCell ref="A15:A18"/>
    <mergeCell ref="A19:A23"/>
    <mergeCell ref="M2:O2"/>
    <mergeCell ref="A11:A14"/>
    <mergeCell ref="J2:J4"/>
    <mergeCell ref="A2:B5"/>
    <mergeCell ref="C2:C4"/>
    <mergeCell ref="K2:K4"/>
    <mergeCell ref="O3:O4"/>
  </mergeCells>
  <printOptions/>
  <pageMargins left="0.2" right="0.16" top="0.42" bottom="0.53" header="0.33" footer="0.43"/>
  <pageSetup horizontalDpi="600" verticalDpi="600" orientation="landscape" paperSize="9" scale="79" r:id="rId1"/>
  <rowBreaks count="1" manualBreakCount="1">
    <brk id="37" max="255" man="1"/>
  </rowBreaks>
  <ignoredErrors>
    <ignoredError sqref="J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kusnirova</dc:creator>
  <cp:keywords/>
  <dc:description/>
  <cp:lastModifiedBy>nogova</cp:lastModifiedBy>
  <cp:lastPrinted>2008-10-15T11:58:01Z</cp:lastPrinted>
  <dcterms:created xsi:type="dcterms:W3CDTF">2008-01-16T13:46:15Z</dcterms:created>
  <dcterms:modified xsi:type="dcterms:W3CDTF">2008-10-16T10:51:28Z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