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40" windowHeight="6030" activeTab="1"/>
  </bookViews>
  <sheets>
    <sheet name="Rozpočet 1" sheetId="1" r:id="rId1"/>
    <sheet name="Rozpočet 2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<sst xmlns="http://schemas.openxmlformats.org/spreadsheetml/2006/main" count="276" uniqueCount="108">
  <si>
    <t>PRÍJMY</t>
  </si>
  <si>
    <t>Prenájom kongresových priestorov v Inchebe a služby s tým spojené</t>
  </si>
  <si>
    <t>1.</t>
  </si>
  <si>
    <t>2.</t>
  </si>
  <si>
    <t>Technické zariadenie počas konferencie</t>
  </si>
  <si>
    <t>3.</t>
  </si>
  <si>
    <t>4.</t>
  </si>
  <si>
    <t>5.</t>
  </si>
  <si>
    <t>6.</t>
  </si>
  <si>
    <t>Strava a recepcie počas konferencie (kalkulácia na 550 osôb)</t>
  </si>
  <si>
    <t>Autobusová preprava počas konferencie</t>
  </si>
  <si>
    <t>Vystúpenie ľudového súboru dňa 24.6.2002</t>
  </si>
  <si>
    <t xml:space="preserve">Doplnkové služby </t>
  </si>
  <si>
    <t>MEDZISÚČET</t>
  </si>
  <si>
    <t>Reklamné predmety</t>
  </si>
  <si>
    <t>Exteriér - interiér</t>
  </si>
  <si>
    <t>Tlačoviny</t>
  </si>
  <si>
    <t>Darčeky</t>
  </si>
  <si>
    <t>Dezert</t>
  </si>
  <si>
    <t>Degustácia ZVV</t>
  </si>
  <si>
    <t>Vína</t>
  </si>
  <si>
    <t>KBŠ</t>
  </si>
  <si>
    <t>Poháre</t>
  </si>
  <si>
    <t>Rezerva</t>
  </si>
  <si>
    <t>Školenie tlmočníkov, materiály</t>
  </si>
  <si>
    <t>Výpočtová technika, tlač, kopírovanie</t>
  </si>
  <si>
    <t>Projekčná technika</t>
  </si>
  <si>
    <t>Internet a sieť</t>
  </si>
  <si>
    <t>Osvetlenie - zahájenie 24.6.2002</t>
  </si>
  <si>
    <t>Ostatné náklady</t>
  </si>
  <si>
    <t>v tom:</t>
  </si>
  <si>
    <t>a)</t>
  </si>
  <si>
    <t>prenájom priestorov, klimatizácia</t>
  </si>
  <si>
    <t>b)</t>
  </si>
  <si>
    <t>služby (požiarna a zdravotná služba, upratovanie, usporiadateľská služba, odvoz odpadu)</t>
  </si>
  <si>
    <t>c)</t>
  </si>
  <si>
    <t>dodatočná výzdoba a úprava interiérov</t>
  </si>
  <si>
    <t xml:space="preserve">24.6.2002 Valné zhromaždenie </t>
  </si>
  <si>
    <t>25.-26.6.2002 (2 sekcie za predpokladu, že 1 sekcia bude v priestoroch pléna</t>
  </si>
  <si>
    <t>účastnícke prijímače</t>
  </si>
  <si>
    <t>d)</t>
  </si>
  <si>
    <t>hostesky</t>
  </si>
  <si>
    <t>e)</t>
  </si>
  <si>
    <t>doprava materiálu a brigádnici</t>
  </si>
  <si>
    <t>obedy a občerstvenie v dňoch 24.-26.a 28.6.2002</t>
  </si>
  <si>
    <t>slávnostná recepcia s programom v Redute         dňa 24.6.2002</t>
  </si>
  <si>
    <t>Recepcia na Červenom Kameni dňa 26.6.2002</t>
  </si>
  <si>
    <t>slávnostná galavečera v PKO dňa 28.6.2002</t>
  </si>
  <si>
    <t>Výdavky spojené s cestovaním, pobytom a postkongresovými výletmi, zápisné (O.I.V.)</t>
  </si>
  <si>
    <t>Výdavky spojené s pobytom a zápisné (komisia)</t>
  </si>
  <si>
    <t>Zápisné (poradcovia prezidenta a generálny riaditeľ)</t>
  </si>
  <si>
    <t>Zápisné pre 1 predstaviteľa troch medzivládných organizácií</t>
  </si>
  <si>
    <t>Organizač.a prev.náklady od 09/1999</t>
  </si>
  <si>
    <t>Sekretárka a 2 cudzojazyčné korešpondentky</t>
  </si>
  <si>
    <t>Tlmočenie</t>
  </si>
  <si>
    <t>Prac.zasadnutie výber.komisie 14-15.1.2002</t>
  </si>
  <si>
    <t>VIP zo SR</t>
  </si>
  <si>
    <t>Reklam.partneri</t>
  </si>
  <si>
    <t>Členovia NPS na kongrese</t>
  </si>
  <si>
    <t>Manažment a komunikácia s reklam.partnermi</t>
  </si>
  <si>
    <t>Preprava mat. z OIV v Paríži</t>
  </si>
  <si>
    <t>Nahrávanie tlmočenia</t>
  </si>
  <si>
    <t>Registrácia NPS</t>
  </si>
  <si>
    <t>Sekretariát NPS</t>
  </si>
  <si>
    <t>Sekretariát OIV</t>
  </si>
  <si>
    <t xml:space="preserve">27. Ročník medzinárodného kongresu viniča a vína </t>
  </si>
  <si>
    <t xml:space="preserve">Exkurzia </t>
  </si>
  <si>
    <t>Telefóny počas kongresu</t>
  </si>
  <si>
    <t>ekonóm</t>
  </si>
  <si>
    <t>organizačné</t>
  </si>
  <si>
    <t>letenky</t>
  </si>
  <si>
    <t>obedy</t>
  </si>
  <si>
    <t>večera</t>
  </si>
  <si>
    <t>ubytovanie</t>
  </si>
  <si>
    <t>ostatné výdavky (doprava)</t>
  </si>
  <si>
    <t>f)</t>
  </si>
  <si>
    <t>tlmočenie</t>
  </si>
  <si>
    <t>Bankové poplatky z vložného</t>
  </si>
  <si>
    <t xml:space="preserve">1. </t>
  </si>
  <si>
    <t>prepočítané kurzom k 8.3.2002, 1 USD = 47,893 Sk</t>
  </si>
  <si>
    <t>Vložné 500 USD / 430 osôb</t>
  </si>
  <si>
    <t>Vložné 250 USD / 50 osôb</t>
  </si>
  <si>
    <t>Vložné 100 USD / 70 osôb</t>
  </si>
  <si>
    <t>Príjmy sponzorstva</t>
  </si>
  <si>
    <t>Rozdiel P-V</t>
  </si>
  <si>
    <t xml:space="preserve">poštovné, mikrovlnné pojítko, </t>
  </si>
  <si>
    <t>Návrh rozpočtu je kalkulovaný na 550 osôb.</t>
  </si>
  <si>
    <t>Všetky ceny sú kalkulované v januári 2002 vrátane DPH.</t>
  </si>
  <si>
    <t xml:space="preserve">VÝDAJE </t>
  </si>
  <si>
    <t>ROZPOČET</t>
  </si>
  <si>
    <t>v dňoch 23.-28.6.2002 v Bratislave</t>
  </si>
  <si>
    <t>V Bratislave dňa 12.3.2002</t>
  </si>
  <si>
    <t>Na základe podkladov predložených vedúcimi sekcií NPS vypracovala Ing. Mária Sokolíková.</t>
  </si>
  <si>
    <t>Rozdiel medzi príjmami a výdavkami</t>
  </si>
  <si>
    <t>Príloha č. 3</t>
  </si>
  <si>
    <t>v dňoch 23. - 28. 6. 2002 v Bratislave</t>
  </si>
  <si>
    <t xml:space="preserve">24. 6. 2002 Valné zhromaždenie </t>
  </si>
  <si>
    <t>25. - 26. 6. 2002 (2 sekcie za predpokladu, že 1 sekcia bude v priestoroch pléna)</t>
  </si>
  <si>
    <t>obedy a občerstvenie v dňoch 24.-26.</t>
  </si>
  <si>
    <t xml:space="preserve">nie v dňoch 24. - 26. 6. 2002 </t>
  </si>
  <si>
    <t>a 28. 6. 2002</t>
  </si>
  <si>
    <t>slávnostná recepcia s programom v Redute dňa 24. 6. 2002</t>
  </si>
  <si>
    <t>Recepcia na Červenom Kameni dňa 26. 6. 2002</t>
  </si>
  <si>
    <t>slávnostná galavečera v PKO dňa 28. 6. 2002</t>
  </si>
  <si>
    <t>Vystúpenie ľudového súboru dňa 24. 6. 2002</t>
  </si>
  <si>
    <t>Osvetlenie - otvorenie 24. 6. 2002</t>
  </si>
  <si>
    <t>Prac.zasadnutie výber.komisie 14. - 15. 1. 2002</t>
  </si>
  <si>
    <t>prepočítané kurzom k 8 .3. 2002, 1 USD = 47,893 Sk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</si>
</sst>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&quot;Sk&quot;"/>
  </numFmts>
  <fonts count="9">
    <font>
      <sz val="10"/>
      <name val="Arial CE"/>
      <family val="0"/>
    </font>
    <font>
      <sz val="10"/>
      <name val="Albertus Medium"/>
      <family val="2"/>
    </font>
    <font>
      <b/>
      <sz val="10"/>
      <name val="Albertus Medium"/>
      <family val="2"/>
    </font>
    <font>
      <i/>
      <sz val="10"/>
      <name val="Arial CE"/>
      <family val="0"/>
    </font>
    <font>
      <i/>
      <sz val="10"/>
      <name val="Albertus Medium"/>
      <family val="2"/>
    </font>
    <font>
      <b/>
      <i/>
      <sz val="10"/>
      <name val="Arial CE"/>
      <family val="0"/>
    </font>
    <font>
      <b/>
      <i/>
      <u val="double"/>
      <sz val="10"/>
      <name val="Albertus Medium"/>
      <family val="2"/>
    </font>
    <font>
      <b/>
      <u val="single"/>
      <sz val="11"/>
      <name val="Albertus Medium"/>
      <family val="2"/>
    </font>
    <font>
      <b/>
      <u val="single"/>
      <sz val="10"/>
      <name val="Albertus Medium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workbookViewId="0" topLeftCell="A1">
      <selection activeCell="B115" sqref="B115"/>
    </sheetView>
  </sheetViews>
  <sheetFormatPr defaultColWidth="9.00390625" defaultRowHeight="12.75"/>
  <cols>
    <col min="1" max="1" width="3.375" style="1" customWidth="1"/>
    <col min="2" max="2" width="3.00390625" style="1" customWidth="1"/>
    <col min="3" max="3" width="9.125" style="1" customWidth="1"/>
    <col min="4" max="4" width="6.125" style="0" customWidth="1"/>
    <col min="5" max="5" width="26.125" style="0" customWidth="1"/>
    <col min="6" max="6" width="20.375" style="5" customWidth="1"/>
    <col min="7" max="7" width="18.75390625" style="5" customWidth="1"/>
    <col min="8" max="8" width="18.125" style="5" customWidth="1"/>
    <col min="9" max="16384" width="9.125" style="1" customWidth="1"/>
  </cols>
  <sheetData>
    <row r="1" spans="1:7" ht="15">
      <c r="A1" s="23" t="s">
        <v>89</v>
      </c>
      <c r="B1" s="23"/>
      <c r="C1" s="23"/>
      <c r="D1" s="23"/>
      <c r="E1" s="23"/>
      <c r="F1" s="23"/>
      <c r="G1" s="23"/>
    </row>
    <row r="2" spans="1:7" ht="15">
      <c r="A2" s="23" t="s">
        <v>65</v>
      </c>
      <c r="B2" s="23"/>
      <c r="C2" s="23"/>
      <c r="D2" s="23"/>
      <c r="E2" s="23"/>
      <c r="F2" s="23"/>
      <c r="G2" s="23"/>
    </row>
    <row r="3" spans="1:7" ht="15">
      <c r="A3" s="23" t="s">
        <v>90</v>
      </c>
      <c r="B3" s="23"/>
      <c r="C3" s="23"/>
      <c r="D3" s="23"/>
      <c r="E3" s="23"/>
      <c r="F3" s="23"/>
      <c r="G3" s="23"/>
    </row>
    <row r="5" spans="1:8" s="2" customFormat="1" ht="12.75">
      <c r="A5" s="16" t="s">
        <v>88</v>
      </c>
      <c r="B5" s="17"/>
      <c r="C5" s="17"/>
      <c r="D5" s="17"/>
      <c r="E5" s="17"/>
      <c r="F5" s="17"/>
      <c r="G5" s="18"/>
      <c r="H5" s="4"/>
    </row>
    <row r="6" spans="1:8" s="2" customFormat="1" ht="12.75">
      <c r="A6" s="3"/>
      <c r="B6" s="3"/>
      <c r="F6" s="6"/>
      <c r="G6" s="6"/>
      <c r="H6" s="4"/>
    </row>
    <row r="7" spans="1:7" ht="12.75">
      <c r="A7" s="1" t="s">
        <v>2</v>
      </c>
      <c r="B7" s="1" t="s">
        <v>1</v>
      </c>
      <c r="G7" s="5">
        <f>SUM(F9:F11)</f>
        <v>1886413</v>
      </c>
    </row>
    <row r="8" ht="12.75">
      <c r="B8" s="1" t="s">
        <v>30</v>
      </c>
    </row>
    <row r="9" spans="2:8" s="9" customFormat="1" ht="12.75">
      <c r="B9" s="9" t="s">
        <v>31</v>
      </c>
      <c r="C9" s="9" t="s">
        <v>32</v>
      </c>
      <c r="D9" s="7"/>
      <c r="E9" s="7"/>
      <c r="F9" s="8">
        <f>ROUND(1088182*1.1,0)</f>
        <v>1197000</v>
      </c>
      <c r="G9" s="8"/>
      <c r="H9" s="8"/>
    </row>
    <row r="10" spans="2:8" s="9" customFormat="1" ht="26.25" customHeight="1">
      <c r="B10" s="14" t="s">
        <v>33</v>
      </c>
      <c r="C10" s="19" t="s">
        <v>34</v>
      </c>
      <c r="D10" s="20"/>
      <c r="E10" s="20"/>
      <c r="F10" s="8">
        <f>50000*1.23</f>
        <v>61500</v>
      </c>
      <c r="G10" s="8"/>
      <c r="H10" s="8"/>
    </row>
    <row r="11" spans="2:8" s="9" customFormat="1" ht="12.75">
      <c r="B11" s="9" t="s">
        <v>35</v>
      </c>
      <c r="C11" s="9" t="s">
        <v>36</v>
      </c>
      <c r="D11" s="7"/>
      <c r="E11" s="7"/>
      <c r="F11" s="8">
        <f>570830*1.1</f>
        <v>627913</v>
      </c>
      <c r="G11" s="8"/>
      <c r="H11" s="8"/>
    </row>
    <row r="12" spans="1:7" ht="12.75">
      <c r="A12" s="1" t="s">
        <v>3</v>
      </c>
      <c r="B12" s="1" t="s">
        <v>4</v>
      </c>
      <c r="G12" s="5">
        <f>SUM(F14:F18)</f>
        <v>518144.00000000006</v>
      </c>
    </row>
    <row r="13" ht="12.75">
      <c r="B13" s="1" t="s">
        <v>30</v>
      </c>
    </row>
    <row r="14" spans="2:8" s="9" customFormat="1" ht="12.75">
      <c r="B14" s="9" t="s">
        <v>31</v>
      </c>
      <c r="C14" s="9" t="s">
        <v>37</v>
      </c>
      <c r="D14" s="7"/>
      <c r="E14" s="7"/>
      <c r="F14" s="8">
        <f>(24240*4)*1.1</f>
        <v>106656.00000000001</v>
      </c>
      <c r="G14" s="8"/>
      <c r="H14" s="8"/>
    </row>
    <row r="15" spans="2:8" s="9" customFormat="1" ht="26.25" customHeight="1">
      <c r="B15" s="14" t="s">
        <v>33</v>
      </c>
      <c r="C15" s="19" t="s">
        <v>38</v>
      </c>
      <c r="D15" s="20"/>
      <c r="E15" s="20"/>
      <c r="F15" s="8">
        <f>(21660*2*4)*1.1</f>
        <v>190608.00000000003</v>
      </c>
      <c r="G15" s="8"/>
      <c r="H15" s="8"/>
    </row>
    <row r="16" spans="2:8" s="9" customFormat="1" ht="12.75">
      <c r="B16" s="9" t="s">
        <v>35</v>
      </c>
      <c r="C16" s="9" t="s">
        <v>39</v>
      </c>
      <c r="D16" s="7"/>
      <c r="E16" s="7"/>
      <c r="F16" s="8">
        <f>154000*1.1</f>
        <v>169400</v>
      </c>
      <c r="G16" s="8"/>
      <c r="H16" s="8"/>
    </row>
    <row r="17" spans="2:8" s="9" customFormat="1" ht="12.75">
      <c r="B17" s="9" t="s">
        <v>40</v>
      </c>
      <c r="C17" s="9" t="s">
        <v>41</v>
      </c>
      <c r="D17" s="7"/>
      <c r="E17" s="7"/>
      <c r="F17" s="8">
        <f>16800*1.1</f>
        <v>18480</v>
      </c>
      <c r="G17" s="8"/>
      <c r="H17" s="8"/>
    </row>
    <row r="18" spans="2:8" s="9" customFormat="1" ht="12.75">
      <c r="B18" s="9" t="s">
        <v>42</v>
      </c>
      <c r="C18" s="9" t="s">
        <v>43</v>
      </c>
      <c r="D18" s="7"/>
      <c r="E18" s="7"/>
      <c r="F18" s="8">
        <f>30000*1.1</f>
        <v>33000</v>
      </c>
      <c r="G18" s="8"/>
      <c r="H18" s="8"/>
    </row>
    <row r="19" spans="1:7" ht="12.75">
      <c r="A19" s="1" t="s">
        <v>5</v>
      </c>
      <c r="B19" s="1" t="s">
        <v>9</v>
      </c>
      <c r="G19" s="5">
        <v>8697013</v>
      </c>
    </row>
    <row r="20" ht="12.75">
      <c r="B20" s="1" t="s">
        <v>30</v>
      </c>
    </row>
    <row r="21" spans="2:8" s="9" customFormat="1" ht="12.75">
      <c r="B21" s="9" t="s">
        <v>31</v>
      </c>
      <c r="C21" s="9" t="s">
        <v>44</v>
      </c>
      <c r="D21" s="7"/>
      <c r="E21" s="7"/>
      <c r="F21" s="8">
        <v>3112153</v>
      </c>
      <c r="G21" s="8"/>
      <c r="H21" s="8"/>
    </row>
    <row r="22" spans="2:8" s="9" customFormat="1" ht="25.5" customHeight="1">
      <c r="B22" s="14" t="s">
        <v>33</v>
      </c>
      <c r="C22" s="19" t="s">
        <v>45</v>
      </c>
      <c r="D22" s="20"/>
      <c r="E22" s="20"/>
      <c r="F22" s="8">
        <v>1749400</v>
      </c>
      <c r="G22" s="8"/>
      <c r="H22" s="8"/>
    </row>
    <row r="23" spans="2:8" s="9" customFormat="1" ht="12.75">
      <c r="B23" s="9" t="s">
        <v>35</v>
      </c>
      <c r="C23" s="9" t="s">
        <v>46</v>
      </c>
      <c r="D23" s="7"/>
      <c r="E23" s="7"/>
      <c r="F23" s="8">
        <f>1881800+(12000*1.23)</f>
        <v>1896560</v>
      </c>
      <c r="G23" s="8"/>
      <c r="H23" s="8"/>
    </row>
    <row r="24" spans="2:8" s="9" customFormat="1" ht="12.75">
      <c r="B24" s="9" t="s">
        <v>40</v>
      </c>
      <c r="C24" s="9" t="s">
        <v>47</v>
      </c>
      <c r="D24" s="7"/>
      <c r="E24" s="7"/>
      <c r="F24" s="8">
        <v>1938900</v>
      </c>
      <c r="G24" s="8"/>
      <c r="H24" s="8"/>
    </row>
    <row r="25" spans="1:7" ht="12.75">
      <c r="A25" s="1" t="s">
        <v>6</v>
      </c>
      <c r="B25" s="1" t="s">
        <v>10</v>
      </c>
      <c r="G25" s="5">
        <v>2226680</v>
      </c>
    </row>
    <row r="26" spans="1:7" ht="12.75">
      <c r="A26" s="1" t="s">
        <v>7</v>
      </c>
      <c r="B26" s="1" t="s">
        <v>11</v>
      </c>
      <c r="G26" s="5">
        <v>234000</v>
      </c>
    </row>
    <row r="27" spans="1:7" ht="12.75">
      <c r="A27" s="1" t="s">
        <v>8</v>
      </c>
      <c r="B27" s="1" t="s">
        <v>12</v>
      </c>
      <c r="G27" s="5">
        <f>ROUND(277806.6,0)</f>
        <v>277807</v>
      </c>
    </row>
    <row r="28" spans="4:6" ht="12.75">
      <c r="D28" s="1"/>
      <c r="E28" s="10" t="s">
        <v>13</v>
      </c>
      <c r="F28" s="11">
        <f>SUM(G7:G27)</f>
        <v>13840057</v>
      </c>
    </row>
    <row r="30" spans="1:7" ht="12.75">
      <c r="A30" s="1" t="s">
        <v>2</v>
      </c>
      <c r="B30" s="1" t="s">
        <v>14</v>
      </c>
      <c r="G30" s="5">
        <v>387230</v>
      </c>
    </row>
    <row r="31" spans="1:7" ht="12.75">
      <c r="A31" s="1" t="s">
        <v>3</v>
      </c>
      <c r="B31" s="1" t="s">
        <v>15</v>
      </c>
      <c r="G31" s="5">
        <v>195932</v>
      </c>
    </row>
    <row r="32" spans="1:7" ht="12.75">
      <c r="A32" s="1" t="s">
        <v>5</v>
      </c>
      <c r="B32" s="1" t="s">
        <v>16</v>
      </c>
      <c r="G32" s="5">
        <v>645230</v>
      </c>
    </row>
    <row r="33" spans="1:7" ht="12.75">
      <c r="A33" s="1" t="s">
        <v>6</v>
      </c>
      <c r="B33" s="1" t="s">
        <v>17</v>
      </c>
      <c r="G33" s="5">
        <v>513100</v>
      </c>
    </row>
    <row r="34" spans="1:7" ht="12.75">
      <c r="A34" s="1" t="s">
        <v>7</v>
      </c>
      <c r="B34" s="1" t="s">
        <v>18</v>
      </c>
      <c r="G34" s="5">
        <f>600*30</f>
        <v>18000</v>
      </c>
    </row>
    <row r="35" spans="4:6" ht="12.75">
      <c r="D35" s="1"/>
      <c r="E35" s="10" t="s">
        <v>13</v>
      </c>
      <c r="F35" s="11">
        <f>SUM(G30:G34)</f>
        <v>1759492</v>
      </c>
    </row>
    <row r="37" spans="1:7" ht="12.75">
      <c r="A37" s="1" t="s">
        <v>2</v>
      </c>
      <c r="B37" s="1" t="s">
        <v>19</v>
      </c>
      <c r="G37" s="5">
        <f>(82500+25000)*1.23</f>
        <v>132225</v>
      </c>
    </row>
    <row r="38" spans="1:7" ht="12.75">
      <c r="A38" s="1" t="s">
        <v>3</v>
      </c>
      <c r="B38" s="1" t="s">
        <v>20</v>
      </c>
      <c r="G38" s="5">
        <f>844000*1.23</f>
        <v>1038120</v>
      </c>
    </row>
    <row r="39" spans="1:7" ht="12.75">
      <c r="A39" s="1" t="s">
        <v>5</v>
      </c>
      <c r="B39" s="1" t="s">
        <v>66</v>
      </c>
      <c r="G39" s="5">
        <f>(264000+82500)*1.23</f>
        <v>426195</v>
      </c>
    </row>
    <row r="40" spans="1:7" ht="12.75">
      <c r="A40" s="1" t="s">
        <v>6</v>
      </c>
      <c r="B40" s="1" t="s">
        <v>21</v>
      </c>
      <c r="G40" s="5">
        <f>132000*1.23</f>
        <v>162360</v>
      </c>
    </row>
    <row r="41" spans="1:7" ht="12.75">
      <c r="A41" s="1" t="s">
        <v>7</v>
      </c>
      <c r="B41" s="1" t="s">
        <v>22</v>
      </c>
      <c r="G41" s="5">
        <f>137500*1.23</f>
        <v>169125</v>
      </c>
    </row>
    <row r="42" spans="4:6" ht="12.75">
      <c r="D42" s="1"/>
      <c r="E42" s="10" t="s">
        <v>13</v>
      </c>
      <c r="F42" s="11">
        <f>SUM(G37:G41)</f>
        <v>1928025</v>
      </c>
    </row>
    <row r="44" spans="1:7" ht="12.75">
      <c r="A44" s="1" t="s">
        <v>2</v>
      </c>
      <c r="B44" s="1" t="s">
        <v>24</v>
      </c>
      <c r="G44" s="5">
        <v>50000</v>
      </c>
    </row>
    <row r="45" spans="4:6" ht="12.75">
      <c r="D45" s="1"/>
      <c r="E45" s="10" t="s">
        <v>13</v>
      </c>
      <c r="F45" s="11">
        <f>SUM(G44:G44)</f>
        <v>50000</v>
      </c>
    </row>
    <row r="47" spans="1:7" ht="12.75">
      <c r="A47" s="1" t="s">
        <v>2</v>
      </c>
      <c r="B47" s="1" t="s">
        <v>25</v>
      </c>
      <c r="G47" s="5">
        <f>(198000+25200+12000+90000+42000)*1.23</f>
        <v>451656</v>
      </c>
    </row>
    <row r="48" spans="1:7" ht="12.75">
      <c r="A48" s="1" t="s">
        <v>3</v>
      </c>
      <c r="B48" s="1" t="s">
        <v>26</v>
      </c>
      <c r="G48" s="5">
        <f>(36000+22000+3000+3000+12000+8000)*1.23</f>
        <v>103320</v>
      </c>
    </row>
    <row r="49" spans="1:7" ht="12.75">
      <c r="A49" s="1" t="s">
        <v>5</v>
      </c>
      <c r="B49" s="1" t="s">
        <v>27</v>
      </c>
      <c r="G49" s="5">
        <f>60000*1.23</f>
        <v>73800</v>
      </c>
    </row>
    <row r="50" spans="1:7" ht="12.75">
      <c r="A50" s="1" t="s">
        <v>6</v>
      </c>
      <c r="B50" s="1" t="s">
        <v>28</v>
      </c>
      <c r="G50" s="5">
        <f>(24000+36000)*1.23</f>
        <v>73800</v>
      </c>
    </row>
    <row r="51" spans="1:7" ht="12.75">
      <c r="A51" s="1" t="s">
        <v>7</v>
      </c>
      <c r="B51" s="1" t="s">
        <v>29</v>
      </c>
      <c r="G51" s="5">
        <f>(150000+15000+12500)*1.23</f>
        <v>218325</v>
      </c>
    </row>
    <row r="52" spans="4:6" ht="12.75">
      <c r="D52" s="1"/>
      <c r="E52" s="10" t="s">
        <v>13</v>
      </c>
      <c r="F52" s="11">
        <f>SUM(G47:G51)</f>
        <v>920901</v>
      </c>
    </row>
    <row r="53" spans="4:6" ht="12.75">
      <c r="D53" s="1"/>
      <c r="E53" s="10"/>
      <c r="F53" s="11"/>
    </row>
    <row r="54" spans="1:7" ht="25.5" customHeight="1">
      <c r="A54" s="15" t="s">
        <v>2</v>
      </c>
      <c r="B54" s="21" t="s">
        <v>48</v>
      </c>
      <c r="C54" s="22"/>
      <c r="D54" s="22"/>
      <c r="E54" s="22"/>
      <c r="F54" s="22"/>
      <c r="G54" s="5">
        <f>300000+288400+132000+200000</f>
        <v>920400</v>
      </c>
    </row>
    <row r="55" spans="1:7" ht="12.75">
      <c r="A55" s="1" t="s">
        <v>3</v>
      </c>
      <c r="B55" s="1" t="s">
        <v>49</v>
      </c>
      <c r="D55" s="1"/>
      <c r="E55" s="10"/>
      <c r="F55" s="11"/>
      <c r="G55" s="5">
        <v>615000</v>
      </c>
    </row>
    <row r="56" spans="1:7" ht="12.75">
      <c r="A56" s="1" t="s">
        <v>5</v>
      </c>
      <c r="B56" s="1" t="s">
        <v>50</v>
      </c>
      <c r="D56" s="1"/>
      <c r="E56" s="10"/>
      <c r="F56" s="11"/>
      <c r="G56" s="5">
        <v>75000</v>
      </c>
    </row>
    <row r="57" spans="1:7" ht="12.75">
      <c r="A57" s="1" t="s">
        <v>6</v>
      </c>
      <c r="B57" s="1" t="s">
        <v>51</v>
      </c>
      <c r="D57" s="1"/>
      <c r="E57" s="10"/>
      <c r="F57" s="11"/>
      <c r="G57" s="5">
        <v>75000</v>
      </c>
    </row>
    <row r="58" spans="4:6" ht="12.75">
      <c r="D58" s="1"/>
      <c r="E58" s="10" t="s">
        <v>13</v>
      </c>
      <c r="F58" s="11">
        <f>SUM(G54:G57)</f>
        <v>1685400</v>
      </c>
    </row>
    <row r="59" spans="4:6" ht="12.75">
      <c r="D59" s="1"/>
      <c r="E59" s="10"/>
      <c r="F59" s="11"/>
    </row>
    <row r="60" spans="2:6" ht="12.75">
      <c r="B60" s="13" t="s">
        <v>29</v>
      </c>
      <c r="D60" s="1"/>
      <c r="E60" s="10"/>
      <c r="F60" s="11"/>
    </row>
    <row r="61" spans="2:7" ht="12.75">
      <c r="B61" s="1" t="s">
        <v>62</v>
      </c>
      <c r="D61" s="1"/>
      <c r="E61" s="10"/>
      <c r="F61" s="11"/>
      <c r="G61" s="5">
        <v>36900</v>
      </c>
    </row>
    <row r="62" spans="2:7" ht="12.75">
      <c r="B62" s="1" t="s">
        <v>63</v>
      </c>
      <c r="D62" s="1"/>
      <c r="E62" s="10"/>
      <c r="F62" s="11"/>
      <c r="G62" s="5">
        <v>50000</v>
      </c>
    </row>
    <row r="63" spans="2:7" ht="12.75">
      <c r="B63" s="1" t="s">
        <v>64</v>
      </c>
      <c r="D63" s="1"/>
      <c r="E63" s="10"/>
      <c r="F63" s="11"/>
      <c r="G63" s="5">
        <v>50000</v>
      </c>
    </row>
    <row r="64" spans="2:7" ht="12.75">
      <c r="B64" s="1" t="s">
        <v>67</v>
      </c>
      <c r="D64" s="1"/>
      <c r="E64" s="10"/>
      <c r="F64" s="11"/>
      <c r="G64" s="5">
        <v>50000</v>
      </c>
    </row>
    <row r="65" spans="2:7" ht="12.75">
      <c r="B65" s="1" t="s">
        <v>52</v>
      </c>
      <c r="D65" s="1"/>
      <c r="E65" s="10"/>
      <c r="F65" s="11"/>
      <c r="G65" s="5">
        <f>SUM(F67:F69)</f>
        <v>930000</v>
      </c>
    </row>
    <row r="66" spans="2:6" ht="12.75">
      <c r="B66" s="1" t="s">
        <v>30</v>
      </c>
      <c r="D66" s="1"/>
      <c r="E66" s="10"/>
      <c r="F66" s="11"/>
    </row>
    <row r="67" spans="2:8" s="9" customFormat="1" ht="12.75">
      <c r="B67" s="9" t="s">
        <v>31</v>
      </c>
      <c r="C67" s="9" t="s">
        <v>68</v>
      </c>
      <c r="E67" s="10"/>
      <c r="F67" s="8">
        <v>250000</v>
      </c>
      <c r="G67" s="8"/>
      <c r="H67" s="8"/>
    </row>
    <row r="68" spans="2:8" s="9" customFormat="1" ht="12.75">
      <c r="B68" s="9" t="s">
        <v>33</v>
      </c>
      <c r="C68" s="9" t="s">
        <v>69</v>
      </c>
      <c r="E68" s="10"/>
      <c r="F68" s="8">
        <v>380000</v>
      </c>
      <c r="G68" s="8"/>
      <c r="H68" s="8"/>
    </row>
    <row r="69" spans="2:8" s="9" customFormat="1" ht="12.75">
      <c r="B69" s="9" t="s">
        <v>35</v>
      </c>
      <c r="C69" s="9" t="s">
        <v>85</v>
      </c>
      <c r="E69" s="10"/>
      <c r="F69" s="8">
        <v>300000</v>
      </c>
      <c r="G69" s="8"/>
      <c r="H69" s="8"/>
    </row>
    <row r="70" spans="2:7" ht="12.75">
      <c r="B70" s="1" t="s">
        <v>53</v>
      </c>
      <c r="D70" s="1"/>
      <c r="E70" s="10"/>
      <c r="F70" s="11"/>
      <c r="G70" s="5">
        <v>450000</v>
      </c>
    </row>
    <row r="71" spans="2:7" ht="12.75">
      <c r="B71" s="1" t="s">
        <v>54</v>
      </c>
      <c r="D71" s="1"/>
      <c r="E71" s="10"/>
      <c r="F71" s="11"/>
      <c r="G71" s="5">
        <v>500000</v>
      </c>
    </row>
    <row r="72" spans="2:7" ht="12.75">
      <c r="B72" s="1" t="s">
        <v>61</v>
      </c>
      <c r="D72" s="1"/>
      <c r="E72" s="10"/>
      <c r="F72" s="11"/>
      <c r="G72" s="5">
        <v>80000</v>
      </c>
    </row>
    <row r="73" spans="2:7" ht="12.75">
      <c r="B73" s="1" t="s">
        <v>55</v>
      </c>
      <c r="D73" s="1"/>
      <c r="E73" s="10"/>
      <c r="F73" s="11"/>
      <c r="G73" s="5">
        <f>SUM(F75:F80)</f>
        <v>420500</v>
      </c>
    </row>
    <row r="74" spans="2:6" ht="12.75">
      <c r="B74" s="1" t="s">
        <v>30</v>
      </c>
      <c r="D74" s="1"/>
      <c r="E74" s="10"/>
      <c r="F74" s="11"/>
    </row>
    <row r="75" spans="2:8" s="9" customFormat="1" ht="12.75">
      <c r="B75" s="9" t="s">
        <v>31</v>
      </c>
      <c r="C75" s="9" t="s">
        <v>70</v>
      </c>
      <c r="E75" s="10"/>
      <c r="F75" s="8">
        <v>322000</v>
      </c>
      <c r="G75" s="8"/>
      <c r="H75" s="8"/>
    </row>
    <row r="76" spans="2:8" s="9" customFormat="1" ht="12.75">
      <c r="B76" s="9" t="s">
        <v>33</v>
      </c>
      <c r="C76" s="9" t="s">
        <v>71</v>
      </c>
      <c r="E76" s="10"/>
      <c r="F76" s="8">
        <v>5100</v>
      </c>
      <c r="G76" s="8"/>
      <c r="H76" s="8"/>
    </row>
    <row r="77" spans="2:8" s="9" customFormat="1" ht="12.75">
      <c r="B77" s="9" t="s">
        <v>35</v>
      </c>
      <c r="C77" s="9" t="s">
        <v>72</v>
      </c>
      <c r="E77" s="10"/>
      <c r="F77" s="8">
        <v>13200</v>
      </c>
      <c r="G77" s="8"/>
      <c r="H77" s="8"/>
    </row>
    <row r="78" spans="2:8" s="9" customFormat="1" ht="12.75">
      <c r="B78" s="9" t="s">
        <v>40</v>
      </c>
      <c r="C78" s="9" t="s">
        <v>73</v>
      </c>
      <c r="E78" s="10"/>
      <c r="F78" s="8">
        <v>46200</v>
      </c>
      <c r="G78" s="8"/>
      <c r="H78" s="8"/>
    </row>
    <row r="79" spans="2:8" s="9" customFormat="1" ht="12.75">
      <c r="B79" s="9" t="s">
        <v>42</v>
      </c>
      <c r="C79" s="9" t="s">
        <v>74</v>
      </c>
      <c r="E79" s="10"/>
      <c r="F79" s="8">
        <v>10000</v>
      </c>
      <c r="G79" s="8"/>
      <c r="H79" s="8"/>
    </row>
    <row r="80" spans="2:8" s="9" customFormat="1" ht="12.75">
      <c r="B80" s="9" t="s">
        <v>75</v>
      </c>
      <c r="C80" s="9" t="s">
        <v>76</v>
      </c>
      <c r="E80" s="10"/>
      <c r="F80" s="8">
        <v>24000</v>
      </c>
      <c r="G80" s="8"/>
      <c r="H80" s="8"/>
    </row>
    <row r="81" spans="2:7" ht="12.75">
      <c r="B81" s="1" t="s">
        <v>56</v>
      </c>
      <c r="D81" s="1"/>
      <c r="E81" s="10"/>
      <c r="F81" s="11"/>
      <c r="G81" s="5">
        <v>42000</v>
      </c>
    </row>
    <row r="82" spans="2:7" ht="12.75">
      <c r="B82" s="1" t="s">
        <v>57</v>
      </c>
      <c r="D82" s="1"/>
      <c r="E82" s="10"/>
      <c r="F82" s="11"/>
      <c r="G82" s="5">
        <v>80000</v>
      </c>
    </row>
    <row r="83" spans="2:7" ht="12.75">
      <c r="B83" s="1" t="s">
        <v>58</v>
      </c>
      <c r="D83" s="1"/>
      <c r="E83" s="10"/>
      <c r="F83" s="11"/>
      <c r="G83" s="5">
        <v>200000</v>
      </c>
    </row>
    <row r="84" spans="2:7" ht="12.75">
      <c r="B84" s="1" t="s">
        <v>59</v>
      </c>
      <c r="D84" s="1"/>
      <c r="E84" s="10"/>
      <c r="F84" s="11"/>
      <c r="G84" s="5">
        <v>465000</v>
      </c>
    </row>
    <row r="85" spans="2:7" ht="12.75">
      <c r="B85" s="1" t="s">
        <v>60</v>
      </c>
      <c r="D85" s="1"/>
      <c r="E85" s="10"/>
      <c r="F85" s="11"/>
      <c r="G85" s="5">
        <v>200000</v>
      </c>
    </row>
    <row r="86" spans="2:7" ht="12.75">
      <c r="B86" s="1" t="s">
        <v>77</v>
      </c>
      <c r="D86" s="1"/>
      <c r="E86" s="10"/>
      <c r="F86" s="11"/>
      <c r="G86" s="5">
        <v>570000</v>
      </c>
    </row>
    <row r="87" spans="4:6" ht="12.75">
      <c r="D87" s="1"/>
      <c r="E87" s="10"/>
      <c r="F87" s="11"/>
    </row>
    <row r="88" spans="2:8" s="9" customFormat="1" ht="12.75">
      <c r="B88" s="9" t="s">
        <v>23</v>
      </c>
      <c r="E88" s="10"/>
      <c r="F88" s="11"/>
      <c r="G88" s="8">
        <v>3500000</v>
      </c>
      <c r="H88" s="8"/>
    </row>
    <row r="90" ht="12.75">
      <c r="G90" s="11">
        <f>SUM(G7:G89)</f>
        <v>27808275</v>
      </c>
    </row>
    <row r="92" spans="1:7" ht="12.75">
      <c r="A92" s="16" t="s">
        <v>0</v>
      </c>
      <c r="B92" s="17"/>
      <c r="C92" s="17"/>
      <c r="D92" s="17"/>
      <c r="E92" s="17"/>
      <c r="F92" s="17"/>
      <c r="G92" s="18"/>
    </row>
    <row r="94" spans="1:7" ht="12.75">
      <c r="A94" s="1" t="s">
        <v>78</v>
      </c>
      <c r="B94" s="1" t="s">
        <v>80</v>
      </c>
      <c r="G94" s="5">
        <f>430*500*47.893</f>
        <v>10296995</v>
      </c>
    </row>
    <row r="95" spans="1:7" ht="12.75">
      <c r="A95" s="1" t="s">
        <v>3</v>
      </c>
      <c r="B95" s="1" t="s">
        <v>81</v>
      </c>
      <c r="G95" s="5">
        <f>ROUND(250*50*47.893,0)</f>
        <v>598663</v>
      </c>
    </row>
    <row r="96" spans="1:7" ht="12.75">
      <c r="A96" s="1" t="s">
        <v>5</v>
      </c>
      <c r="B96" s="1" t="s">
        <v>82</v>
      </c>
      <c r="G96" s="5">
        <f>70*100*47.893</f>
        <v>335251</v>
      </c>
    </row>
    <row r="97" spans="1:7" ht="12.75">
      <c r="A97" s="1" t="s">
        <v>6</v>
      </c>
      <c r="B97" s="1" t="s">
        <v>83</v>
      </c>
      <c r="G97" s="5">
        <v>1500000</v>
      </c>
    </row>
    <row r="99" ht="12.75">
      <c r="C99" s="1" t="s">
        <v>79</v>
      </c>
    </row>
    <row r="100" ht="12.75">
      <c r="G100" s="11">
        <f>SUM(G94:G99)</f>
        <v>12730909</v>
      </c>
    </row>
    <row r="102" spans="6:7" ht="12.75">
      <c r="F102" s="5" t="s">
        <v>84</v>
      </c>
      <c r="G102" s="5">
        <f>G100-G90</f>
        <v>-15077366</v>
      </c>
    </row>
    <row r="105" ht="12.75">
      <c r="B105" s="1" t="s">
        <v>86</v>
      </c>
    </row>
    <row r="106" ht="12.75">
      <c r="B106" s="1" t="s">
        <v>87</v>
      </c>
    </row>
    <row r="109" ht="12.75">
      <c r="B109" s="1" t="s">
        <v>91</v>
      </c>
    </row>
    <row r="114" ht="12.75">
      <c r="B114" s="1" t="s">
        <v>92</v>
      </c>
    </row>
  </sheetData>
  <mergeCells count="9">
    <mergeCell ref="A1:G1"/>
    <mergeCell ref="A2:G2"/>
    <mergeCell ref="A3:G3"/>
    <mergeCell ref="A5:G5"/>
    <mergeCell ref="A92:G92"/>
    <mergeCell ref="C10:E10"/>
    <mergeCell ref="C15:E15"/>
    <mergeCell ref="C22:E22"/>
    <mergeCell ref="B54:F54"/>
  </mergeCells>
  <printOptions/>
  <pageMargins left="0.75" right="0.75" top="1" bottom="1" header="0.4921259845" footer="0.4921259845"/>
  <pageSetup horizontalDpi="600" verticalDpi="600" orientation="portrait" paperSize="9" scale="99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06"/>
  <sheetViews>
    <sheetView tabSelected="1" workbookViewId="0" topLeftCell="A1">
      <selection activeCell="C18" sqref="C18:E18"/>
    </sheetView>
  </sheetViews>
  <sheetFormatPr defaultColWidth="9.00390625" defaultRowHeight="12.75"/>
  <cols>
    <col min="1" max="1" width="3.375" style="1" customWidth="1"/>
    <col min="2" max="2" width="3.00390625" style="1" customWidth="1"/>
    <col min="3" max="3" width="9.125" style="1" customWidth="1"/>
    <col min="4" max="4" width="6.125" style="0" customWidth="1"/>
    <col min="5" max="5" width="32.875" style="0" customWidth="1"/>
    <col min="6" max="6" width="20.375" style="5" customWidth="1"/>
    <col min="7" max="7" width="18.75390625" style="5" customWidth="1"/>
    <col min="8" max="8" width="18.125" style="5" customWidth="1"/>
    <col min="9" max="16384" width="9.125" style="1" customWidth="1"/>
  </cols>
  <sheetData>
    <row r="1" ht="12.75">
      <c r="G1" s="5" t="s">
        <v>94</v>
      </c>
    </row>
    <row r="2" spans="1:7" ht="15">
      <c r="A2" s="23" t="s">
        <v>89</v>
      </c>
      <c r="B2" s="23"/>
      <c r="C2" s="23"/>
      <c r="D2" s="23"/>
      <c r="E2" s="23"/>
      <c r="F2" s="23"/>
      <c r="G2" s="23"/>
    </row>
    <row r="3" spans="1:7" ht="15">
      <c r="A3" s="23" t="s">
        <v>65</v>
      </c>
      <c r="B3" s="23"/>
      <c r="C3" s="23"/>
      <c r="D3" s="23"/>
      <c r="E3" s="23"/>
      <c r="F3" s="23"/>
      <c r="G3" s="23"/>
    </row>
    <row r="4" spans="1:7" ht="15">
      <c r="A4" s="23" t="s">
        <v>95</v>
      </c>
      <c r="B4" s="23"/>
      <c r="C4" s="23"/>
      <c r="D4" s="23"/>
      <c r="E4" s="23"/>
      <c r="F4" s="23"/>
      <c r="G4" s="23"/>
    </row>
    <row r="5" spans="1:7" ht="15">
      <c r="A5" s="12"/>
      <c r="B5" s="12"/>
      <c r="C5" s="12"/>
      <c r="D5" s="12"/>
      <c r="E5" s="12"/>
      <c r="F5" s="12"/>
      <c r="G5" s="12"/>
    </row>
    <row r="6" spans="1:7" ht="15">
      <c r="A6" s="12"/>
      <c r="B6" s="12"/>
      <c r="C6" s="12"/>
      <c r="D6" s="12"/>
      <c r="E6" s="12"/>
      <c r="F6" s="12"/>
      <c r="G6" s="12"/>
    </row>
    <row r="8" spans="1:8" s="2" customFormat="1" ht="12.75">
      <c r="A8" s="16" t="s">
        <v>88</v>
      </c>
      <c r="B8" s="17"/>
      <c r="C8" s="17"/>
      <c r="D8" s="17"/>
      <c r="E8" s="17"/>
      <c r="F8" s="17"/>
      <c r="G8" s="18"/>
      <c r="H8" s="4"/>
    </row>
    <row r="9" spans="1:8" s="2" customFormat="1" ht="12.75">
      <c r="A9" s="3"/>
      <c r="B9" s="3"/>
      <c r="F9" s="6"/>
      <c r="G9" s="6"/>
      <c r="H9" s="4"/>
    </row>
    <row r="10" spans="1:7" ht="12.75">
      <c r="A10" s="1" t="s">
        <v>2</v>
      </c>
      <c r="B10" s="1" t="s">
        <v>1</v>
      </c>
      <c r="G10" s="5">
        <f>SUM(F12:F14)</f>
        <v>1886413</v>
      </c>
    </row>
    <row r="11" ht="12.75">
      <c r="B11" s="1" t="s">
        <v>30</v>
      </c>
    </row>
    <row r="12" spans="2:8" s="9" customFormat="1" ht="12.75">
      <c r="B12" s="9" t="s">
        <v>31</v>
      </c>
      <c r="C12" s="9" t="s">
        <v>32</v>
      </c>
      <c r="D12" s="7"/>
      <c r="E12" s="7"/>
      <c r="F12" s="8">
        <f>ROUND(1088182*1.1,0)</f>
        <v>1197000</v>
      </c>
      <c r="G12" s="8"/>
      <c r="H12" s="8"/>
    </row>
    <row r="13" spans="2:8" s="9" customFormat="1" ht="26.25" customHeight="1">
      <c r="B13" s="14" t="s">
        <v>33</v>
      </c>
      <c r="C13" s="19" t="s">
        <v>34</v>
      </c>
      <c r="D13" s="20"/>
      <c r="E13" s="20"/>
      <c r="F13" s="8">
        <f>50000*1.23</f>
        <v>61500</v>
      </c>
      <c r="G13" s="8"/>
      <c r="H13" s="8"/>
    </row>
    <row r="14" spans="2:8" s="9" customFormat="1" ht="12.75">
      <c r="B14" s="9" t="s">
        <v>35</v>
      </c>
      <c r="C14" s="9" t="s">
        <v>36</v>
      </c>
      <c r="D14" s="7"/>
      <c r="E14" s="7"/>
      <c r="F14" s="8">
        <f>570830*1.1</f>
        <v>627913</v>
      </c>
      <c r="G14" s="8"/>
      <c r="H14" s="8"/>
    </row>
    <row r="15" spans="1:7" ht="12.75">
      <c r="A15" s="1" t="s">
        <v>3</v>
      </c>
      <c r="B15" s="1" t="s">
        <v>4</v>
      </c>
      <c r="G15" s="5">
        <f>SUM(F17:F21)</f>
        <v>518144.00000000006</v>
      </c>
    </row>
    <row r="16" ht="12.75">
      <c r="B16" s="1" t="s">
        <v>30</v>
      </c>
    </row>
    <row r="17" spans="2:8" s="9" customFormat="1" ht="12.75">
      <c r="B17" s="9" t="s">
        <v>31</v>
      </c>
      <c r="C17" s="9" t="s">
        <v>96</v>
      </c>
      <c r="D17" s="7"/>
      <c r="E17" s="7"/>
      <c r="F17" s="8">
        <f>(24240*4)*1.1</f>
        <v>106656.00000000001</v>
      </c>
      <c r="G17" s="8"/>
      <c r="H17" s="8"/>
    </row>
    <row r="18" spans="2:8" s="9" customFormat="1" ht="26.25" customHeight="1">
      <c r="B18" s="14" t="s">
        <v>33</v>
      </c>
      <c r="C18" s="19" t="s">
        <v>97</v>
      </c>
      <c r="D18" s="20"/>
      <c r="E18" s="20"/>
      <c r="F18" s="8">
        <f>(21660*2*4)*1.1</f>
        <v>190608.00000000003</v>
      </c>
      <c r="G18" s="8"/>
      <c r="H18" s="8"/>
    </row>
    <row r="19" spans="2:8" s="9" customFormat="1" ht="12.75">
      <c r="B19" s="9" t="s">
        <v>35</v>
      </c>
      <c r="C19" s="9" t="s">
        <v>39</v>
      </c>
      <c r="D19" s="7"/>
      <c r="E19" s="7"/>
      <c r="F19" s="8">
        <f>154000*1.1</f>
        <v>169400</v>
      </c>
      <c r="G19" s="8"/>
      <c r="H19" s="8"/>
    </row>
    <row r="20" spans="2:8" s="9" customFormat="1" ht="12.75">
      <c r="B20" s="9" t="s">
        <v>40</v>
      </c>
      <c r="C20" s="9" t="s">
        <v>41</v>
      </c>
      <c r="D20" s="7"/>
      <c r="E20" s="7"/>
      <c r="F20" s="8">
        <f>16800*1.1</f>
        <v>18480</v>
      </c>
      <c r="G20" s="8"/>
      <c r="H20" s="8"/>
    </row>
    <row r="21" spans="2:8" s="9" customFormat="1" ht="12.75">
      <c r="B21" s="9" t="s">
        <v>42</v>
      </c>
      <c r="C21" s="9" t="s">
        <v>43</v>
      </c>
      <c r="D21" s="7"/>
      <c r="E21" s="7"/>
      <c r="F21" s="8">
        <f>30000*1.1</f>
        <v>33000</v>
      </c>
      <c r="G21" s="8"/>
      <c r="H21" s="8"/>
    </row>
    <row r="22" spans="1:7" ht="12.75">
      <c r="A22" s="1" t="s">
        <v>5</v>
      </c>
      <c r="B22" s="1" t="s">
        <v>9</v>
      </c>
      <c r="G22" s="5">
        <v>8697013</v>
      </c>
    </row>
    <row r="23" ht="12.75">
      <c r="B23" s="1" t="s">
        <v>30</v>
      </c>
    </row>
    <row r="24" spans="2:8" s="9" customFormat="1" ht="12.75">
      <c r="B24" s="9" t="s">
        <v>31</v>
      </c>
      <c r="C24" s="9" t="s">
        <v>98</v>
      </c>
      <c r="D24" s="7"/>
      <c r="E24" s="7" t="s">
        <v>99</v>
      </c>
      <c r="F24" s="8">
        <v>3112153</v>
      </c>
      <c r="G24" s="8"/>
      <c r="H24" s="8"/>
    </row>
    <row r="25" spans="3:8" s="9" customFormat="1" ht="12.75">
      <c r="C25" s="9" t="s">
        <v>100</v>
      </c>
      <c r="D25" s="7"/>
      <c r="E25" s="7"/>
      <c r="F25" s="8"/>
      <c r="G25" s="8"/>
      <c r="H25" s="8"/>
    </row>
    <row r="26" spans="2:8" s="9" customFormat="1" ht="25.5" customHeight="1">
      <c r="B26" s="14" t="s">
        <v>33</v>
      </c>
      <c r="C26" s="19" t="s">
        <v>101</v>
      </c>
      <c r="D26" s="20"/>
      <c r="E26" s="20"/>
      <c r="F26" s="8">
        <v>1749400</v>
      </c>
      <c r="G26" s="8"/>
      <c r="H26" s="8"/>
    </row>
    <row r="27" spans="2:8" s="9" customFormat="1" ht="12.75">
      <c r="B27" s="9" t="s">
        <v>35</v>
      </c>
      <c r="C27" s="9" t="s">
        <v>102</v>
      </c>
      <c r="D27" s="7"/>
      <c r="E27" s="7"/>
      <c r="F27" s="8">
        <f>1881800+(12000*1.23)</f>
        <v>1896560</v>
      </c>
      <c r="G27" s="8"/>
      <c r="H27" s="8"/>
    </row>
    <row r="28" spans="2:8" s="9" customFormat="1" ht="12.75">
      <c r="B28" s="9" t="s">
        <v>40</v>
      </c>
      <c r="C28" s="9" t="s">
        <v>103</v>
      </c>
      <c r="D28" s="7"/>
      <c r="E28" s="7"/>
      <c r="F28" s="8">
        <v>1938900</v>
      </c>
      <c r="G28" s="8"/>
      <c r="H28" s="8"/>
    </row>
    <row r="29" spans="1:7" ht="12.75">
      <c r="A29" s="1" t="s">
        <v>6</v>
      </c>
      <c r="B29" s="1" t="s">
        <v>10</v>
      </c>
      <c r="G29" s="5">
        <v>2226680</v>
      </c>
    </row>
    <row r="30" spans="1:7" ht="12.75">
      <c r="A30" s="1" t="s">
        <v>7</v>
      </c>
      <c r="B30" s="1" t="s">
        <v>104</v>
      </c>
      <c r="G30" s="5">
        <v>234000</v>
      </c>
    </row>
    <row r="31" spans="1:7" ht="12.75">
      <c r="A31" s="1" t="s">
        <v>8</v>
      </c>
      <c r="B31" s="1" t="s">
        <v>12</v>
      </c>
      <c r="G31" s="5">
        <f>ROUND(277806.6,0)</f>
        <v>277807</v>
      </c>
    </row>
    <row r="32" spans="4:6" ht="12.75">
      <c r="D32" s="1"/>
      <c r="E32" s="10" t="s">
        <v>13</v>
      </c>
      <c r="F32" s="11">
        <f>SUM(G10:G31)</f>
        <v>13840057</v>
      </c>
    </row>
    <row r="34" spans="1:7" ht="12.75">
      <c r="A34" s="1" t="s">
        <v>2</v>
      </c>
      <c r="B34" s="1" t="s">
        <v>14</v>
      </c>
      <c r="G34" s="5">
        <v>387230</v>
      </c>
    </row>
    <row r="35" spans="1:7" ht="12.75">
      <c r="A35" s="1" t="s">
        <v>3</v>
      </c>
      <c r="B35" s="1" t="s">
        <v>15</v>
      </c>
      <c r="G35" s="5">
        <v>195932</v>
      </c>
    </row>
    <row r="36" spans="1:7" ht="12.75">
      <c r="A36" s="1" t="s">
        <v>5</v>
      </c>
      <c r="B36" s="1" t="s">
        <v>16</v>
      </c>
      <c r="G36" s="5">
        <v>645230</v>
      </c>
    </row>
    <row r="37" spans="1:7" ht="12.75">
      <c r="A37" s="1" t="s">
        <v>6</v>
      </c>
      <c r="B37" s="1" t="s">
        <v>17</v>
      </c>
      <c r="G37" s="5">
        <v>513100</v>
      </c>
    </row>
    <row r="38" spans="1:7" ht="12.75">
      <c r="A38" s="1" t="s">
        <v>7</v>
      </c>
      <c r="B38" s="1" t="s">
        <v>18</v>
      </c>
      <c r="G38" s="5">
        <f>600*30</f>
        <v>18000</v>
      </c>
    </row>
    <row r="39" spans="4:6" ht="12.75">
      <c r="D39" s="1"/>
      <c r="E39" s="10" t="s">
        <v>13</v>
      </c>
      <c r="F39" s="11">
        <f>SUM(G34:G38)</f>
        <v>1759492</v>
      </c>
    </row>
    <row r="41" spans="1:7" ht="12.75">
      <c r="A41" s="1" t="s">
        <v>2</v>
      </c>
      <c r="B41" s="1" t="s">
        <v>19</v>
      </c>
      <c r="G41" s="5">
        <f>(82500+25000)*1.23</f>
        <v>132225</v>
      </c>
    </row>
    <row r="42" spans="1:7" ht="12.75">
      <c r="A42" s="1" t="s">
        <v>3</v>
      </c>
      <c r="B42" s="1" t="s">
        <v>20</v>
      </c>
      <c r="G42" s="5">
        <f>844000*1.23</f>
        <v>1038120</v>
      </c>
    </row>
    <row r="43" spans="1:7" ht="12.75">
      <c r="A43" s="1" t="s">
        <v>5</v>
      </c>
      <c r="B43" s="1" t="s">
        <v>66</v>
      </c>
      <c r="G43" s="5">
        <f>(264000+82500)*1.23</f>
        <v>426195</v>
      </c>
    </row>
    <row r="44" spans="1:7" ht="12.75">
      <c r="A44" s="1" t="s">
        <v>6</v>
      </c>
      <c r="B44" s="1" t="s">
        <v>21</v>
      </c>
      <c r="G44" s="5">
        <f>132000*1.23</f>
        <v>162360</v>
      </c>
    </row>
    <row r="45" spans="1:7" ht="12.75">
      <c r="A45" s="1" t="s">
        <v>7</v>
      </c>
      <c r="B45" s="1" t="s">
        <v>22</v>
      </c>
      <c r="G45" s="5">
        <f>137500*1.23</f>
        <v>169125</v>
      </c>
    </row>
    <row r="46" spans="4:6" ht="12.75">
      <c r="D46" s="1"/>
      <c r="E46" s="10" t="s">
        <v>13</v>
      </c>
      <c r="F46" s="11">
        <f>SUM(G41:G45)</f>
        <v>1928025</v>
      </c>
    </row>
    <row r="48" spans="1:7" ht="12.75">
      <c r="A48" s="1" t="s">
        <v>2</v>
      </c>
      <c r="B48" s="1" t="s">
        <v>24</v>
      </c>
      <c r="G48" s="5">
        <v>50000</v>
      </c>
    </row>
    <row r="49" spans="4:6" ht="12.75">
      <c r="D49" s="1"/>
      <c r="E49" s="10" t="s">
        <v>13</v>
      </c>
      <c r="F49" s="11">
        <f>SUM(G48:G48)</f>
        <v>50000</v>
      </c>
    </row>
    <row r="51" spans="1:7" ht="12.75">
      <c r="A51" s="1" t="s">
        <v>2</v>
      </c>
      <c r="B51" s="1" t="s">
        <v>25</v>
      </c>
      <c r="G51" s="5">
        <f>(198000+25200+12000+90000+42000)*1.23</f>
        <v>451656</v>
      </c>
    </row>
    <row r="52" spans="1:7" ht="12.75">
      <c r="A52" s="1" t="s">
        <v>3</v>
      </c>
      <c r="B52" s="1" t="s">
        <v>26</v>
      </c>
      <c r="G52" s="5">
        <f>(36000+22000+3000+3000+12000+8000)*1.23</f>
        <v>103320</v>
      </c>
    </row>
    <row r="53" spans="1:7" ht="12.75">
      <c r="A53" s="1" t="s">
        <v>5</v>
      </c>
      <c r="B53" s="1" t="s">
        <v>27</v>
      </c>
      <c r="G53" s="5">
        <f>60000*1.23</f>
        <v>73800</v>
      </c>
    </row>
    <row r="54" spans="1:7" ht="12.75">
      <c r="A54" s="1" t="s">
        <v>6</v>
      </c>
      <c r="B54" s="1" t="s">
        <v>105</v>
      </c>
      <c r="G54" s="5">
        <f>(24000+36000)*1.23</f>
        <v>73800</v>
      </c>
    </row>
    <row r="55" spans="1:7" ht="12.75">
      <c r="A55" s="1" t="s">
        <v>7</v>
      </c>
      <c r="B55" s="1" t="s">
        <v>29</v>
      </c>
      <c r="G55" s="5">
        <f>(150000+15000+12500)*1.23</f>
        <v>218325</v>
      </c>
    </row>
    <row r="56" spans="4:6" ht="12.75">
      <c r="D56" s="1"/>
      <c r="E56" s="10" t="s">
        <v>13</v>
      </c>
      <c r="F56" s="11">
        <f>SUM(G51:G55)</f>
        <v>920901</v>
      </c>
    </row>
    <row r="57" spans="4:6" ht="12.75">
      <c r="D57" s="1"/>
      <c r="E57" s="10"/>
      <c r="F57" s="11"/>
    </row>
    <row r="58" spans="1:7" ht="25.5" customHeight="1">
      <c r="A58" s="15" t="s">
        <v>2</v>
      </c>
      <c r="B58" s="21" t="s">
        <v>48</v>
      </c>
      <c r="C58" s="22"/>
      <c r="D58" s="22"/>
      <c r="E58" s="22"/>
      <c r="F58" s="22"/>
      <c r="G58" s="5">
        <f>300000+288400+132000+200000</f>
        <v>920400</v>
      </c>
    </row>
    <row r="59" spans="1:7" ht="12.75">
      <c r="A59" s="1" t="s">
        <v>3</v>
      </c>
      <c r="B59" s="1" t="s">
        <v>49</v>
      </c>
      <c r="D59" s="1"/>
      <c r="E59" s="10"/>
      <c r="F59" s="11"/>
      <c r="G59" s="5">
        <v>615000</v>
      </c>
    </row>
    <row r="60" spans="1:7" ht="12.75">
      <c r="A60" s="1" t="s">
        <v>5</v>
      </c>
      <c r="B60" s="1" t="s">
        <v>50</v>
      </c>
      <c r="D60" s="1"/>
      <c r="E60" s="10"/>
      <c r="F60" s="11"/>
      <c r="G60" s="5">
        <v>75000</v>
      </c>
    </row>
    <row r="61" spans="1:7" ht="12.75">
      <c r="A61" s="1" t="s">
        <v>6</v>
      </c>
      <c r="B61" s="1" t="s">
        <v>51</v>
      </c>
      <c r="D61" s="1"/>
      <c r="E61" s="10"/>
      <c r="F61" s="11"/>
      <c r="G61" s="5">
        <v>75000</v>
      </c>
    </row>
    <row r="62" spans="4:6" ht="12.75">
      <c r="D62" s="1"/>
      <c r="E62" s="10" t="s">
        <v>13</v>
      </c>
      <c r="F62" s="11">
        <f>SUM(G58:G61)</f>
        <v>1685400</v>
      </c>
    </row>
    <row r="63" spans="4:6" ht="12.75">
      <c r="D63" s="1"/>
      <c r="E63" s="10"/>
      <c r="F63" s="11"/>
    </row>
    <row r="64" spans="2:6" ht="12.75">
      <c r="B64" s="13" t="s">
        <v>29</v>
      </c>
      <c r="D64" s="1"/>
      <c r="E64" s="10"/>
      <c r="F64" s="11"/>
    </row>
    <row r="65" spans="2:7" ht="12.75">
      <c r="B65" s="1" t="s">
        <v>62</v>
      </c>
      <c r="D65" s="1"/>
      <c r="E65" s="10"/>
      <c r="F65" s="11"/>
      <c r="G65" s="5">
        <v>36900</v>
      </c>
    </row>
    <row r="66" spans="2:7" ht="12.75">
      <c r="B66" s="1" t="s">
        <v>63</v>
      </c>
      <c r="D66" s="1"/>
      <c r="E66" s="10"/>
      <c r="F66" s="11"/>
      <c r="G66" s="5">
        <v>50000</v>
      </c>
    </row>
    <row r="67" spans="2:7" ht="12.75">
      <c r="B67" s="1" t="s">
        <v>64</v>
      </c>
      <c r="D67" s="1"/>
      <c r="E67" s="10"/>
      <c r="F67" s="11"/>
      <c r="G67" s="5">
        <v>50000</v>
      </c>
    </row>
    <row r="68" spans="2:7" ht="12.75">
      <c r="B68" s="1" t="s">
        <v>67</v>
      </c>
      <c r="D68" s="1"/>
      <c r="E68" s="10"/>
      <c r="F68" s="11"/>
      <c r="G68" s="5">
        <v>50000</v>
      </c>
    </row>
    <row r="69" spans="2:7" ht="12.75">
      <c r="B69" s="1" t="s">
        <v>52</v>
      </c>
      <c r="D69" s="1"/>
      <c r="E69" s="10"/>
      <c r="F69" s="11"/>
      <c r="G69" s="5">
        <v>930000</v>
      </c>
    </row>
    <row r="70" spans="2:7" ht="12.75">
      <c r="B70" s="1" t="s">
        <v>53</v>
      </c>
      <c r="D70" s="1"/>
      <c r="E70" s="10"/>
      <c r="F70" s="11"/>
      <c r="G70" s="5">
        <v>450000</v>
      </c>
    </row>
    <row r="71" spans="2:7" ht="12.75">
      <c r="B71" s="1" t="s">
        <v>54</v>
      </c>
      <c r="D71" s="1"/>
      <c r="E71" s="10"/>
      <c r="F71" s="11"/>
      <c r="G71" s="5">
        <v>500000</v>
      </c>
    </row>
    <row r="72" spans="2:7" ht="12.75">
      <c r="B72" s="1" t="s">
        <v>61</v>
      </c>
      <c r="D72" s="1"/>
      <c r="E72" s="10"/>
      <c r="F72" s="11"/>
      <c r="G72" s="5">
        <v>80000</v>
      </c>
    </row>
    <row r="73" spans="2:7" ht="12.75">
      <c r="B73" s="1" t="s">
        <v>106</v>
      </c>
      <c r="D73" s="1"/>
      <c r="E73" s="10"/>
      <c r="F73" s="11"/>
      <c r="G73" s="5">
        <f>SUM(F75:F80)</f>
        <v>420500</v>
      </c>
    </row>
    <row r="74" spans="2:6" ht="12.75">
      <c r="B74" s="1" t="s">
        <v>30</v>
      </c>
      <c r="D74" s="1"/>
      <c r="E74" s="10"/>
      <c r="F74" s="11"/>
    </row>
    <row r="75" spans="2:8" s="9" customFormat="1" ht="12.75">
      <c r="B75" s="9" t="s">
        <v>31</v>
      </c>
      <c r="C75" s="9" t="s">
        <v>70</v>
      </c>
      <c r="E75" s="10"/>
      <c r="F75" s="8">
        <v>322000</v>
      </c>
      <c r="G75" s="8"/>
      <c r="H75" s="8"/>
    </row>
    <row r="76" spans="2:8" s="9" customFormat="1" ht="12.75">
      <c r="B76" s="9" t="s">
        <v>33</v>
      </c>
      <c r="C76" s="9" t="s">
        <v>71</v>
      </c>
      <c r="E76" s="10"/>
      <c r="F76" s="8">
        <v>5100</v>
      </c>
      <c r="G76" s="8"/>
      <c r="H76" s="8"/>
    </row>
    <row r="77" spans="2:8" s="9" customFormat="1" ht="12.75">
      <c r="B77" s="9" t="s">
        <v>35</v>
      </c>
      <c r="C77" s="9" t="s">
        <v>72</v>
      </c>
      <c r="E77" s="10"/>
      <c r="F77" s="8">
        <v>13200</v>
      </c>
      <c r="G77" s="8"/>
      <c r="H77" s="8"/>
    </row>
    <row r="78" spans="2:8" s="9" customFormat="1" ht="12.75">
      <c r="B78" s="9" t="s">
        <v>40</v>
      </c>
      <c r="C78" s="9" t="s">
        <v>73</v>
      </c>
      <c r="E78" s="10"/>
      <c r="F78" s="8">
        <v>46200</v>
      </c>
      <c r="G78" s="8"/>
      <c r="H78" s="8"/>
    </row>
    <row r="79" spans="2:8" s="9" customFormat="1" ht="12.75">
      <c r="B79" s="9" t="s">
        <v>42</v>
      </c>
      <c r="C79" s="9" t="s">
        <v>74</v>
      </c>
      <c r="E79" s="10"/>
      <c r="F79" s="8">
        <v>10000</v>
      </c>
      <c r="G79" s="8"/>
      <c r="H79" s="8"/>
    </row>
    <row r="80" spans="2:8" s="9" customFormat="1" ht="12.75">
      <c r="B80" s="9" t="s">
        <v>75</v>
      </c>
      <c r="C80" s="9" t="s">
        <v>76</v>
      </c>
      <c r="E80" s="10"/>
      <c r="F80" s="8">
        <v>24000</v>
      </c>
      <c r="G80" s="8"/>
      <c r="H80" s="8"/>
    </row>
    <row r="81" spans="2:7" ht="12.75">
      <c r="B81" s="1" t="s">
        <v>56</v>
      </c>
      <c r="D81" s="1"/>
      <c r="E81" s="10"/>
      <c r="F81" s="11"/>
      <c r="G81" s="5">
        <v>42000</v>
      </c>
    </row>
    <row r="82" spans="2:7" ht="12.75">
      <c r="B82" s="1" t="s">
        <v>57</v>
      </c>
      <c r="D82" s="1"/>
      <c r="E82" s="10"/>
      <c r="F82" s="11"/>
      <c r="G82" s="5">
        <v>80000</v>
      </c>
    </row>
    <row r="83" spans="2:7" ht="12.75">
      <c r="B83" s="1" t="s">
        <v>58</v>
      </c>
      <c r="D83" s="1"/>
      <c r="E83" s="10"/>
      <c r="F83" s="11"/>
      <c r="G83" s="5">
        <v>200000</v>
      </c>
    </row>
    <row r="84" spans="2:7" ht="12.75">
      <c r="B84" s="1" t="s">
        <v>59</v>
      </c>
      <c r="D84" s="1"/>
      <c r="E84" s="10"/>
      <c r="F84" s="11"/>
      <c r="G84" s="5">
        <v>465000</v>
      </c>
    </row>
    <row r="85" spans="2:7" ht="12.75">
      <c r="B85" s="1" t="s">
        <v>60</v>
      </c>
      <c r="D85" s="1"/>
      <c r="E85" s="10"/>
      <c r="F85" s="11"/>
      <c r="G85" s="5">
        <v>200000</v>
      </c>
    </row>
    <row r="86" spans="2:7" ht="12.75">
      <c r="B86" s="1" t="s">
        <v>77</v>
      </c>
      <c r="D86" s="1"/>
      <c r="E86" s="10"/>
      <c r="F86" s="11"/>
      <c r="G86" s="5">
        <v>570000</v>
      </c>
    </row>
    <row r="87" spans="4:6" ht="12.75">
      <c r="D87" s="1"/>
      <c r="E87" s="10"/>
      <c r="F87" s="11"/>
    </row>
    <row r="88" spans="2:8" s="9" customFormat="1" ht="12.75">
      <c r="B88" s="9" t="s">
        <v>23</v>
      </c>
      <c r="E88" s="10"/>
      <c r="F88" s="11"/>
      <c r="G88" s="8">
        <v>3500000</v>
      </c>
      <c r="H88" s="8"/>
    </row>
    <row r="90" ht="12.75">
      <c r="G90" s="11">
        <f>SUM(G10:G89)</f>
        <v>27808275</v>
      </c>
    </row>
    <row r="92" spans="1:7" ht="12.75">
      <c r="A92" s="16" t="s">
        <v>0</v>
      </c>
      <c r="B92" s="17"/>
      <c r="C92" s="17"/>
      <c r="D92" s="17"/>
      <c r="E92" s="17"/>
      <c r="F92" s="17"/>
      <c r="G92" s="18"/>
    </row>
    <row r="94" spans="1:7" ht="12.75">
      <c r="A94" s="1" t="s">
        <v>78</v>
      </c>
      <c r="B94" s="1" t="s">
        <v>80</v>
      </c>
      <c r="G94" s="5">
        <f>430*500*47.893</f>
        <v>10296995</v>
      </c>
    </row>
    <row r="95" spans="1:7" ht="12.75">
      <c r="A95" s="1" t="s">
        <v>3</v>
      </c>
      <c r="B95" s="1" t="s">
        <v>81</v>
      </c>
      <c r="G95" s="5">
        <f>ROUND(250*50*47.893,0)</f>
        <v>598663</v>
      </c>
    </row>
    <row r="96" spans="1:7" ht="12.75">
      <c r="A96" s="1" t="s">
        <v>5</v>
      </c>
      <c r="B96" s="1" t="s">
        <v>82</v>
      </c>
      <c r="G96" s="5">
        <f>70*100*47.893</f>
        <v>335251</v>
      </c>
    </row>
    <row r="97" spans="1:7" ht="12.75">
      <c r="A97" s="1" t="s">
        <v>6</v>
      </c>
      <c r="B97" s="1" t="s">
        <v>83</v>
      </c>
      <c r="G97" s="5">
        <v>1500000</v>
      </c>
    </row>
    <row r="99" ht="12.75">
      <c r="C99" s="1" t="s">
        <v>107</v>
      </c>
    </row>
    <row r="100" ht="12.75">
      <c r="G100" s="11">
        <f>SUM(G94:G99)</f>
        <v>12730909</v>
      </c>
    </row>
    <row r="102" spans="5:7" ht="12.75">
      <c r="E102" t="s">
        <v>93</v>
      </c>
      <c r="G102" s="5">
        <f>G100-G90</f>
        <v>-15077366</v>
      </c>
    </row>
    <row r="105" ht="12.75">
      <c r="B105" s="1" t="s">
        <v>86</v>
      </c>
    </row>
    <row r="106" ht="12.75">
      <c r="B106" s="1" t="s">
        <v>87</v>
      </c>
    </row>
  </sheetData>
  <mergeCells count="9">
    <mergeCell ref="A92:G92"/>
    <mergeCell ref="C13:E13"/>
    <mergeCell ref="C18:E18"/>
    <mergeCell ref="C26:E26"/>
    <mergeCell ref="B58:F58"/>
    <mergeCell ref="A2:G2"/>
    <mergeCell ref="A3:G3"/>
    <mergeCell ref="A4:G4"/>
    <mergeCell ref="A8:G8"/>
  </mergeCells>
  <printOptions horizontalCentered="1"/>
  <pageMargins left="0.3937007874015748" right="0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&amp;R&amp;P/&amp;N</oddFooter>
  </headerFooter>
  <rowBreaks count="2" manualBreakCount="2">
    <brk id="49" max="255" man="1"/>
    <brk id="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Mária Sokolíková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Mária Sokolíková</dc:creator>
  <cp:keywords/>
  <dc:description/>
  <cp:lastModifiedBy>MPSR</cp:lastModifiedBy>
  <cp:lastPrinted>2002-03-26T08:04:26Z</cp:lastPrinted>
  <dcterms:created xsi:type="dcterms:W3CDTF">2002-03-12T08:02:26Z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