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95" windowHeight="6630" firstSheet="3" activeTab="3"/>
  </bookViews>
  <sheets>
    <sheet name="Potreba FP do 2008" sheetId="1" state="hidden" r:id="rId1"/>
    <sheet name="Hárok1" sheetId="2" state="hidden" r:id="rId2"/>
    <sheet name="Hárok4" sheetId="3" state="hidden" r:id="rId3"/>
    <sheet name="Tabuľka 1 NZR" sheetId="4" r:id="rId4"/>
    <sheet name="Tabuľka 2 NZR" sheetId="5" r:id="rId5"/>
    <sheet name="Financie 3" sheetId="6" r:id="rId6"/>
    <sheet name="Tabuľka 4 HR a MR" sheetId="7" state="hidden" r:id="rId7"/>
    <sheet name="Tabuľka 5 Ústredie a závody" sheetId="8" state="hidden" r:id="rId8"/>
    <sheet name="Závody" sheetId="9" state="hidden" r:id="rId9"/>
    <sheet name="Hárok2" sheetId="10" state="hidden" r:id="rId10"/>
    <sheet name="Tabuľka 3" sheetId="11" state="hidden" r:id="rId11"/>
    <sheet name="Tabuľka 4" sheetId="12" state="hidden" r:id="rId12"/>
    <sheet name="h" sheetId="13" state="hidden" r:id="rId13"/>
    <sheet name="Hárok3" sheetId="14" state="hidden" r:id="rId14"/>
  </sheets>
  <definedNames/>
  <calcPr fullCalcOnLoad="1"/>
</workbook>
</file>

<file path=xl/sharedStrings.xml><?xml version="1.0" encoding="utf-8"?>
<sst xmlns="http://schemas.openxmlformats.org/spreadsheetml/2006/main" count="771" uniqueCount="296">
  <si>
    <t>Ukazovateľ</t>
  </si>
  <si>
    <t>VÝDAVKY CELKOM (A + B)</t>
  </si>
  <si>
    <t>v tom:</t>
  </si>
  <si>
    <t>A) Kapitálové výdavky</t>
  </si>
  <si>
    <t>a</t>
  </si>
  <si>
    <t>b</t>
  </si>
  <si>
    <t>c</t>
  </si>
  <si>
    <t>d</t>
  </si>
  <si>
    <t>Potreba na rok 2004</t>
  </si>
  <si>
    <t>e</t>
  </si>
  <si>
    <t>f</t>
  </si>
  <si>
    <t>g</t>
  </si>
  <si>
    <t>h</t>
  </si>
  <si>
    <t xml:space="preserve">(Stavby A.2 a A.3 v zmysle uznesenia vlády SR č. 1402/2002 - zmena nositeľa úloh obrannej infraštruktúry z pôsobnosti MH SR na SŠHR SR) </t>
  </si>
  <si>
    <t xml:space="preserve">A.5. Ekologické zabezpečenie skladovania PHM sklad Stožok </t>
  </si>
  <si>
    <t>B.4.1. Mzdové prostriedky</t>
  </si>
  <si>
    <t>B.4.2. Cestovné</t>
  </si>
  <si>
    <t>B.4.3. Údržba a opravy</t>
  </si>
  <si>
    <t>B.4.4. materiálne výdavky</t>
  </si>
  <si>
    <t>B.4.5. Iné (odvody)</t>
  </si>
  <si>
    <t>Výhľad    2005</t>
  </si>
  <si>
    <t>Pridelené limity</t>
  </si>
  <si>
    <t>Rozdiel         (c-b)</t>
  </si>
  <si>
    <t>Výhľad   2006</t>
  </si>
  <si>
    <t>Výhľad   2007</t>
  </si>
  <si>
    <t>Výhľad   2008</t>
  </si>
  <si>
    <t>B.4. Hosp.mobilizácia - stavby Stožok a Kapušany</t>
  </si>
  <si>
    <t>tisíc Sk</t>
  </si>
  <si>
    <t>B) Bežné výdavky</t>
  </si>
  <si>
    <t xml:space="preserve">B.1. Náhrada nákladov za udržiavanie ŠHR </t>
  </si>
  <si>
    <t>B.2. Ochrana objektov, techniky a materiálov</t>
  </si>
  <si>
    <t>B.3. Štúdie, expertízy, posudky</t>
  </si>
  <si>
    <t>A.3. Pokračovanie v rozširovaní terminálu Kapušany v rámci stavieb obr. infraštruktúry.</t>
  </si>
  <si>
    <t>A.2.  Rekonštrukcia nádrží terminálu Stožok v rámci stavieb obrannej infraštruktúry.</t>
  </si>
  <si>
    <t>A.1. Nákup hmoty</t>
  </si>
  <si>
    <t xml:space="preserve">A.6. Ekologické zabezpečenie skladovania PHM sklad Hronský Beňadik </t>
  </si>
  <si>
    <t xml:space="preserve">A.4. Ekologické zabezpečenie skladovania PHM sklad Horný Hričov </t>
  </si>
  <si>
    <t>A.7. Ďalšia potreba výstavby</t>
  </si>
  <si>
    <t>Výpočet potreby skladovacích kapacít vyplývajúcej z predpokladanej zvyšujúcej sa dennej spotreby do roku 2008</t>
  </si>
  <si>
    <t>tony</t>
  </si>
  <si>
    <r>
      <t>m</t>
    </r>
    <r>
      <rPr>
        <vertAlign val="superscript"/>
        <sz val="10"/>
        <rFont val="Arial CE"/>
        <family val="2"/>
      </rPr>
      <t>3</t>
    </r>
  </si>
  <si>
    <t>Denná spotreba ropných výrobkov</t>
  </si>
  <si>
    <t>ton</t>
  </si>
  <si>
    <t xml:space="preserve">Výťažnosť svetlých produktov v Slovnafte z ropy je </t>
  </si>
  <si>
    <t>%</t>
  </si>
  <si>
    <t xml:space="preserve">Povinnosť udržiavať zásoby na </t>
  </si>
  <si>
    <t>dní</t>
  </si>
  <si>
    <t>Rozdelenie skladovaných materiálov</t>
  </si>
  <si>
    <t>(%) Ropa</t>
  </si>
  <si>
    <t>(%) Paliva</t>
  </si>
  <si>
    <t>Potreba skladovania pre NZ</t>
  </si>
  <si>
    <t>z toho ropy (k = 0,85)</t>
  </si>
  <si>
    <t>ostatné</t>
  </si>
  <si>
    <t>Potreba skladovacích priestorov</t>
  </si>
  <si>
    <t>Iné požiadavky na skladovanie</t>
  </si>
  <si>
    <t>paliva</t>
  </si>
  <si>
    <t>oleje</t>
  </si>
  <si>
    <t>Celková potreba skladovania</t>
  </si>
  <si>
    <r>
      <t>ton</t>
    </r>
    <r>
      <rPr>
        <b/>
        <sz val="9"/>
        <rFont val="Arial CE"/>
        <family val="0"/>
      </rPr>
      <t xml:space="preserve">   </t>
    </r>
    <r>
      <rPr>
        <b/>
        <vertAlign val="subscript"/>
        <sz val="9"/>
        <rFont val="Arial CE"/>
        <family val="0"/>
      </rPr>
      <t>m3</t>
    </r>
  </si>
  <si>
    <t xml:space="preserve">Kapacity pre skladovanie n. z. </t>
  </si>
  <si>
    <t>Rozdiel do naplnenia potrieb</t>
  </si>
  <si>
    <t>Výpočet potreby finančných prostriedkov na nákup, skladovanie a ochraňovanie núdzových zásob pri predpokladanej zvyšujúcej sa spotrebe do roku 2008</t>
  </si>
  <si>
    <t>Nárast dennej spotreby do roku 2008 na 6 500 ton</t>
  </si>
  <si>
    <t xml:space="preserve">Stav k 31.12.2002 </t>
  </si>
  <si>
    <t>Stav k 31.12.2003</t>
  </si>
  <si>
    <t>Zásoba ropy</t>
  </si>
  <si>
    <t>Nákup ropy</t>
  </si>
  <si>
    <t>množstvo</t>
  </si>
  <si>
    <t>Sk/tona</t>
  </si>
  <si>
    <t>Zásoba PHM celkom</t>
  </si>
  <si>
    <t>Zásoba PHM pre NZ</t>
  </si>
  <si>
    <t>Nákup PHM</t>
  </si>
  <si>
    <r>
      <t>Sk/m</t>
    </r>
    <r>
      <rPr>
        <b/>
        <vertAlign val="superscript"/>
        <sz val="10"/>
        <rFont val="Arial CE"/>
        <family val="2"/>
      </rPr>
      <t>3</t>
    </r>
  </si>
  <si>
    <t>ticíc Sk</t>
  </si>
  <si>
    <t>Kapitálové výdavky tisíc Sk</t>
  </si>
  <si>
    <t>Skladovanie a ochraňovanie núdzovýh zásob                          tisíc Sk</t>
  </si>
  <si>
    <t>Pri súčasnej tarife</t>
  </si>
  <si>
    <t>Tarifa 400-Sk za ropu a 299-Sk za produkty</t>
  </si>
  <si>
    <t>Tarifa 500-Sk za ropu a 299-Sk za produkty</t>
  </si>
  <si>
    <t>Tarifa 500-Sk za ropu a 500-Sk za produkty</t>
  </si>
  <si>
    <t>Celkové náklady na núdzové zásoby za rok  tisíc Sk</t>
  </si>
  <si>
    <t>Investičné náklady na dobudovanie skladov na PHM v Kapušanoh a Stožku                       tisíc Sk</t>
  </si>
  <si>
    <t>Požiadavka</t>
  </si>
  <si>
    <t>Pridelené</t>
  </si>
  <si>
    <t>Preinvestované</t>
  </si>
  <si>
    <t>Daňové sklady</t>
  </si>
  <si>
    <t>Kapitálové výdavky na nákup hmoty na roky 2004 až 2008 tisíc Sk</t>
  </si>
  <si>
    <t>Investičné výdavky na vybudovanie skladov na roky 2004 až 2008 tisíc Sk</t>
  </si>
  <si>
    <t>Bežné výdavky na ochraňovanie NZ na roky 2004 až 2008 tisíc Sk</t>
  </si>
  <si>
    <t>Tabuľka č. 1</t>
  </si>
  <si>
    <t>Tabuľka č. 2</t>
  </si>
  <si>
    <t>Potreba skladvania</t>
  </si>
  <si>
    <t>ropy</t>
  </si>
  <si>
    <r>
      <t>Skladovacie</t>
    </r>
    <r>
      <rPr>
        <b/>
        <sz val="9"/>
        <rFont val="Arial CE"/>
        <family val="2"/>
      </rPr>
      <t xml:space="preserve"> kapacity</t>
    </r>
  </si>
  <si>
    <t>Rozdiel</t>
  </si>
  <si>
    <t>Kapacity súčasné</t>
  </si>
  <si>
    <t>ropa</t>
  </si>
  <si>
    <t>Treba naskladniť</t>
  </si>
  <si>
    <t>Motorová nafta</t>
  </si>
  <si>
    <t>Rozdelenie spotreby jednotlivých sledovaných produktov podľa štatistického zisťovania (%)</t>
  </si>
  <si>
    <t>Benzíny</t>
  </si>
  <si>
    <t>Petrolej</t>
  </si>
  <si>
    <t>Vykurovacie oleje</t>
  </si>
  <si>
    <t>Výška spotrebnej dane v korunách na 1 000 litrov produktu</t>
  </si>
  <si>
    <t>Tabuľka č. 3</t>
  </si>
  <si>
    <t>Finančný prínos do "Ropného fondu" v tisíc Sk</t>
  </si>
  <si>
    <t>Sk</t>
  </si>
  <si>
    <t>Celkový prínos do "Ropného fondu"</t>
  </si>
  <si>
    <t>Tvorba "Ropného fondu" zo spotrebnej dane</t>
  </si>
  <si>
    <t>Výpočet tvorby "Ropného fondu" z predpokladanej zvyšujúcej sa dennej spotreby do roku 2008</t>
  </si>
  <si>
    <t>Výška spotrebnej dane v korunách na 1 000 litrov produktu                                (pri vykurovacích olejoch                                                        na 1 000 kg)                                                / tvorba ropného fondu z 1 litra, resp. 1 kg predanej hmoty v korunách</t>
  </si>
  <si>
    <t>Celkový prínos do "Ropného fondu" v tisíc Sk</t>
  </si>
  <si>
    <r>
      <t>Sk *10</t>
    </r>
    <r>
      <rPr>
        <vertAlign val="superscript"/>
        <sz val="10"/>
        <rFont val="Arial CE"/>
        <family val="0"/>
      </rPr>
      <t>3</t>
    </r>
  </si>
  <si>
    <t xml:space="preserve">Výpočet potreby skladovacích kapacít vyplývajúcej z predpokladanej zvyšujúcej </t>
  </si>
  <si>
    <t>Výhľad   2009</t>
  </si>
  <si>
    <t>Výhľad   2010</t>
  </si>
  <si>
    <t>Celkom   2005 - 2010</t>
  </si>
  <si>
    <t>Skladovanie</t>
  </si>
  <si>
    <t>palivá</t>
  </si>
  <si>
    <t>Spolu</t>
  </si>
  <si>
    <t>Potreba finančných prostriedkov do roku 2010</t>
  </si>
  <si>
    <t>K 2004 = 6 156 ton, 2010 = 6 700 ton</t>
  </si>
  <si>
    <t>Rozdelenie spotreby jednotlivých sledovaných produktov podľa štatistického zisťovania             (%)/(t za rok)</t>
  </si>
  <si>
    <t>paliva+vykurovacie oleje</t>
  </si>
  <si>
    <t>Výpočet dennej spotreby jednotlivých ropných výrobkov z predpokladanej zvyšujúcej sa dennej spotreby do roku 2010</t>
  </si>
  <si>
    <t>Výpočet ročnej spotreby jednotlivých ropných výrobkov z predpokladanej zvyšujúcej sa dennej spotreby</t>
  </si>
  <si>
    <t>do roku 2010</t>
  </si>
  <si>
    <t>Povinnosť udržiavať núdzové zásoby</t>
  </si>
  <si>
    <t>Z toho</t>
  </si>
  <si>
    <t>ropné výrobky</t>
  </si>
  <si>
    <t>Ropa</t>
  </si>
  <si>
    <t>Zásoby skutočné</t>
  </si>
  <si>
    <r>
      <t xml:space="preserve">Zásoby efektívne </t>
    </r>
    <r>
      <rPr>
        <sz val="9"/>
        <rFont val="Arial CE"/>
        <family val="0"/>
      </rPr>
      <t>(85% skutočných)</t>
    </r>
  </si>
  <si>
    <r>
      <t>Rozdelenie spotreby jednotlivých sledovaných produktov za rok podľa štatistického zisťovania</t>
    </r>
    <r>
      <rPr>
        <u val="single"/>
        <sz val="10"/>
        <rFont val="Arial CE"/>
        <family val="0"/>
      </rPr>
      <t xml:space="preserve">             a potreba skladovania v tonách</t>
    </r>
    <r>
      <rPr>
        <sz val="10"/>
        <rFont val="Arial CE"/>
        <family val="0"/>
      </rPr>
      <t xml:space="preserve">           </t>
    </r>
    <r>
      <rPr>
        <sz val="10"/>
        <rFont val="Arial CE"/>
        <family val="0"/>
      </rPr>
      <t>skutočnosť skladovaných produktov k 31.12.</t>
    </r>
  </si>
  <si>
    <t>Výpočet potreby skladovania jednotlivých ropných výrobkov z predpokladanej zvyšujúcej sa dennej spotreby</t>
  </si>
  <si>
    <t>do roku 2008 a potreba finančných prostriedkov</t>
  </si>
  <si>
    <t>Potreba nákupu jednotlivých produktov podľa rokov a potreba financií na nákup pri východzej súčasnej cene ropy a produktov (s DPH), pri predpokladanom medziročnom náraste 5 %</t>
  </si>
  <si>
    <t>Súčasná cena s DPH</t>
  </si>
  <si>
    <t>Potreba nákupu</t>
  </si>
  <si>
    <t>Potreba Sk</t>
  </si>
  <si>
    <t>Súčasná cena s DPH a SD</t>
  </si>
  <si>
    <t>Spolu potreba finančných prostriedkov</t>
  </si>
  <si>
    <t>Tabuľka č. 4</t>
  </si>
  <si>
    <t>Tarifa za skladovanie ropy za 1 t/rok</t>
  </si>
  <si>
    <t>Skutočne naskladnené k 31.12.</t>
  </si>
  <si>
    <t xml:space="preserve"> *A</t>
  </si>
  <si>
    <t xml:space="preserve"> *B</t>
  </si>
  <si>
    <t>Nákup cena za 1 tonu</t>
  </si>
  <si>
    <r>
      <t>Nákup cena za 1 m</t>
    </r>
    <r>
      <rPr>
        <vertAlign val="superscript"/>
        <sz val="10"/>
        <rFont val="Arial CE"/>
        <family val="0"/>
      </rPr>
      <t>3</t>
    </r>
  </si>
  <si>
    <t>Nákup množstvo (ton)</t>
  </si>
  <si>
    <t>Aktuálna cena, priemer za 12. 2004, aktuálny kurz USD, priemer za 12. 2004, bez DPH</t>
  </si>
  <si>
    <t>Aktuálna cena k 4.1.2005, bez DPH (BA - 42,55%, MN - 53,90%, VOŤ - 3,55%)</t>
  </si>
  <si>
    <t>DPH</t>
  </si>
  <si>
    <t>Celkom   2005 - 2008</t>
  </si>
  <si>
    <t>sa dennej spotreby do roku 2008 a potreba nákupu hmoty do núdzových zásob</t>
  </si>
  <si>
    <t>K v roku 2005 = 6 200 ton, v roku 2008 = 6 500 ton</t>
  </si>
  <si>
    <t>Rok</t>
  </si>
  <si>
    <t>Štátny rozpočet</t>
  </si>
  <si>
    <t>Zdroje</t>
  </si>
  <si>
    <t>Použitie</t>
  </si>
  <si>
    <t>Bežný účet obmien a zámien</t>
  </si>
  <si>
    <t>Predaj</t>
  </si>
  <si>
    <t>Spolu:</t>
  </si>
  <si>
    <t>Investičná výstavba</t>
  </si>
  <si>
    <t>Stav k 1.1.</t>
  </si>
  <si>
    <t>Stav k 31.12</t>
  </si>
  <si>
    <t>Zdroje a použitie finančných prostriedkov SŠHR SR</t>
  </si>
  <si>
    <t>Ochraňovanie</t>
  </si>
  <si>
    <r>
      <t>ton</t>
    </r>
  </si>
  <si>
    <t>A 1</t>
  </si>
  <si>
    <t>A 2</t>
  </si>
  <si>
    <t>Potreba skladovania</t>
  </si>
  <si>
    <t>A1</t>
  </si>
  <si>
    <t>A2</t>
  </si>
  <si>
    <t>Variant A 1</t>
  </si>
  <si>
    <t>Variant A 2</t>
  </si>
  <si>
    <t>VÝDAVKY CELKOM (A.1 + B 1.1.)</t>
  </si>
  <si>
    <t>VÝDAVKY CELKOM (A.2 + B 1.2.)</t>
  </si>
  <si>
    <t>VÝDAVKY CELKOM (A.2 + B 1.1.)</t>
  </si>
  <si>
    <t>A) A.2 Kapitálové výdavky</t>
  </si>
  <si>
    <t>A.1</t>
  </si>
  <si>
    <t>A.2</t>
  </si>
  <si>
    <r>
      <t xml:space="preserve">B.A.1-1.1. Náhrada nákladov za udržiavanie ŠHR </t>
    </r>
    <r>
      <rPr>
        <i/>
        <sz val="9"/>
        <rFont val="Arial CE"/>
        <family val="0"/>
      </rPr>
      <t>(pri súčasnej tarife)</t>
    </r>
    <r>
      <rPr>
        <i/>
        <sz val="10.5"/>
        <rFont val="Arial CE"/>
        <family val="0"/>
      </rPr>
      <t xml:space="preserve"> </t>
    </r>
  </si>
  <si>
    <r>
      <t xml:space="preserve">B.A.2-1.1. Náhrada nákladov za udržiavanie ŠHR </t>
    </r>
    <r>
      <rPr>
        <i/>
        <sz val="9"/>
        <rFont val="Arial CE"/>
        <family val="0"/>
      </rPr>
      <t>(pri súčasnej tarife)</t>
    </r>
    <r>
      <rPr>
        <i/>
        <sz val="10.5"/>
        <rFont val="Arial CE"/>
        <family val="0"/>
      </rPr>
      <t xml:space="preserve"> </t>
    </r>
  </si>
  <si>
    <r>
      <t xml:space="preserve">B.A.2-1.2. Náhrada nákladov za udržiavanie ŠHR </t>
    </r>
    <r>
      <rPr>
        <i/>
        <sz val="9"/>
        <rFont val="Arial CE"/>
        <family val="0"/>
      </rPr>
      <t>(pri rastúcej požadovanej tarife skladovatelmi)</t>
    </r>
    <r>
      <rPr>
        <i/>
        <sz val="10.5"/>
        <rFont val="Arial CE"/>
        <family val="0"/>
      </rPr>
      <t xml:space="preserve"> </t>
    </r>
  </si>
  <si>
    <t>Variant A.2</t>
  </si>
  <si>
    <t>na roky 2005 až 2008</t>
  </si>
  <si>
    <r>
      <t>cena ropy 8 390.- Sk/t bez DPH                                              cena výrobkov 10 988.- Sk/m</t>
    </r>
    <r>
      <rPr>
        <i/>
        <vertAlign val="superscript"/>
        <sz val="9"/>
        <rFont val="Arial CE"/>
        <family val="0"/>
      </rPr>
      <t>3</t>
    </r>
    <r>
      <rPr>
        <i/>
        <sz val="9"/>
        <rFont val="Arial CE"/>
        <family val="0"/>
      </rPr>
      <t>=13 472.-Sk bez DPH</t>
    </r>
  </si>
  <si>
    <r>
      <t>skladovanie ropy 400.- Sk za 1 tonu za rok,                        ropných výrobkov 299.- Sk za 1 m</t>
    </r>
    <r>
      <rPr>
        <i/>
        <vertAlign val="superscript"/>
        <sz val="9"/>
        <rFont val="Arial CE"/>
        <family val="0"/>
      </rPr>
      <t>3</t>
    </r>
    <r>
      <rPr>
        <i/>
        <sz val="9"/>
        <rFont val="Arial CE"/>
        <family val="0"/>
      </rPr>
      <t xml:space="preserve"> = 371.-Sk/t za rok</t>
    </r>
  </si>
  <si>
    <r>
      <t>skladovanie ropy na 600.- Sk za 1 tonu za rok, ropných výrobkov 500.- Sk za 1 m</t>
    </r>
    <r>
      <rPr>
        <i/>
        <vertAlign val="superscript"/>
        <sz val="9"/>
        <rFont val="Arial CE"/>
        <family val="0"/>
      </rPr>
      <t>3</t>
    </r>
    <r>
      <rPr>
        <i/>
        <sz val="9"/>
        <rFont val="Arial CE"/>
        <family val="0"/>
      </rPr>
      <t xml:space="preserve"> = 620.- Sk/t za rok</t>
    </r>
  </si>
  <si>
    <t>Tarifa za skladovanie produktov za 1 t/rok (Slovnaft)</t>
  </si>
  <si>
    <t>Tarifa za skladovanie produktov za 1 t/rok (Investor)</t>
  </si>
  <si>
    <t>Tarifa za skladovanie produktov za 1 t/rok (SŠHR)</t>
  </si>
  <si>
    <t>paliva+vykurovacie oleje (Rez)</t>
  </si>
  <si>
    <t>paliva+vykurovacie oleje (Slv)</t>
  </si>
  <si>
    <t>paliva+vykurovacie oleje (Inv)</t>
  </si>
  <si>
    <t>Núdzových zásob ropy</t>
  </si>
  <si>
    <t>Bežné prostriedky</t>
  </si>
  <si>
    <t>Z toho ochraňovanie</t>
  </si>
  <si>
    <t>Pre naskladnenie palív podľa A1 treba nakúpiť a prepracovať ropy</t>
  </si>
  <si>
    <t>B) A.1 - 1.1. Bežné výdavky (ST)</t>
  </si>
  <si>
    <t>B) A.2 - 1.1. Bežné výdavky (ST)</t>
  </si>
  <si>
    <t>B) A.2 - 1.2. Bežné výdavky (RT)</t>
  </si>
  <si>
    <t>Pre naskladnenie palív podľa A2 treba nakúpiť a prepracovať ropy</t>
  </si>
  <si>
    <t>A.2. Nákup hmoty pri prepracovaní</t>
  </si>
  <si>
    <t>Ochraňo-vanie NZR, HR, MR a prevádzka</t>
  </si>
  <si>
    <t>Mobilizač-ných rezerv</t>
  </si>
  <si>
    <t>Nákup hmoty do NZR</t>
  </si>
  <si>
    <t>Nákup zásob do MR</t>
  </si>
  <si>
    <t>Správa nehnuteľného majetku</t>
  </si>
  <si>
    <t>HM a PZ</t>
  </si>
  <si>
    <t>Ochraňo-vanie NZR</t>
  </si>
  <si>
    <t>Ochraňo-vanie HR, MR a prevádzka</t>
  </si>
  <si>
    <t>Spolu ŠR</t>
  </si>
  <si>
    <t>Pomocná tabuľka k 1</t>
  </si>
  <si>
    <t>Prepr A.1</t>
  </si>
  <si>
    <t>Prepr A.2</t>
  </si>
  <si>
    <t>milión Sk</t>
  </si>
  <si>
    <t>Výstav-ba NZR</t>
  </si>
  <si>
    <t>Drobné investič-né akcie</t>
  </si>
  <si>
    <t>Kapitálové výdavky</t>
  </si>
  <si>
    <t>Potreba skladovacích priestorov spolu</t>
  </si>
  <si>
    <t>Súčasné kapacity pre skladovanie NZ</t>
  </si>
  <si>
    <t xml:space="preserve">Výťažnosť použitelých produktov pre núdzové zasoby v Slovnafte z ropy je </t>
  </si>
  <si>
    <t>A) Kapitálové výdavky (nákup hmoty)</t>
  </si>
  <si>
    <t>Nákup ropy pri prepracovaní</t>
  </si>
  <si>
    <t>Potreba finančných prostriedkov na NZR do roku 2008</t>
  </si>
  <si>
    <r>
      <t xml:space="preserve">B.1. Náhrada nákladov za skladovanie NZR </t>
    </r>
    <r>
      <rPr>
        <i/>
        <sz val="9"/>
        <rFont val="Arial CE"/>
        <family val="0"/>
      </rPr>
      <t>(pri rastúcej požadovanej tarife skladovatelmi)</t>
    </r>
    <r>
      <rPr>
        <i/>
        <sz val="10.5"/>
        <rFont val="Arial CE"/>
        <family val="0"/>
      </rPr>
      <t xml:space="preserve"> </t>
    </r>
  </si>
  <si>
    <r>
      <t>skladovanie ropy na 600.- Sk za 1 tonu za rok, ropných výrobkov na 500.- Sk za 1 m</t>
    </r>
    <r>
      <rPr>
        <i/>
        <vertAlign val="superscript"/>
        <sz val="9"/>
        <rFont val="Arial CE"/>
        <family val="0"/>
      </rPr>
      <t>3</t>
    </r>
    <r>
      <rPr>
        <i/>
        <sz val="9"/>
        <rFont val="Arial CE"/>
        <family val="0"/>
      </rPr>
      <t xml:space="preserve"> = 620.- Sk/t za rok</t>
    </r>
  </si>
  <si>
    <t>Potreba finančných prostriedkov na HR a MR do roku 2008</t>
  </si>
  <si>
    <t>Hmotné rezervy</t>
  </si>
  <si>
    <t>Mobilizačné rezervy</t>
  </si>
  <si>
    <t>1.1. Náhrada nákladov za skladovanie HR</t>
  </si>
  <si>
    <t>1.2. Náhrada nákladov za skladovanie MR</t>
  </si>
  <si>
    <t>2.1. Ochrana objektov, techniky a materiálov HR</t>
  </si>
  <si>
    <t>2.2. Ochrana objektov, techniky a materiálov MR</t>
  </si>
  <si>
    <t>3.1. Štúdie, expertízy, posudky HR</t>
  </si>
  <si>
    <t>3.2. Štúdie, expertízy, posudky MR</t>
  </si>
  <si>
    <t>Štúdie</t>
  </si>
  <si>
    <t>Potreba finančných prostriedkov na Ústredí a závodoch do roku 2008</t>
  </si>
  <si>
    <t>Prevádzka</t>
  </si>
  <si>
    <t>1.2. Náhrada nákladov za prevádzku závodov</t>
  </si>
  <si>
    <t>Mzdy</t>
  </si>
  <si>
    <t>Ústredie</t>
  </si>
  <si>
    <t>Závody</t>
  </si>
  <si>
    <t>Lupčianka</t>
  </si>
  <si>
    <t>Borovina</t>
  </si>
  <si>
    <t>Brodnianka</t>
  </si>
  <si>
    <t>Kopaničiar</t>
  </si>
  <si>
    <t>Mzdy+odvody</t>
  </si>
  <si>
    <t>HM závodov</t>
  </si>
  <si>
    <t>Prevádzka+    Transféry</t>
  </si>
  <si>
    <t>B.2. Ochrana objektov, techniky a materiálov (podprogram 06 HOH)</t>
  </si>
  <si>
    <t>Hospodárska mobilizácia a pohotovostné zásoby</t>
  </si>
  <si>
    <t>Tvorba MR a PZ</t>
  </si>
  <si>
    <t>Prevádzka závodov</t>
  </si>
  <si>
    <t>Skladova-nie ropy</t>
  </si>
  <si>
    <t>Podpro-gram 06 HOH</t>
  </si>
  <si>
    <t>Štúdie, expertízy</t>
  </si>
  <si>
    <t>Skladova-nie HR</t>
  </si>
  <si>
    <t>Ochraňo-vanie HR</t>
  </si>
  <si>
    <t>Náklady na prevádzku</t>
  </si>
  <si>
    <t>Ochrana objektov</t>
  </si>
  <si>
    <t>Skladovanie MR</t>
  </si>
  <si>
    <t>Ochraňova-nie MR</t>
  </si>
  <si>
    <t>Prevádzka ústredia</t>
  </si>
  <si>
    <t>Tabuľka č. 5</t>
  </si>
  <si>
    <t>Druh nákladu</t>
  </si>
  <si>
    <t>V Bratislave</t>
  </si>
  <si>
    <t>2.1. Správa nehnuteľného majetku</t>
  </si>
  <si>
    <t>3.1. Ochrana objektov, techniky a materiálov ústredia (podprogram 06 HOH)</t>
  </si>
  <si>
    <t>3.2. Ochrana objektov, techniky a materiálov závodov (podprogram 06 HOH)</t>
  </si>
  <si>
    <t>4.1. Mzdy ústredia + odvody</t>
  </si>
  <si>
    <t>4.2. Mzdy závodov + odvody</t>
  </si>
  <si>
    <t>1.1. Náhrada nákladov za prevádzku ústredia a školenia</t>
  </si>
  <si>
    <t>Hmotných rezerv a prevádzka závodov</t>
  </si>
  <si>
    <t>Skladovanie v Transpetrole</t>
  </si>
  <si>
    <t>Skladovanie v Slovnafte</t>
  </si>
  <si>
    <t>Skladovanie u cudzieho investora</t>
  </si>
  <si>
    <t>Skladovanie v nádržiach SŠHR</t>
  </si>
  <si>
    <t>Finančné prostriedky vynaložené na skladovanie pri vybudovaní skladovacích kapacít cudzím investorom</t>
  </si>
  <si>
    <t>Finančné prostriedky vynaložené na skladovanie pri vybudovaní skladovacích kapacít SŠHR SR</t>
  </si>
  <si>
    <t>Potreba finančných prostriedkov na Ústredí a závodoch do roku 2010</t>
  </si>
  <si>
    <t>i</t>
  </si>
  <si>
    <t>Potreba finančných prostriedkov na HR a MR do roku 2010</t>
  </si>
  <si>
    <t>sa dennej spotreby do roku 2010 a potreba nákupu hmoty do núdzových zásob</t>
  </si>
  <si>
    <t>Potreba finančných prostriedkov na NZR do roku 2010</t>
  </si>
  <si>
    <t>na roky 2005 až 2010</t>
  </si>
  <si>
    <t>Skladovacia kapacita ton</t>
  </si>
  <si>
    <t>Tabuľka č. 3.a</t>
  </si>
  <si>
    <t>Tabuľka č. 3.b</t>
  </si>
  <si>
    <t>Pri investovaní súkromným investorom</t>
  </si>
  <si>
    <t>Pri investovaní štátom</t>
  </si>
  <si>
    <t>Aktuálna cena k 21.6.2005, bez DPH (BA - 42,55%, MN - 53,90%, VOŤ - 3,55%)</t>
  </si>
  <si>
    <t>Aktuálna cena, priemer za 06. 2005, aktuálny kurz USD, priemer za 06. 2005, bez DPH</t>
  </si>
  <si>
    <t>cena ropy 12 127.- Sk/t bez DPH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</si>
</sst>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&quot; Kčs&quot;;\-#,##0&quot; Kčs&quot;"/>
    <numFmt numFmtId="165" formatCode="#,##0&quot; Kčs&quot;;[Red]\-#,##0&quot; Kčs&quot;"/>
    <numFmt numFmtId="166" formatCode="#,##0.00&quot; Kčs&quot;;\-#,##0.00&quot; Kčs&quot;"/>
    <numFmt numFmtId="167" formatCode="#,##0.00&quot; Kčs&quot;;[Red]\-#,##0.00&quot; Kčs&quot;"/>
    <numFmt numFmtId="168" formatCode="#,##0_ ;[Red]\-#,##0\ "/>
    <numFmt numFmtId="169" formatCode="#,##0.000"/>
    <numFmt numFmtId="170" formatCode="#,##0.0000"/>
    <numFmt numFmtId="171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sz val="8"/>
      <name val="Arial CE"/>
      <family val="0"/>
    </font>
    <font>
      <i/>
      <sz val="8"/>
      <name val="Arial CE"/>
      <family val="2"/>
    </font>
    <font>
      <i/>
      <sz val="10.5"/>
      <name val="Arial CE"/>
      <family val="0"/>
    </font>
    <font>
      <b/>
      <u val="single"/>
      <sz val="14"/>
      <name val="Arial CE"/>
      <family val="2"/>
    </font>
    <font>
      <vertAlign val="superscript"/>
      <sz val="10"/>
      <name val="Arial CE"/>
      <family val="2"/>
    </font>
    <font>
      <b/>
      <vertAlign val="superscript"/>
      <sz val="9"/>
      <name val="Arial CE"/>
      <family val="0"/>
    </font>
    <font>
      <b/>
      <sz val="9"/>
      <name val="Arial CE"/>
      <family val="0"/>
    </font>
    <font>
      <b/>
      <vertAlign val="subscript"/>
      <sz val="9"/>
      <name val="Arial CE"/>
      <family val="0"/>
    </font>
    <font>
      <sz val="14"/>
      <name val="Arial CE"/>
      <family val="2"/>
    </font>
    <font>
      <b/>
      <vertAlign val="superscript"/>
      <sz val="10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b/>
      <i/>
      <sz val="11"/>
      <color indexed="10"/>
      <name val="Arial CE"/>
      <family val="0"/>
    </font>
    <font>
      <i/>
      <sz val="9"/>
      <name val="Arial CE"/>
      <family val="0"/>
    </font>
    <font>
      <i/>
      <vertAlign val="superscript"/>
      <sz val="9"/>
      <name val="Arial CE"/>
      <family val="0"/>
    </font>
    <font>
      <sz val="10"/>
      <color indexed="12"/>
      <name val="Arial CE"/>
      <family val="0"/>
    </font>
    <font>
      <sz val="7"/>
      <name val="Arial CE"/>
      <family val="0"/>
    </font>
    <font>
      <sz val="6"/>
      <name val="Arial CE"/>
      <family val="0"/>
    </font>
  </fonts>
  <fills count="3">
    <fill>
      <patternFill/>
    </fill>
    <fill>
      <patternFill patternType="gray125"/>
    </fill>
    <fill>
      <patternFill patternType="gray0625"/>
    </fill>
  </fills>
  <borders count="472">
    <border>
      <left/>
      <right/>
      <top/>
      <bottom/>
      <diagonal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ck"/>
      <top style="thick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 style="thick"/>
      <right style="medium"/>
      <top style="thick"/>
      <bottom style="double"/>
    </border>
    <border>
      <left style="medium"/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n"/>
      <top style="thick"/>
      <bottom style="double"/>
    </border>
    <border>
      <left style="thick"/>
      <right style="medium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double"/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 diagonalUp="1">
      <left style="thin"/>
      <right style="thick"/>
      <top style="medium"/>
      <bottom style="thick"/>
      <diagonal style="thin"/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 diagonalUp="1">
      <left style="thin"/>
      <right style="thick"/>
      <top>
        <color indexed="63"/>
      </top>
      <bottom style="thin"/>
      <diagonal style="thin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 diagonalUp="1">
      <left style="thin"/>
      <right style="thick"/>
      <top style="thin"/>
      <bottom style="thick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n"/>
      <top style="dashed"/>
      <bottom style="thick"/>
    </border>
    <border>
      <left style="thin"/>
      <right style="thick"/>
      <top style="dashed"/>
      <bottom style="thick"/>
    </border>
    <border>
      <left style="thin"/>
      <right style="double"/>
      <top style="thin"/>
      <bottom style="thin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ck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 diagonalUp="1">
      <left style="thin"/>
      <right style="thick"/>
      <top style="medium"/>
      <bottom style="thin"/>
      <diagonal style="thin"/>
    </border>
    <border>
      <left>
        <color indexed="63"/>
      </left>
      <right style="thick"/>
      <top style="medium"/>
      <bottom style="thin"/>
    </border>
    <border diagonalUp="1">
      <left style="thin"/>
      <right style="thick"/>
      <top style="thin"/>
      <bottom style="medium"/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double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double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medium"/>
      <top style="double"/>
      <bottom style="thick"/>
    </border>
    <border>
      <left style="thick"/>
      <right style="medium"/>
      <top style="medium"/>
      <bottom style="dashed"/>
    </border>
    <border>
      <left style="thick"/>
      <right style="medium"/>
      <top style="dashed"/>
      <bottom style="dashed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dashed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ashed"/>
      <bottom style="thick"/>
    </border>
    <border>
      <left>
        <color indexed="63"/>
      </left>
      <right style="medium"/>
      <top style="dashed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ashed"/>
      <top style="thick"/>
      <bottom>
        <color indexed="63"/>
      </bottom>
    </border>
    <border>
      <left>
        <color indexed="63"/>
      </left>
      <right style="dashed"/>
      <top style="dashed"/>
      <bottom style="thick"/>
    </border>
    <border>
      <left style="medium"/>
      <right style="dashed"/>
      <top style="thick"/>
      <bottom>
        <color indexed="63"/>
      </bottom>
    </border>
    <border>
      <left style="medium"/>
      <right style="dashed"/>
      <top style="dashed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dashed"/>
      <bottom style="thick"/>
    </border>
    <border>
      <left>
        <color indexed="63"/>
      </left>
      <right style="dashed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 style="thick"/>
    </border>
    <border>
      <left style="medium"/>
      <right style="medium"/>
      <top style="double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medium"/>
      <right style="double"/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 style="double"/>
      <right style="double"/>
      <top style="double"/>
      <bottom style="thick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medium"/>
      <right style="thin"/>
      <top style="double"/>
      <bottom style="thick"/>
    </border>
    <border>
      <left style="medium"/>
      <right style="medium"/>
      <top style="dashed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dashed"/>
      <top style="thick"/>
      <bottom>
        <color indexed="63"/>
      </bottom>
    </border>
    <border>
      <left style="thin"/>
      <right style="dashed"/>
      <top style="dashed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 style="dashed"/>
      <bottom style="thick"/>
    </border>
    <border>
      <left style="thin"/>
      <right style="dashed"/>
      <top style="medium"/>
      <bottom style="thin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 style="dashed"/>
      <right style="dashed"/>
      <top style="dashed"/>
      <bottom style="medium"/>
    </border>
    <border>
      <left>
        <color indexed="63"/>
      </left>
      <right style="double"/>
      <top style="dashed"/>
      <bottom style="medium"/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medium"/>
      <bottom style="dashed"/>
    </border>
    <border>
      <left style="medium"/>
      <right style="double"/>
      <top style="medium"/>
      <bottom style="dashed"/>
    </border>
    <border>
      <left style="double"/>
      <right style="dashed"/>
      <top style="medium"/>
      <bottom style="dashed"/>
    </border>
    <border>
      <left style="dashed"/>
      <right style="double"/>
      <top style="medium"/>
      <bottom style="dashed"/>
    </border>
    <border>
      <left style="double"/>
      <right style="double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thick"/>
      <top style="medium"/>
      <bottom style="dashed"/>
    </border>
    <border>
      <left style="medium"/>
      <right style="double"/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ouble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ouble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double"/>
      <right style="thick"/>
      <top style="dashed"/>
      <bottom style="dashed"/>
    </border>
    <border>
      <left style="medium"/>
      <right style="double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double"/>
      <right style="dashed"/>
      <top style="double"/>
      <bottom style="thick"/>
    </border>
    <border>
      <left style="dashed"/>
      <right style="double"/>
      <top style="double"/>
      <bottom style="thick"/>
    </border>
    <border>
      <left>
        <color indexed="63"/>
      </left>
      <right style="dashed"/>
      <top style="double"/>
      <bottom style="thick"/>
    </border>
    <border>
      <left style="dashed"/>
      <right style="dashed"/>
      <top style="double"/>
      <bottom style="thick"/>
    </border>
    <border>
      <left style="dashed"/>
      <right>
        <color indexed="63"/>
      </right>
      <top style="double"/>
      <bottom style="thick"/>
    </border>
    <border>
      <left style="dashed"/>
      <right style="thin"/>
      <top style="double"/>
      <bottom style="thick"/>
    </border>
    <border>
      <left style="double"/>
      <right style="thick"/>
      <top style="double"/>
      <bottom style="thick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ouble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ouble"/>
      <right style="dashed"/>
      <top style="dashed"/>
      <bottom style="medium"/>
    </border>
    <border>
      <left style="dashed"/>
      <right style="double"/>
      <top style="dashed"/>
      <bottom style="medium"/>
    </border>
    <border>
      <left style="double"/>
      <right style="double"/>
      <top style="dashed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double"/>
      <right style="medium"/>
      <top style="double"/>
      <bottom style="thick"/>
    </border>
    <border>
      <left style="double"/>
      <right style="thin"/>
      <top style="double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double"/>
      <right style="thick"/>
      <top style="medium"/>
      <bottom style="double"/>
    </border>
    <border>
      <left style="double"/>
      <right style="double"/>
      <top style="thick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double"/>
      <bottom style="medium"/>
    </border>
    <border>
      <left style="double"/>
      <right style="thick"/>
      <top style="medium"/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thick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ashed"/>
      <top style="thin"/>
      <bottom style="thin"/>
    </border>
    <border>
      <left style="dashed"/>
      <right style="double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ck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ashed"/>
      <top style="thin"/>
      <bottom style="double"/>
    </border>
    <border>
      <left style="dashed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dashed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ashed"/>
      <right style="thin"/>
      <top style="thin"/>
      <bottom style="double"/>
    </border>
    <border>
      <left style="dashed"/>
      <right>
        <color indexed="63"/>
      </right>
      <top style="thin"/>
      <bottom style="double"/>
    </border>
    <border>
      <left style="double"/>
      <right style="thick"/>
      <top style="thin"/>
      <bottom style="double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thin"/>
      <right>
        <color indexed="63"/>
      </right>
      <top style="dashed"/>
      <bottom style="double"/>
    </border>
    <border>
      <left style="thin"/>
      <right>
        <color indexed="63"/>
      </right>
      <top style="dashed"/>
      <bottom style="thin"/>
    </border>
    <border>
      <left style="thick"/>
      <right style="medium"/>
      <top style="dashed"/>
      <bottom style="thin"/>
    </border>
    <border>
      <left style="medium"/>
      <right style="double"/>
      <top style="dashed"/>
      <bottom style="thin"/>
    </border>
    <border>
      <left style="double"/>
      <right>
        <color indexed="63"/>
      </right>
      <top style="dashed"/>
      <bottom style="thin"/>
    </border>
    <border>
      <left style="double"/>
      <right style="dashed"/>
      <top style="dashed"/>
      <bottom style="thin"/>
    </border>
    <border>
      <left style="dashed"/>
      <right style="double"/>
      <top style="dashed"/>
      <bottom style="thin"/>
    </border>
    <border>
      <left style="double"/>
      <right style="double"/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medium"/>
      <right style="thin"/>
      <top style="dashed"/>
      <bottom style="thin"/>
    </border>
    <border>
      <left style="dashed"/>
      <right style="thin"/>
      <top style="dashed"/>
      <bottom style="thin"/>
    </border>
    <border>
      <left style="dashed"/>
      <right>
        <color indexed="63"/>
      </right>
      <top style="dashed"/>
      <bottom style="thin"/>
    </border>
    <border>
      <left style="double"/>
      <right style="thick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double"/>
      <bottom style="dashed"/>
    </border>
    <border>
      <left>
        <color indexed="63"/>
      </left>
      <right style="thick"/>
      <top style="double"/>
      <bottom style="dashed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ck"/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ashed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double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ouble"/>
      <right style="double"/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ashed"/>
      <top style="thin"/>
      <bottom>
        <color indexed="63"/>
      </bottom>
    </border>
    <border>
      <left style="double"/>
      <right style="dashed"/>
      <top>
        <color indexed="63"/>
      </top>
      <bottom style="medium"/>
    </border>
    <border>
      <left style="dashed"/>
      <right style="double"/>
      <top style="thin"/>
      <bottom>
        <color indexed="63"/>
      </bottom>
    </border>
    <border>
      <left style="dashed"/>
      <right style="double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double"/>
      <top style="dashed"/>
      <bottom>
        <color indexed="63"/>
      </bottom>
    </border>
    <border>
      <left style="double"/>
      <right>
        <color indexed="63"/>
      </right>
      <top style="thick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ck"/>
      <bottom style="thin"/>
    </border>
    <border>
      <left style="double"/>
      <right>
        <color indexed="63"/>
      </right>
      <top style="thin"/>
      <bottom style="dashed"/>
    </border>
    <border>
      <left>
        <color indexed="63"/>
      </left>
      <right style="double"/>
      <top style="thin"/>
      <bottom style="dashed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 style="thick"/>
      <right>
        <color indexed="63"/>
      </right>
      <top style="dashed"/>
      <bottom style="medium"/>
    </border>
    <border>
      <left>
        <color indexed="63"/>
      </left>
      <right style="thick"/>
      <top style="dashed"/>
      <bottom style="medium"/>
    </border>
    <border>
      <left style="thick"/>
      <right>
        <color indexed="63"/>
      </right>
      <top style="thick"/>
      <bottom style="dashed"/>
    </border>
    <border>
      <left>
        <color indexed="63"/>
      </left>
      <right style="thick"/>
      <top style="thick"/>
      <bottom style="dashed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dashed"/>
    </border>
    <border>
      <left>
        <color indexed="63"/>
      </left>
      <right style="thick"/>
      <top style="medium"/>
      <bottom style="dash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3" fillId="0" borderId="3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5" fillId="1" borderId="8" xfId="0" applyFont="1" applyFill="1" applyBorder="1" applyAlignment="1">
      <alignment horizontal="center" vertical="center" wrapText="1"/>
    </xf>
    <xf numFmtId="0" fontId="1" fillId="1" borderId="9" xfId="0" applyFont="1" applyFill="1" applyBorder="1" applyAlignment="1">
      <alignment horizontal="center" vertical="center"/>
    </xf>
    <xf numFmtId="4" fontId="10" fillId="1" borderId="10" xfId="0" applyNumberFormat="1" applyFont="1" applyFill="1" applyBorder="1" applyAlignment="1">
      <alignment horizontal="right" vertical="center"/>
    </xf>
    <xf numFmtId="4" fontId="11" fillId="1" borderId="9" xfId="0" applyNumberFormat="1" applyFont="1" applyFill="1" applyBorder="1" applyAlignment="1">
      <alignment horizontal="right" vertical="center"/>
    </xf>
    <xf numFmtId="4" fontId="13" fillId="1" borderId="9" xfId="0" applyNumberFormat="1" applyFont="1" applyFill="1" applyBorder="1" applyAlignment="1">
      <alignment horizontal="right" vertical="center"/>
    </xf>
    <xf numFmtId="0" fontId="5" fillId="1" borderId="11" xfId="0" applyFont="1" applyFill="1" applyBorder="1" applyAlignment="1">
      <alignment horizontal="center" vertical="center" wrapText="1"/>
    </xf>
    <xf numFmtId="0" fontId="5" fillId="1" borderId="12" xfId="0" applyFont="1" applyFill="1" applyBorder="1" applyAlignment="1">
      <alignment horizontal="center" vertical="center" wrapText="1"/>
    </xf>
    <xf numFmtId="0" fontId="5" fillId="1" borderId="13" xfId="0" applyFont="1" applyFill="1" applyBorder="1" applyAlignment="1">
      <alignment horizontal="centerContinuous" vertical="center" wrapText="1"/>
    </xf>
    <xf numFmtId="0" fontId="5" fillId="1" borderId="14" xfId="0" applyFont="1" applyFill="1" applyBorder="1" applyAlignment="1">
      <alignment horizontal="center" vertical="center" wrapText="1"/>
    </xf>
    <xf numFmtId="0" fontId="5" fillId="1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/>
    </xf>
    <xf numFmtId="4" fontId="11" fillId="1" borderId="17" xfId="0" applyNumberFormat="1" applyFont="1" applyFill="1" applyBorder="1" applyAlignment="1">
      <alignment horizontal="right" vertical="center"/>
    </xf>
    <xf numFmtId="4" fontId="11" fillId="1" borderId="18" xfId="0" applyNumberFormat="1" applyFont="1" applyFill="1" applyBorder="1" applyAlignment="1">
      <alignment horizontal="right" vertical="center"/>
    </xf>
    <xf numFmtId="0" fontId="18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 wrapText="1"/>
    </xf>
    <xf numFmtId="4" fontId="11" fillId="0" borderId="22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horizontal="right" vertical="center"/>
    </xf>
    <xf numFmtId="4" fontId="11" fillId="0" borderId="24" xfId="0" applyNumberFormat="1" applyFont="1" applyBorder="1" applyAlignment="1">
      <alignment horizontal="right" vertical="center"/>
    </xf>
    <xf numFmtId="4" fontId="11" fillId="1" borderId="25" xfId="0" applyNumberFormat="1" applyFont="1" applyFill="1" applyBorder="1" applyAlignment="1">
      <alignment horizontal="right" vertical="center"/>
    </xf>
    <xf numFmtId="0" fontId="16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4" fontId="12" fillId="1" borderId="10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wrapText="1"/>
    </xf>
    <xf numFmtId="4" fontId="0" fillId="1" borderId="26" xfId="0" applyNumberFormat="1" applyFill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4" xfId="0" applyBorder="1" applyAlignment="1">
      <alignment/>
    </xf>
    <xf numFmtId="0" fontId="1" fillId="0" borderId="40" xfId="0" applyFont="1" applyBorder="1" applyAlignment="1">
      <alignment horizontal="center" vertical="center"/>
    </xf>
    <xf numFmtId="3" fontId="0" fillId="0" borderId="48" xfId="0" applyNumberFormat="1" applyBorder="1" applyAlignment="1">
      <alignment horizontal="right" vertical="center"/>
    </xf>
    <xf numFmtId="3" fontId="0" fillId="0" borderId="49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0" fontId="21" fillId="0" borderId="52" xfId="0" applyFont="1" applyBorder="1" applyAlignment="1">
      <alignment horizontal="center" vertical="center"/>
    </xf>
    <xf numFmtId="3" fontId="0" fillId="0" borderId="53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0" fontId="21" fillId="0" borderId="56" xfId="0" applyFont="1" applyBorder="1" applyAlignment="1">
      <alignment horizontal="center" vertical="center"/>
    </xf>
    <xf numFmtId="3" fontId="0" fillId="0" borderId="57" xfId="0" applyNumberFormat="1" applyBorder="1" applyAlignment="1">
      <alignment horizontal="right" vertical="center"/>
    </xf>
    <xf numFmtId="3" fontId="0" fillId="0" borderId="58" xfId="0" applyNumberFormat="1" applyBorder="1" applyAlignment="1">
      <alignment horizontal="right" vertical="center"/>
    </xf>
    <xf numFmtId="3" fontId="0" fillId="0" borderId="59" xfId="0" applyNumberForma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3" fontId="0" fillId="0" borderId="61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168" fontId="1" fillId="0" borderId="62" xfId="0" applyNumberFormat="1" applyFont="1" applyBorder="1" applyAlignment="1">
      <alignment horizontal="right" vertical="center"/>
    </xf>
    <xf numFmtId="168" fontId="1" fillId="0" borderId="63" xfId="0" applyNumberFormat="1" applyFont="1" applyBorder="1" applyAlignment="1">
      <alignment horizontal="right" vertical="center"/>
    </xf>
    <xf numFmtId="168" fontId="1" fillId="0" borderId="64" xfId="0" applyNumberFormat="1" applyFont="1" applyBorder="1" applyAlignment="1">
      <alignment horizontal="right" vertical="center"/>
    </xf>
    <xf numFmtId="168" fontId="1" fillId="0" borderId="65" xfId="0" applyNumberFormat="1" applyFont="1" applyBorder="1" applyAlignment="1">
      <alignment horizontal="right" vertical="center"/>
    </xf>
    <xf numFmtId="0" fontId="21" fillId="0" borderId="66" xfId="0" applyFont="1" applyBorder="1" applyAlignment="1">
      <alignment horizontal="center" vertical="center"/>
    </xf>
    <xf numFmtId="168" fontId="1" fillId="0" borderId="45" xfId="0" applyNumberFormat="1" applyFont="1" applyBorder="1" applyAlignment="1">
      <alignment horizontal="right" vertical="center"/>
    </xf>
    <xf numFmtId="168" fontId="1" fillId="0" borderId="47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3" fontId="0" fillId="0" borderId="62" xfId="0" applyNumberFormat="1" applyBorder="1" applyAlignment="1">
      <alignment horizontal="right" vertical="center"/>
    </xf>
    <xf numFmtId="3" fontId="0" fillId="0" borderId="63" xfId="0" applyNumberFormat="1" applyBorder="1" applyAlignment="1">
      <alignment horizontal="right" vertical="center"/>
    </xf>
    <xf numFmtId="0" fontId="1" fillId="0" borderId="67" xfId="0" applyFont="1" applyBorder="1" applyAlignment="1">
      <alignment horizontal="center" vertical="center"/>
    </xf>
    <xf numFmtId="3" fontId="0" fillId="0" borderId="68" xfId="0" applyNumberFormat="1" applyBorder="1" applyAlignment="1">
      <alignment horizontal="right" vertical="center"/>
    </xf>
    <xf numFmtId="3" fontId="0" fillId="0" borderId="69" xfId="0" applyNumberFormat="1" applyBorder="1" applyAlignment="1">
      <alignment horizontal="right" vertical="center"/>
    </xf>
    <xf numFmtId="3" fontId="0" fillId="0" borderId="70" xfId="0" applyNumberFormat="1" applyBorder="1" applyAlignment="1">
      <alignment horizontal="right" vertical="center"/>
    </xf>
    <xf numFmtId="0" fontId="1" fillId="0" borderId="71" xfId="0" applyFont="1" applyBorder="1" applyAlignment="1">
      <alignment horizontal="center" vertical="center"/>
    </xf>
    <xf numFmtId="3" fontId="0" fillId="0" borderId="72" xfId="0" applyNumberFormat="1" applyBorder="1" applyAlignment="1">
      <alignment horizontal="right" vertical="center"/>
    </xf>
    <xf numFmtId="3" fontId="0" fillId="0" borderId="7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46" xfId="0" applyNumberFormat="1" applyBorder="1" applyAlignment="1">
      <alignment horizontal="right" vertical="center"/>
    </xf>
    <xf numFmtId="168" fontId="1" fillId="0" borderId="74" xfId="0" applyNumberFormat="1" applyFont="1" applyBorder="1" applyAlignment="1">
      <alignment horizontal="right" vertical="center"/>
    </xf>
    <xf numFmtId="168" fontId="1" fillId="0" borderId="75" xfId="0" applyNumberFormat="1" applyFont="1" applyBorder="1" applyAlignment="1">
      <alignment horizontal="right" vertical="center"/>
    </xf>
    <xf numFmtId="168" fontId="1" fillId="0" borderId="76" xfId="0" applyNumberFormat="1" applyFont="1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3" fontId="0" fillId="0" borderId="78" xfId="0" applyNumberFormat="1" applyBorder="1" applyAlignment="1">
      <alignment horizontal="right" vertical="center"/>
    </xf>
    <xf numFmtId="0" fontId="0" fillId="0" borderId="79" xfId="0" applyBorder="1" applyAlignment="1">
      <alignment/>
    </xf>
    <xf numFmtId="3" fontId="0" fillId="0" borderId="80" xfId="0" applyNumberFormat="1" applyBorder="1" applyAlignment="1">
      <alignment horizontal="right" vertical="center"/>
    </xf>
    <xf numFmtId="4" fontId="11" fillId="0" borderId="81" xfId="0" applyNumberFormat="1" applyFont="1" applyBorder="1" applyAlignment="1">
      <alignment horizontal="right" vertical="center"/>
    </xf>
    <xf numFmtId="4" fontId="10" fillId="1" borderId="82" xfId="0" applyNumberFormat="1" applyFont="1" applyFill="1" applyBorder="1" applyAlignment="1">
      <alignment horizontal="right" vertical="center"/>
    </xf>
    <xf numFmtId="4" fontId="10" fillId="2" borderId="82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1" borderId="14" xfId="0" applyFont="1" applyFill="1" applyBorder="1" applyAlignment="1">
      <alignment horizontal="center" vertical="center" wrapText="1"/>
    </xf>
    <xf numFmtId="4" fontId="10" fillId="1" borderId="83" xfId="0" applyNumberFormat="1" applyFont="1" applyFill="1" applyBorder="1" applyAlignment="1">
      <alignment horizontal="right" vertical="center"/>
    </xf>
    <xf numFmtId="4" fontId="10" fillId="1" borderId="84" xfId="0" applyNumberFormat="1" applyFont="1" applyFill="1" applyBorder="1" applyAlignment="1">
      <alignment horizontal="right" vertical="center"/>
    </xf>
    <xf numFmtId="4" fontId="10" fillId="2" borderId="83" xfId="0" applyNumberFormat="1" applyFont="1" applyFill="1" applyBorder="1" applyAlignment="1">
      <alignment horizontal="right" vertical="center"/>
    </xf>
    <xf numFmtId="4" fontId="10" fillId="2" borderId="84" xfId="0" applyNumberFormat="1" applyFont="1" applyFill="1" applyBorder="1" applyAlignment="1">
      <alignment horizontal="right" vertical="center"/>
    </xf>
    <xf numFmtId="4" fontId="12" fillId="2" borderId="83" xfId="0" applyNumberFormat="1" applyFont="1" applyFill="1" applyBorder="1" applyAlignment="1">
      <alignment horizontal="right" vertical="center"/>
    </xf>
    <xf numFmtId="4" fontId="12" fillId="2" borderId="84" xfId="0" applyNumberFormat="1" applyFont="1" applyFill="1" applyBorder="1" applyAlignment="1">
      <alignment horizontal="right" vertical="center"/>
    </xf>
    <xf numFmtId="0" fontId="5" fillId="1" borderId="85" xfId="0" applyFont="1" applyFill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/>
    </xf>
    <xf numFmtId="4" fontId="11" fillId="0" borderId="86" xfId="0" applyNumberFormat="1" applyFont="1" applyBorder="1" applyAlignment="1">
      <alignment horizontal="right" vertical="center"/>
    </xf>
    <xf numFmtId="4" fontId="12" fillId="2" borderId="87" xfId="0" applyNumberFormat="1" applyFont="1" applyFill="1" applyBorder="1" applyAlignment="1">
      <alignment horizontal="right" vertical="center"/>
    </xf>
    <xf numFmtId="0" fontId="21" fillId="0" borderId="88" xfId="0" applyFont="1" applyBorder="1" applyAlignment="1">
      <alignment horizontal="center" vertical="center"/>
    </xf>
    <xf numFmtId="3" fontId="0" fillId="0" borderId="64" xfId="0" applyNumberFormat="1" applyBorder="1" applyAlignment="1">
      <alignment horizontal="right" vertical="center"/>
    </xf>
    <xf numFmtId="3" fontId="0" fillId="0" borderId="89" xfId="0" applyNumberFormat="1" applyBorder="1" applyAlignment="1">
      <alignment horizontal="right" vertical="center"/>
    </xf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168" fontId="1" fillId="0" borderId="50" xfId="0" applyNumberFormat="1" applyFont="1" applyBorder="1" applyAlignment="1">
      <alignment horizontal="right" vertical="center"/>
    </xf>
    <xf numFmtId="168" fontId="1" fillId="0" borderId="72" xfId="0" applyNumberFormat="1" applyFont="1" applyBorder="1" applyAlignment="1">
      <alignment horizontal="right" vertical="center"/>
    </xf>
    <xf numFmtId="3" fontId="0" fillId="0" borderId="65" xfId="0" applyNumberFormat="1" applyBorder="1" applyAlignment="1">
      <alignment horizontal="right" vertical="center"/>
    </xf>
    <xf numFmtId="3" fontId="0" fillId="0" borderId="93" xfId="0" applyNumberFormat="1" applyBorder="1" applyAlignment="1">
      <alignment horizontal="right" vertical="center"/>
    </xf>
    <xf numFmtId="3" fontId="0" fillId="0" borderId="94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8" fillId="0" borderId="62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4" fontId="10" fillId="1" borderId="87" xfId="0" applyNumberFormat="1" applyFont="1" applyFill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4" fontId="10" fillId="2" borderId="87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/>
    </xf>
    <xf numFmtId="4" fontId="29" fillId="1" borderId="82" xfId="0" applyNumberFormat="1" applyFont="1" applyFill="1" applyBorder="1" applyAlignment="1">
      <alignment horizontal="right" vertical="center"/>
    </xf>
    <xf numFmtId="4" fontId="29" fillId="2" borderId="82" xfId="0" applyNumberFormat="1" applyFont="1" applyFill="1" applyBorder="1" applyAlignment="1">
      <alignment horizontal="right" vertical="center"/>
    </xf>
    <xf numFmtId="4" fontId="30" fillId="0" borderId="16" xfId="0" applyNumberFormat="1" applyFont="1" applyBorder="1" applyAlignment="1">
      <alignment horizontal="right" vertical="center"/>
    </xf>
    <xf numFmtId="4" fontId="31" fillId="2" borderId="82" xfId="0" applyNumberFormat="1" applyFont="1" applyFill="1" applyBorder="1" applyAlignment="1">
      <alignment horizontal="right" vertical="center"/>
    </xf>
    <xf numFmtId="3" fontId="0" fillId="0" borderId="95" xfId="0" applyNumberFormat="1" applyBorder="1" applyAlignment="1">
      <alignment horizontal="right" vertical="center"/>
    </xf>
    <xf numFmtId="3" fontId="0" fillId="0" borderId="96" xfId="0" applyNumberFormat="1" applyBorder="1" applyAlignment="1">
      <alignment horizontal="right" vertical="center"/>
    </xf>
    <xf numFmtId="3" fontId="0" fillId="0" borderId="97" xfId="0" applyNumberForma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98" xfId="0" applyNumberFormat="1" applyBorder="1" applyAlignment="1">
      <alignment horizontal="center" vertical="center" wrapText="1"/>
    </xf>
    <xf numFmtId="4" fontId="11" fillId="0" borderId="99" xfId="0" applyNumberFormat="1" applyFont="1" applyBorder="1" applyAlignment="1">
      <alignment horizontal="right" vertical="center"/>
    </xf>
    <xf numFmtId="4" fontId="11" fillId="0" borderId="100" xfId="0" applyNumberFormat="1" applyFont="1" applyBorder="1" applyAlignment="1">
      <alignment horizontal="right" vertical="center"/>
    </xf>
    <xf numFmtId="4" fontId="11" fillId="0" borderId="101" xfId="0" applyNumberFormat="1" applyFont="1" applyBorder="1" applyAlignment="1">
      <alignment horizontal="right" vertical="center"/>
    </xf>
    <xf numFmtId="4" fontId="11" fillId="0" borderId="102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103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0" fontId="5" fillId="1" borderId="10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" fontId="10" fillId="1" borderId="105" xfId="0" applyNumberFormat="1" applyFont="1" applyFill="1" applyBorder="1" applyAlignment="1">
      <alignment horizontal="right" vertical="center"/>
    </xf>
    <xf numFmtId="4" fontId="11" fillId="0" borderId="33" xfId="0" applyNumberFormat="1" applyFont="1" applyBorder="1" applyAlignment="1">
      <alignment horizontal="right" vertical="center"/>
    </xf>
    <xf numFmtId="4" fontId="10" fillId="2" borderId="105" xfId="0" applyNumberFormat="1" applyFont="1" applyFill="1" applyBorder="1" applyAlignment="1">
      <alignment horizontal="right" vertical="center"/>
    </xf>
    <xf numFmtId="4" fontId="11" fillId="0" borderId="39" xfId="0" applyNumberFormat="1" applyFont="1" applyBorder="1" applyAlignment="1">
      <alignment horizontal="right" vertical="center"/>
    </xf>
    <xf numFmtId="4" fontId="12" fillId="2" borderId="105" xfId="0" applyNumberFormat="1" applyFont="1" applyFill="1" applyBorder="1" applyAlignment="1">
      <alignment horizontal="right" vertical="center"/>
    </xf>
    <xf numFmtId="4" fontId="13" fillId="0" borderId="33" xfId="0" applyNumberFormat="1" applyFon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0" fontId="0" fillId="0" borderId="106" xfId="0" applyBorder="1" applyAlignment="1">
      <alignment/>
    </xf>
    <xf numFmtId="0" fontId="32" fillId="0" borderId="20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0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3" fontId="0" fillId="0" borderId="43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0" fontId="0" fillId="0" borderId="35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08" xfId="0" applyBorder="1" applyAlignment="1">
      <alignment/>
    </xf>
    <xf numFmtId="0" fontId="0" fillId="0" borderId="1" xfId="0" applyBorder="1" applyAlignment="1">
      <alignment/>
    </xf>
    <xf numFmtId="0" fontId="0" fillId="0" borderId="109" xfId="0" applyBorder="1" applyAlignment="1">
      <alignment/>
    </xf>
    <xf numFmtId="0" fontId="1" fillId="0" borderId="110" xfId="0" applyFont="1" applyBorder="1" applyAlignment="1">
      <alignment/>
    </xf>
    <xf numFmtId="0" fontId="1" fillId="0" borderId="111" xfId="0" applyFont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35" fillId="0" borderId="117" xfId="0" applyFont="1" applyBorder="1" applyAlignment="1">
      <alignment horizontal="center" vertical="center" wrapText="1"/>
    </xf>
    <xf numFmtId="169" fontId="16" fillId="0" borderId="117" xfId="0" applyNumberFormat="1" applyFont="1" applyBorder="1" applyAlignment="1">
      <alignment horizontal="right" vertical="center"/>
    </xf>
    <xf numFmtId="3" fontId="0" fillId="0" borderId="117" xfId="0" applyNumberFormat="1" applyBorder="1" applyAlignment="1">
      <alignment horizontal="right" vertical="center"/>
    </xf>
    <xf numFmtId="3" fontId="0" fillId="0" borderId="118" xfId="0" applyNumberFormat="1" applyBorder="1" applyAlignment="1">
      <alignment horizontal="right" vertical="center"/>
    </xf>
    <xf numFmtId="0" fontId="0" fillId="0" borderId="119" xfId="0" applyBorder="1" applyAlignment="1">
      <alignment/>
    </xf>
    <xf numFmtId="3" fontId="0" fillId="0" borderId="120" xfId="0" applyNumberFormat="1" applyBorder="1" applyAlignment="1">
      <alignment horizontal="right" vertical="center"/>
    </xf>
    <xf numFmtId="169" fontId="16" fillId="0" borderId="121" xfId="0" applyNumberFormat="1" applyFont="1" applyBorder="1" applyAlignment="1">
      <alignment horizontal="right" vertical="center"/>
    </xf>
    <xf numFmtId="3" fontId="16" fillId="0" borderId="122" xfId="0" applyNumberFormat="1" applyFont="1" applyBorder="1" applyAlignment="1">
      <alignment horizontal="right" vertical="center"/>
    </xf>
    <xf numFmtId="3" fontId="0" fillId="0" borderId="123" xfId="0" applyNumberFormat="1" applyBorder="1" applyAlignment="1">
      <alignment horizontal="right" vertical="center"/>
    </xf>
    <xf numFmtId="0" fontId="1" fillId="0" borderId="124" xfId="0" applyFont="1" applyBorder="1" applyAlignment="1">
      <alignment/>
    </xf>
    <xf numFmtId="0" fontId="0" fillId="0" borderId="125" xfId="0" applyBorder="1" applyAlignment="1">
      <alignment/>
    </xf>
    <xf numFmtId="0" fontId="0" fillId="0" borderId="123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/>
    </xf>
    <xf numFmtId="0" fontId="0" fillId="0" borderId="136" xfId="0" applyBorder="1" applyAlignment="1">
      <alignment horizontal="center" vertical="center"/>
    </xf>
    <xf numFmtId="0" fontId="21" fillId="0" borderId="137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3" fontId="16" fillId="0" borderId="120" xfId="0" applyNumberFormat="1" applyFont="1" applyBorder="1" applyAlignment="1">
      <alignment horizontal="right" vertical="center"/>
    </xf>
    <xf numFmtId="3" fontId="16" fillId="0" borderId="138" xfId="0" applyNumberFormat="1" applyFont="1" applyBorder="1" applyAlignment="1">
      <alignment horizontal="right" vertical="center"/>
    </xf>
    <xf numFmtId="3" fontId="0" fillId="0" borderId="139" xfId="0" applyNumberFormat="1" applyBorder="1" applyAlignment="1">
      <alignment horizontal="right" vertical="center"/>
    </xf>
    <xf numFmtId="3" fontId="0" fillId="0" borderId="140" xfId="0" applyNumberFormat="1" applyBorder="1" applyAlignment="1">
      <alignment horizontal="right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168" fontId="1" fillId="0" borderId="62" xfId="0" applyNumberFormat="1" applyFont="1" applyBorder="1" applyAlignment="1">
      <alignment horizontal="center" vertical="center"/>
    </xf>
    <xf numFmtId="168" fontId="1" fillId="0" borderId="63" xfId="0" applyNumberFormat="1" applyFont="1" applyBorder="1" applyAlignment="1">
      <alignment horizontal="center" vertical="center"/>
    </xf>
    <xf numFmtId="168" fontId="1" fillId="0" borderId="64" xfId="0" applyNumberFormat="1" applyFont="1" applyBorder="1" applyAlignment="1">
      <alignment horizontal="center" vertical="center"/>
    </xf>
    <xf numFmtId="168" fontId="1" fillId="0" borderId="65" xfId="0" applyNumberFormat="1" applyFont="1" applyBorder="1" applyAlignment="1">
      <alignment horizontal="center" vertical="center"/>
    </xf>
    <xf numFmtId="168" fontId="1" fillId="0" borderId="45" xfId="0" applyNumberFormat="1" applyFont="1" applyBorder="1" applyAlignment="1">
      <alignment horizontal="center" vertical="center"/>
    </xf>
    <xf numFmtId="168" fontId="1" fillId="0" borderId="47" xfId="0" applyNumberFormat="1" applyFont="1" applyBorder="1" applyAlignment="1">
      <alignment horizontal="center" vertical="center"/>
    </xf>
    <xf numFmtId="3" fontId="0" fillId="0" borderId="95" xfId="0" applyNumberFormat="1" applyBorder="1" applyAlignment="1">
      <alignment horizontal="center" vertical="center"/>
    </xf>
    <xf numFmtId="3" fontId="0" fillId="0" borderId="97" xfId="0" applyNumberFormat="1" applyBorder="1" applyAlignment="1">
      <alignment horizontal="center" vertical="center"/>
    </xf>
    <xf numFmtId="3" fontId="0" fillId="0" borderId="141" xfId="0" applyNumberFormat="1" applyBorder="1" applyAlignment="1">
      <alignment horizontal="center" vertical="center"/>
    </xf>
    <xf numFmtId="3" fontId="0" fillId="0" borderId="137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168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right" vertical="center"/>
    </xf>
    <xf numFmtId="168" fontId="1" fillId="0" borderId="106" xfId="0" applyNumberFormat="1" applyFon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3" fontId="0" fillId="0" borderId="142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4" fontId="0" fillId="0" borderId="143" xfId="0" applyNumberFormat="1" applyBorder="1" applyAlignment="1">
      <alignment horizontal="center" vertical="center"/>
    </xf>
    <xf numFmtId="4" fontId="0" fillId="0" borderId="144" xfId="0" applyNumberFormat="1" applyBorder="1" applyAlignment="1">
      <alignment horizontal="center" vertical="center"/>
    </xf>
    <xf numFmtId="4" fontId="0" fillId="0" borderId="145" xfId="0" applyNumberFormat="1" applyBorder="1" applyAlignment="1">
      <alignment horizontal="center" vertical="center"/>
    </xf>
    <xf numFmtId="4" fontId="0" fillId="0" borderId="146" xfId="0" applyNumberFormat="1" applyBorder="1" applyAlignment="1">
      <alignment horizontal="center" vertical="center"/>
    </xf>
    <xf numFmtId="169" fontId="16" fillId="0" borderId="147" xfId="0" applyNumberFormat="1" applyFont="1" applyBorder="1" applyAlignment="1">
      <alignment horizontal="right" vertical="center"/>
    </xf>
    <xf numFmtId="169" fontId="16" fillId="0" borderId="148" xfId="0" applyNumberFormat="1" applyFont="1" applyBorder="1" applyAlignment="1">
      <alignment horizontal="right" vertical="center"/>
    </xf>
    <xf numFmtId="0" fontId="0" fillId="0" borderId="149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3" fontId="0" fillId="0" borderId="150" xfId="0" applyNumberFormat="1" applyFill="1" applyBorder="1" applyAlignment="1">
      <alignment/>
    </xf>
    <xf numFmtId="0" fontId="0" fillId="0" borderId="151" xfId="0" applyBorder="1" applyAlignment="1">
      <alignment horizontal="center" vertical="center"/>
    </xf>
    <xf numFmtId="3" fontId="0" fillId="0" borderId="152" xfId="0" applyNumberFormat="1" applyBorder="1" applyAlignment="1">
      <alignment/>
    </xf>
    <xf numFmtId="3" fontId="0" fillId="0" borderId="153" xfId="0" applyNumberFormat="1" applyBorder="1" applyAlignment="1">
      <alignment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3" fontId="0" fillId="0" borderId="156" xfId="0" applyNumberFormat="1" applyBorder="1" applyAlignment="1">
      <alignment/>
    </xf>
    <xf numFmtId="3" fontId="0" fillId="0" borderId="157" xfId="0" applyNumberFormat="1" applyBorder="1" applyAlignment="1">
      <alignment horizontal="right" vertical="center"/>
    </xf>
    <xf numFmtId="3" fontId="0" fillId="0" borderId="113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" fontId="0" fillId="0" borderId="158" xfId="0" applyNumberFormat="1" applyBorder="1" applyAlignment="1">
      <alignment/>
    </xf>
    <xf numFmtId="3" fontId="0" fillId="0" borderId="159" xfId="0" applyNumberFormat="1" applyBorder="1" applyAlignment="1">
      <alignment/>
    </xf>
    <xf numFmtId="3" fontId="0" fillId="0" borderId="160" xfId="0" applyNumberFormat="1" applyBorder="1" applyAlignment="1">
      <alignment/>
    </xf>
    <xf numFmtId="3" fontId="0" fillId="0" borderId="161" xfId="0" applyNumberFormat="1" applyBorder="1" applyAlignment="1">
      <alignment/>
    </xf>
    <xf numFmtId="3" fontId="0" fillId="0" borderId="162" xfId="0" applyNumberFormat="1" applyFill="1" applyBorder="1" applyAlignment="1">
      <alignment/>
    </xf>
    <xf numFmtId="3" fontId="0" fillId="0" borderId="163" xfId="0" applyNumberFormat="1" applyFill="1" applyBorder="1" applyAlignment="1">
      <alignment/>
    </xf>
    <xf numFmtId="0" fontId="0" fillId="0" borderId="164" xfId="0" applyBorder="1" applyAlignment="1">
      <alignment/>
    </xf>
    <xf numFmtId="0" fontId="0" fillId="0" borderId="165" xfId="0" applyBorder="1" applyAlignment="1">
      <alignment/>
    </xf>
    <xf numFmtId="0" fontId="0" fillId="0" borderId="166" xfId="0" applyBorder="1" applyAlignment="1">
      <alignment/>
    </xf>
    <xf numFmtId="3" fontId="0" fillId="0" borderId="137" xfId="0" applyNumberFormat="1" applyBorder="1" applyAlignment="1">
      <alignment horizontal="right" vertical="center"/>
    </xf>
    <xf numFmtId="3" fontId="0" fillId="0" borderId="167" xfId="0" applyNumberFormat="1" applyBorder="1" applyAlignment="1">
      <alignment horizontal="right" vertical="center"/>
    </xf>
    <xf numFmtId="3" fontId="0" fillId="0" borderId="168" xfId="0" applyNumberFormat="1" applyBorder="1" applyAlignment="1">
      <alignment horizontal="right" vertical="center"/>
    </xf>
    <xf numFmtId="3" fontId="0" fillId="0" borderId="169" xfId="0" applyNumberFormat="1" applyBorder="1" applyAlignment="1">
      <alignment horizontal="right" vertical="center"/>
    </xf>
    <xf numFmtId="3" fontId="0" fillId="0" borderId="170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171" xfId="0" applyNumberFormat="1" applyBorder="1" applyAlignment="1">
      <alignment horizontal="right" vertical="center"/>
    </xf>
    <xf numFmtId="3" fontId="0" fillId="0" borderId="172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0" fillId="0" borderId="173" xfId="0" applyNumberFormat="1" applyBorder="1" applyAlignment="1">
      <alignment horizontal="right" vertical="center"/>
    </xf>
    <xf numFmtId="3" fontId="0" fillId="0" borderId="174" xfId="0" applyNumberFormat="1" applyBorder="1" applyAlignment="1">
      <alignment horizontal="right" vertical="center"/>
    </xf>
    <xf numFmtId="3" fontId="0" fillId="0" borderId="175" xfId="0" applyNumberFormat="1" applyBorder="1" applyAlignment="1">
      <alignment horizontal="right" vertical="center"/>
    </xf>
    <xf numFmtId="0" fontId="0" fillId="0" borderId="176" xfId="0" applyBorder="1" applyAlignment="1">
      <alignment horizontal="center" vertical="center"/>
    </xf>
    <xf numFmtId="3" fontId="0" fillId="0" borderId="177" xfId="0" applyNumberFormat="1" applyBorder="1" applyAlignment="1">
      <alignment horizontal="right" vertical="center"/>
    </xf>
    <xf numFmtId="3" fontId="0" fillId="0" borderId="178" xfId="0" applyNumberFormat="1" applyBorder="1" applyAlignment="1">
      <alignment horizontal="right" vertical="center"/>
    </xf>
    <xf numFmtId="4" fontId="10" fillId="1" borderId="9" xfId="0" applyNumberFormat="1" applyFont="1" applyFill="1" applyBorder="1" applyAlignment="1">
      <alignment horizontal="right" vertical="center"/>
    </xf>
    <xf numFmtId="0" fontId="0" fillId="0" borderId="179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3" fontId="0" fillId="0" borderId="182" xfId="0" applyNumberFormat="1" applyBorder="1" applyAlignment="1">
      <alignment/>
    </xf>
    <xf numFmtId="3" fontId="0" fillId="0" borderId="116" xfId="0" applyNumberFormat="1" applyBorder="1" applyAlignment="1">
      <alignment/>
    </xf>
    <xf numFmtId="0" fontId="10" fillId="0" borderId="34" xfId="0" applyFont="1" applyBorder="1" applyAlignment="1">
      <alignment horizontal="center" vertical="center"/>
    </xf>
    <xf numFmtId="4" fontId="12" fillId="1" borderId="9" xfId="0" applyNumberFormat="1" applyFont="1" applyFill="1" applyBorder="1" applyAlignment="1">
      <alignment horizontal="right" vertical="center"/>
    </xf>
    <xf numFmtId="4" fontId="12" fillId="2" borderId="183" xfId="0" applyNumberFormat="1" applyFont="1" applyFill="1" applyBorder="1" applyAlignment="1">
      <alignment horizontal="right" vertical="center"/>
    </xf>
    <xf numFmtId="4" fontId="12" fillId="2" borderId="184" xfId="0" applyNumberFormat="1" applyFont="1" applyFill="1" applyBorder="1" applyAlignment="1">
      <alignment horizontal="right" vertical="center"/>
    </xf>
    <xf numFmtId="4" fontId="12" fillId="2" borderId="185" xfId="0" applyNumberFormat="1" applyFont="1" applyFill="1" applyBorder="1" applyAlignment="1">
      <alignment horizontal="right" vertical="center"/>
    </xf>
    <xf numFmtId="4" fontId="12" fillId="1" borderId="186" xfId="0" applyNumberFormat="1" applyFont="1" applyFill="1" applyBorder="1" applyAlignment="1">
      <alignment horizontal="right" vertical="center"/>
    </xf>
    <xf numFmtId="0" fontId="6" fillId="2" borderId="131" xfId="0" applyFont="1" applyFill="1" applyBorder="1" applyAlignment="1">
      <alignment horizontal="left"/>
    </xf>
    <xf numFmtId="4" fontId="12" fillId="2" borderId="187" xfId="0" applyNumberFormat="1" applyFont="1" applyFill="1" applyBorder="1" applyAlignment="1">
      <alignment horizontal="right" vertical="center"/>
    </xf>
    <xf numFmtId="4" fontId="12" fillId="2" borderId="188" xfId="0" applyNumberFormat="1" applyFont="1" applyFill="1" applyBorder="1" applyAlignment="1">
      <alignment horizontal="right" vertical="center"/>
    </xf>
    <xf numFmtId="4" fontId="12" fillId="1" borderId="189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 vertical="center"/>
    </xf>
    <xf numFmtId="4" fontId="12" fillId="2" borderId="13" xfId="0" applyNumberFormat="1" applyFont="1" applyFill="1" applyBorder="1" applyAlignment="1">
      <alignment horizontal="right" vertical="center"/>
    </xf>
    <xf numFmtId="4" fontId="12" fillId="2" borderId="82" xfId="0" applyNumberFormat="1" applyFont="1" applyFill="1" applyBorder="1" applyAlignment="1">
      <alignment horizontal="right" vertical="center"/>
    </xf>
    <xf numFmtId="4" fontId="12" fillId="2" borderId="190" xfId="0" applyNumberFormat="1" applyFont="1" applyFill="1" applyBorder="1" applyAlignment="1">
      <alignment horizontal="right" vertical="center"/>
    </xf>
    <xf numFmtId="4" fontId="12" fillId="2" borderId="191" xfId="0" applyNumberFormat="1" applyFont="1" applyFill="1" applyBorder="1" applyAlignment="1">
      <alignment horizontal="right" vertical="center"/>
    </xf>
    <xf numFmtId="4" fontId="12" fillId="2" borderId="192" xfId="0" applyNumberFormat="1" applyFont="1" applyFill="1" applyBorder="1" applyAlignment="1">
      <alignment horizontal="right" vertical="center"/>
    </xf>
    <xf numFmtId="4" fontId="11" fillId="0" borderId="193" xfId="0" applyNumberFormat="1" applyFont="1" applyBorder="1" applyAlignment="1">
      <alignment horizontal="right" vertical="center"/>
    </xf>
    <xf numFmtId="0" fontId="6" fillId="2" borderId="194" xfId="0" applyFont="1" applyFill="1" applyBorder="1" applyAlignment="1">
      <alignment horizontal="left"/>
    </xf>
    <xf numFmtId="0" fontId="5" fillId="1" borderId="194" xfId="0" applyFont="1" applyFill="1" applyBorder="1" applyAlignment="1">
      <alignment horizontal="left" vertical="center"/>
    </xf>
    <xf numFmtId="0" fontId="5" fillId="1" borderId="131" xfId="0" applyFont="1" applyFill="1" applyBorder="1" applyAlignment="1">
      <alignment horizontal="left" vertical="center"/>
    </xf>
    <xf numFmtId="4" fontId="10" fillId="1" borderId="195" xfId="0" applyNumberFormat="1" applyFont="1" applyFill="1" applyBorder="1" applyAlignment="1">
      <alignment horizontal="right" vertical="center"/>
    </xf>
    <xf numFmtId="4" fontId="10" fillId="1" borderId="187" xfId="0" applyNumberFormat="1" applyFont="1" applyFill="1" applyBorder="1" applyAlignment="1">
      <alignment horizontal="right" vertical="center"/>
    </xf>
    <xf numFmtId="4" fontId="10" fillId="1" borderId="188" xfId="0" applyNumberFormat="1" applyFont="1" applyFill="1" applyBorder="1" applyAlignment="1">
      <alignment horizontal="right" vertical="center"/>
    </xf>
    <xf numFmtId="4" fontId="10" fillId="1" borderId="189" xfId="0" applyNumberFormat="1" applyFont="1" applyFill="1" applyBorder="1" applyAlignment="1">
      <alignment horizontal="right" vertical="center"/>
    </xf>
    <xf numFmtId="4" fontId="10" fillId="1" borderId="12" xfId="0" applyNumberFormat="1" applyFont="1" applyFill="1" applyBorder="1" applyAlignment="1">
      <alignment horizontal="right" vertical="center"/>
    </xf>
    <xf numFmtId="4" fontId="10" fillId="1" borderId="14" xfId="0" applyNumberFormat="1" applyFont="1" applyFill="1" applyBorder="1" applyAlignment="1">
      <alignment horizontal="right" vertical="center"/>
    </xf>
    <xf numFmtId="4" fontId="10" fillId="1" borderId="13" xfId="0" applyNumberFormat="1" applyFont="1" applyFill="1" applyBorder="1" applyAlignment="1">
      <alignment horizontal="right" vertical="center"/>
    </xf>
    <xf numFmtId="4" fontId="10" fillId="1" borderId="184" xfId="0" applyNumberFormat="1" applyFont="1" applyFill="1" applyBorder="1" applyAlignment="1">
      <alignment horizontal="right" vertical="center"/>
    </xf>
    <xf numFmtId="4" fontId="10" fillId="1" borderId="186" xfId="0" applyNumberFormat="1" applyFont="1" applyFill="1" applyBorder="1" applyAlignment="1">
      <alignment horizontal="right" vertical="center"/>
    </xf>
    <xf numFmtId="3" fontId="0" fillId="0" borderId="127" xfId="0" applyNumberFormat="1" applyBorder="1" applyAlignment="1">
      <alignment horizontal="right" vertical="center"/>
    </xf>
    <xf numFmtId="3" fontId="16" fillId="0" borderId="196" xfId="0" applyNumberFormat="1" applyFont="1" applyBorder="1" applyAlignment="1">
      <alignment horizontal="right" vertical="center"/>
    </xf>
    <xf numFmtId="3" fontId="0" fillId="0" borderId="106" xfId="0" applyNumberFormat="1" applyBorder="1" applyAlignment="1">
      <alignment/>
    </xf>
    <xf numFmtId="3" fontId="0" fillId="0" borderId="155" xfId="0" applyNumberFormat="1" applyBorder="1" applyAlignment="1">
      <alignment/>
    </xf>
    <xf numFmtId="3" fontId="0" fillId="0" borderId="103" xfId="0" applyNumberFormat="1" applyFill="1" applyBorder="1" applyAlignment="1">
      <alignment/>
    </xf>
    <xf numFmtId="3" fontId="0" fillId="0" borderId="136" xfId="0" applyNumberFormat="1" applyFill="1" applyBorder="1" applyAlignment="1">
      <alignment/>
    </xf>
    <xf numFmtId="3" fontId="0" fillId="0" borderId="128" xfId="0" applyNumberFormat="1" applyBorder="1" applyAlignment="1">
      <alignment/>
    </xf>
    <xf numFmtId="3" fontId="0" fillId="0" borderId="136" xfId="0" applyNumberFormat="1" applyBorder="1" applyAlignment="1">
      <alignment/>
    </xf>
    <xf numFmtId="3" fontId="0" fillId="0" borderId="33" xfId="0" applyNumberFormat="1" applyBorder="1" applyAlignment="1">
      <alignment horizontal="right" vertical="center"/>
    </xf>
    <xf numFmtId="3" fontId="0" fillId="0" borderId="197" xfId="0" applyNumberFormat="1" applyBorder="1" applyAlignment="1">
      <alignment horizontal="right" vertical="center"/>
    </xf>
    <xf numFmtId="3" fontId="0" fillId="0" borderId="198" xfId="0" applyNumberFormat="1" applyBorder="1" applyAlignment="1">
      <alignment horizontal="right" vertical="center"/>
    </xf>
    <xf numFmtId="3" fontId="0" fillId="0" borderId="199" xfId="0" applyNumberFormat="1" applyBorder="1" applyAlignment="1">
      <alignment/>
    </xf>
    <xf numFmtId="3" fontId="0" fillId="0" borderId="200" xfId="0" applyNumberFormat="1" applyBorder="1" applyAlignment="1">
      <alignment/>
    </xf>
    <xf numFmtId="3" fontId="0" fillId="0" borderId="201" xfId="0" applyNumberFormat="1" applyFill="1" applyBorder="1" applyAlignment="1">
      <alignment/>
    </xf>
    <xf numFmtId="3" fontId="0" fillId="0" borderId="202" xfId="0" applyNumberFormat="1" applyBorder="1" applyAlignment="1">
      <alignment/>
    </xf>
    <xf numFmtId="0" fontId="0" fillId="0" borderId="203" xfId="0" applyBorder="1" applyAlignment="1">
      <alignment/>
    </xf>
    <xf numFmtId="3" fontId="0" fillId="0" borderId="204" xfId="0" applyNumberFormat="1" applyBorder="1" applyAlignment="1">
      <alignment/>
    </xf>
    <xf numFmtId="3" fontId="0" fillId="0" borderId="118" xfId="0" applyNumberFormat="1" applyBorder="1" applyAlignment="1">
      <alignment horizontal="center" vertical="center"/>
    </xf>
    <xf numFmtId="3" fontId="0" fillId="0" borderId="130" xfId="0" applyNumberFormat="1" applyBorder="1" applyAlignment="1">
      <alignment horizontal="center" vertical="center"/>
    </xf>
    <xf numFmtId="3" fontId="0" fillId="0" borderId="205" xfId="0" applyNumberFormat="1" applyBorder="1" applyAlignment="1">
      <alignment/>
    </xf>
    <xf numFmtId="0" fontId="0" fillId="0" borderId="206" xfId="0" applyBorder="1" applyAlignment="1">
      <alignment/>
    </xf>
    <xf numFmtId="3" fontId="0" fillId="0" borderId="207" xfId="0" applyNumberFormat="1" applyBorder="1" applyAlignment="1">
      <alignment/>
    </xf>
    <xf numFmtId="0" fontId="0" fillId="0" borderId="49" xfId="0" applyBorder="1" applyAlignment="1">
      <alignment/>
    </xf>
    <xf numFmtId="3" fontId="0" fillId="0" borderId="208" xfId="0" applyNumberFormat="1" applyBorder="1" applyAlignment="1">
      <alignment/>
    </xf>
    <xf numFmtId="3" fontId="0" fillId="0" borderId="209" xfId="0" applyNumberFormat="1" applyBorder="1" applyAlignment="1">
      <alignment/>
    </xf>
    <xf numFmtId="3" fontId="0" fillId="0" borderId="210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210" xfId="0" applyNumberFormat="1" applyBorder="1" applyAlignment="1">
      <alignment horizontal="right" vertical="center"/>
    </xf>
    <xf numFmtId="3" fontId="0" fillId="0" borderId="130" xfId="0" applyNumberFormat="1" applyBorder="1" applyAlignment="1">
      <alignment horizontal="right" vertical="center"/>
    </xf>
    <xf numFmtId="3" fontId="0" fillId="0" borderId="211" xfId="0" applyNumberFormat="1" applyBorder="1" applyAlignment="1">
      <alignment horizontal="center" vertical="center"/>
    </xf>
    <xf numFmtId="3" fontId="0" fillId="0" borderId="212" xfId="0" applyNumberFormat="1" applyBorder="1" applyAlignment="1">
      <alignment horizontal="center" vertical="center"/>
    </xf>
    <xf numFmtId="3" fontId="0" fillId="0" borderId="213" xfId="0" applyNumberFormat="1" applyBorder="1" applyAlignment="1">
      <alignment horizontal="center" vertical="center"/>
    </xf>
    <xf numFmtId="3" fontId="0" fillId="0" borderId="211" xfId="0" applyNumberFormat="1" applyBorder="1" applyAlignment="1">
      <alignment horizontal="right" vertical="center"/>
    </xf>
    <xf numFmtId="3" fontId="0" fillId="0" borderId="212" xfId="0" applyNumberFormat="1" applyBorder="1" applyAlignment="1">
      <alignment horizontal="right" vertical="center"/>
    </xf>
    <xf numFmtId="3" fontId="0" fillId="0" borderId="69" xfId="0" applyNumberFormat="1" applyBorder="1" applyAlignment="1">
      <alignment horizontal="center" vertical="center"/>
    </xf>
    <xf numFmtId="3" fontId="0" fillId="0" borderId="214" xfId="0" applyNumberFormat="1" applyBorder="1" applyAlignment="1">
      <alignment horizontal="center" vertical="center"/>
    </xf>
    <xf numFmtId="3" fontId="0" fillId="0" borderId="107" xfId="0" applyNumberFormat="1" applyBorder="1" applyAlignment="1">
      <alignment horizontal="center" vertical="center"/>
    </xf>
    <xf numFmtId="3" fontId="0" fillId="0" borderId="214" xfId="0" applyNumberFormat="1" applyBorder="1" applyAlignment="1">
      <alignment horizontal="right" vertical="center"/>
    </xf>
    <xf numFmtId="3" fontId="0" fillId="0" borderId="215" xfId="0" applyNumberFormat="1" applyBorder="1" applyAlignment="1">
      <alignment horizontal="right" vertical="center"/>
    </xf>
    <xf numFmtId="3" fontId="0" fillId="0" borderId="216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217" xfId="0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171" fontId="0" fillId="0" borderId="0" xfId="0" applyNumberFormat="1" applyAlignment="1">
      <alignment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218" xfId="0" applyNumberFormat="1" applyBorder="1" applyAlignment="1">
      <alignment horizontal="right" vertical="center"/>
    </xf>
    <xf numFmtId="3" fontId="0" fillId="0" borderId="219" xfId="0" applyNumberFormat="1" applyBorder="1" applyAlignment="1">
      <alignment horizontal="right" vertical="center"/>
    </xf>
    <xf numFmtId="0" fontId="26" fillId="0" borderId="220" xfId="0" applyFont="1" applyBorder="1" applyAlignment="1">
      <alignment horizontal="center" vertical="center" wrapText="1"/>
    </xf>
    <xf numFmtId="0" fontId="0" fillId="0" borderId="221" xfId="0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0" fillId="0" borderId="222" xfId="0" applyBorder="1" applyAlignment="1">
      <alignment/>
    </xf>
    <xf numFmtId="0" fontId="0" fillId="0" borderId="223" xfId="0" applyBorder="1" applyAlignment="1">
      <alignment/>
    </xf>
    <xf numFmtId="3" fontId="0" fillId="0" borderId="201" xfId="0" applyNumberFormat="1" applyBorder="1" applyAlignment="1">
      <alignment/>
    </xf>
    <xf numFmtId="0" fontId="1" fillId="0" borderId="224" xfId="0" applyFont="1" applyBorder="1" applyAlignment="1">
      <alignment/>
    </xf>
    <xf numFmtId="0" fontId="1" fillId="0" borderId="225" xfId="0" applyFont="1" applyBorder="1" applyAlignment="1">
      <alignment/>
    </xf>
    <xf numFmtId="0" fontId="0" fillId="0" borderId="225" xfId="0" applyBorder="1" applyAlignment="1">
      <alignment/>
    </xf>
    <xf numFmtId="0" fontId="0" fillId="0" borderId="226" xfId="0" applyBorder="1" applyAlignment="1">
      <alignment/>
    </xf>
    <xf numFmtId="0" fontId="10" fillId="0" borderId="74" xfId="0" applyFont="1" applyBorder="1" applyAlignment="1">
      <alignment horizontal="center" vertical="center"/>
    </xf>
    <xf numFmtId="0" fontId="1" fillId="0" borderId="227" xfId="0" applyFont="1" applyBorder="1" applyAlignment="1">
      <alignment/>
    </xf>
    <xf numFmtId="0" fontId="0" fillId="0" borderId="227" xfId="0" applyBorder="1" applyAlignment="1">
      <alignment/>
    </xf>
    <xf numFmtId="3" fontId="1" fillId="0" borderId="2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 textRotation="90"/>
    </xf>
    <xf numFmtId="0" fontId="0" fillId="0" borderId="213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4" fontId="11" fillId="1" borderId="228" xfId="0" applyNumberFormat="1" applyFont="1" applyFill="1" applyBorder="1" applyAlignment="1">
      <alignment horizontal="right" vertical="center"/>
    </xf>
    <xf numFmtId="4" fontId="0" fillId="1" borderId="229" xfId="0" applyNumberFormat="1" applyFill="1" applyBorder="1" applyAlignment="1">
      <alignment horizontal="right" vertical="center"/>
    </xf>
    <xf numFmtId="3" fontId="11" fillId="0" borderId="230" xfId="0" applyNumberFormat="1" applyFont="1" applyBorder="1" applyAlignment="1">
      <alignment horizontal="right" vertical="center"/>
    </xf>
    <xf numFmtId="3" fontId="11" fillId="0" borderId="231" xfId="0" applyNumberFormat="1" applyFont="1" applyBorder="1" applyAlignment="1">
      <alignment horizontal="right" vertical="center"/>
    </xf>
    <xf numFmtId="3" fontId="11" fillId="0" borderId="232" xfId="0" applyNumberFormat="1" applyFont="1" applyBorder="1" applyAlignment="1">
      <alignment horizontal="right" vertical="center"/>
    </xf>
    <xf numFmtId="3" fontId="11" fillId="0" borderId="233" xfId="0" applyNumberFormat="1" applyFont="1" applyBorder="1" applyAlignment="1">
      <alignment horizontal="right" vertical="center"/>
    </xf>
    <xf numFmtId="3" fontId="11" fillId="0" borderId="234" xfId="0" applyNumberFormat="1" applyFont="1" applyBorder="1" applyAlignment="1">
      <alignment horizontal="right" vertical="center"/>
    </xf>
    <xf numFmtId="3" fontId="11" fillId="0" borderId="235" xfId="0" applyNumberFormat="1" applyFont="1" applyBorder="1" applyAlignment="1">
      <alignment horizontal="right" vertical="center"/>
    </xf>
    <xf numFmtId="3" fontId="11" fillId="0" borderId="236" xfId="0" applyNumberFormat="1" applyFont="1" applyBorder="1" applyAlignment="1">
      <alignment horizontal="right" vertical="center"/>
    </xf>
    <xf numFmtId="3" fontId="11" fillId="0" borderId="237" xfId="0" applyNumberFormat="1" applyFont="1" applyBorder="1" applyAlignment="1">
      <alignment horizontal="right" vertical="center"/>
    </xf>
    <xf numFmtId="3" fontId="11" fillId="0" borderId="238" xfId="0" applyNumberFormat="1" applyFont="1" applyBorder="1" applyAlignment="1">
      <alignment horizontal="right" vertical="center"/>
    </xf>
    <xf numFmtId="3" fontId="11" fillId="0" borderId="239" xfId="0" applyNumberFormat="1" applyFont="1" applyBorder="1" applyAlignment="1">
      <alignment horizontal="right" vertical="center"/>
    </xf>
    <xf numFmtId="3" fontId="11" fillId="0" borderId="240" xfId="0" applyNumberFormat="1" applyFont="1" applyBorder="1" applyAlignment="1">
      <alignment horizontal="right" vertical="center"/>
    </xf>
    <xf numFmtId="3" fontId="11" fillId="0" borderId="241" xfId="0" applyNumberFormat="1" applyFont="1" applyBorder="1" applyAlignment="1">
      <alignment horizontal="right" vertical="center"/>
    </xf>
    <xf numFmtId="3" fontId="11" fillId="0" borderId="242" xfId="0" applyNumberFormat="1" applyFont="1" applyBorder="1" applyAlignment="1">
      <alignment horizontal="right" vertical="center"/>
    </xf>
    <xf numFmtId="3" fontId="11" fillId="0" borderId="243" xfId="0" applyNumberFormat="1" applyFont="1" applyBorder="1" applyAlignment="1">
      <alignment horizontal="right" vertical="center"/>
    </xf>
    <xf numFmtId="3" fontId="11" fillId="0" borderId="244" xfId="0" applyNumberFormat="1" applyFont="1" applyBorder="1" applyAlignment="1">
      <alignment horizontal="right" vertical="center"/>
    </xf>
    <xf numFmtId="3" fontId="11" fillId="0" borderId="245" xfId="0" applyNumberFormat="1" applyFont="1" applyBorder="1" applyAlignment="1">
      <alignment horizontal="right" vertical="center"/>
    </xf>
    <xf numFmtId="3" fontId="11" fillId="0" borderId="246" xfId="0" applyNumberFormat="1" applyFont="1" applyBorder="1" applyAlignment="1">
      <alignment horizontal="right" vertical="center"/>
    </xf>
    <xf numFmtId="3" fontId="11" fillId="0" borderId="247" xfId="0" applyNumberFormat="1" applyFont="1" applyBorder="1" applyAlignment="1">
      <alignment horizontal="right" vertical="center"/>
    </xf>
    <xf numFmtId="3" fontId="11" fillId="0" borderId="248" xfId="0" applyNumberFormat="1" applyFont="1" applyBorder="1" applyAlignment="1">
      <alignment horizontal="right" vertical="center"/>
    </xf>
    <xf numFmtId="3" fontId="11" fillId="0" borderId="249" xfId="0" applyNumberFormat="1" applyFont="1" applyBorder="1" applyAlignment="1">
      <alignment horizontal="right" vertical="center"/>
    </xf>
    <xf numFmtId="3" fontId="11" fillId="0" borderId="140" xfId="0" applyNumberFormat="1" applyFont="1" applyBorder="1" applyAlignment="1">
      <alignment horizontal="right" vertical="center"/>
    </xf>
    <xf numFmtId="3" fontId="11" fillId="0" borderId="250" xfId="0" applyNumberFormat="1" applyFont="1" applyBorder="1" applyAlignment="1">
      <alignment horizontal="right" vertical="center"/>
    </xf>
    <xf numFmtId="3" fontId="11" fillId="0" borderId="251" xfId="0" applyNumberFormat="1" applyFont="1" applyBorder="1" applyAlignment="1">
      <alignment horizontal="right" vertical="center"/>
    </xf>
    <xf numFmtId="3" fontId="11" fillId="0" borderId="252" xfId="0" applyNumberFormat="1" applyFont="1" applyBorder="1" applyAlignment="1">
      <alignment horizontal="right" vertical="center"/>
    </xf>
    <xf numFmtId="3" fontId="11" fillId="0" borderId="253" xfId="0" applyNumberFormat="1" applyFont="1" applyBorder="1" applyAlignment="1">
      <alignment horizontal="right" vertical="center"/>
    </xf>
    <xf numFmtId="3" fontId="11" fillId="0" borderId="254" xfId="0" applyNumberFormat="1" applyFont="1" applyBorder="1" applyAlignment="1">
      <alignment horizontal="right" vertical="center"/>
    </xf>
    <xf numFmtId="3" fontId="11" fillId="0" borderId="189" xfId="0" applyNumberFormat="1" applyFont="1" applyBorder="1" applyAlignment="1">
      <alignment horizontal="right" vertical="center"/>
    </xf>
    <xf numFmtId="3" fontId="11" fillId="0" borderId="255" xfId="0" applyNumberFormat="1" applyFont="1" applyBorder="1" applyAlignment="1">
      <alignment horizontal="right" vertical="center"/>
    </xf>
    <xf numFmtId="3" fontId="11" fillId="0" borderId="256" xfId="0" applyNumberFormat="1" applyFont="1" applyBorder="1" applyAlignment="1">
      <alignment horizontal="right" vertical="center"/>
    </xf>
    <xf numFmtId="3" fontId="11" fillId="0" borderId="257" xfId="0" applyNumberFormat="1" applyFont="1" applyBorder="1" applyAlignment="1">
      <alignment horizontal="right" vertical="center"/>
    </xf>
    <xf numFmtId="3" fontId="11" fillId="0" borderId="258" xfId="0" applyNumberFormat="1" applyFont="1" applyBorder="1" applyAlignment="1">
      <alignment horizontal="right" vertical="center"/>
    </xf>
    <xf numFmtId="3" fontId="11" fillId="0" borderId="124" xfId="0" applyNumberFormat="1" applyFont="1" applyBorder="1" applyAlignment="1">
      <alignment horizontal="right" vertical="center"/>
    </xf>
    <xf numFmtId="3" fontId="11" fillId="0" borderId="259" xfId="0" applyNumberFormat="1" applyFont="1" applyBorder="1" applyAlignment="1">
      <alignment horizontal="right" vertical="center"/>
    </xf>
    <xf numFmtId="3" fontId="5" fillId="0" borderId="260" xfId="0" applyNumberFormat="1" applyFont="1" applyBorder="1" applyAlignment="1">
      <alignment horizontal="right" vertical="center"/>
    </xf>
    <xf numFmtId="3" fontId="5" fillId="0" borderId="261" xfId="0" applyNumberFormat="1" applyFont="1" applyBorder="1" applyAlignment="1">
      <alignment horizontal="right" vertical="center"/>
    </xf>
    <xf numFmtId="3" fontId="5" fillId="0" borderId="262" xfId="0" applyNumberFormat="1" applyFont="1" applyBorder="1" applyAlignment="1">
      <alignment horizontal="right" vertical="center"/>
    </xf>
    <xf numFmtId="0" fontId="0" fillId="0" borderId="263" xfId="0" applyBorder="1" applyAlignment="1">
      <alignment/>
    </xf>
    <xf numFmtId="0" fontId="26" fillId="0" borderId="264" xfId="0" applyFont="1" applyBorder="1" applyAlignment="1">
      <alignment horizontal="left" vertical="center"/>
    </xf>
    <xf numFmtId="0" fontId="26" fillId="0" borderId="265" xfId="0" applyFont="1" applyBorder="1" applyAlignment="1">
      <alignment horizontal="left" vertical="center"/>
    </xf>
    <xf numFmtId="0" fontId="26" fillId="0" borderId="266" xfId="0" applyFont="1" applyBorder="1" applyAlignment="1">
      <alignment horizontal="left" vertical="center"/>
    </xf>
    <xf numFmtId="3" fontId="0" fillId="0" borderId="263" xfId="0" applyNumberFormat="1" applyBorder="1" applyAlignment="1">
      <alignment/>
    </xf>
    <xf numFmtId="0" fontId="0" fillId="0" borderId="172" xfId="0" applyBorder="1" applyAlignment="1">
      <alignment/>
    </xf>
    <xf numFmtId="0" fontId="0" fillId="0" borderId="267" xfId="0" applyBorder="1" applyAlignment="1">
      <alignment/>
    </xf>
    <xf numFmtId="3" fontId="0" fillId="0" borderId="268" xfId="0" applyNumberFormat="1" applyBorder="1" applyAlignment="1">
      <alignment/>
    </xf>
    <xf numFmtId="0" fontId="0" fillId="0" borderId="268" xfId="0" applyBorder="1" applyAlignment="1">
      <alignment/>
    </xf>
    <xf numFmtId="3" fontId="0" fillId="0" borderId="269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70" xfId="0" applyNumberFormat="1" applyBorder="1" applyAlignment="1">
      <alignment/>
    </xf>
    <xf numFmtId="0" fontId="0" fillId="0" borderId="271" xfId="0" applyBorder="1" applyAlignment="1">
      <alignment/>
    </xf>
    <xf numFmtId="3" fontId="0" fillId="0" borderId="271" xfId="0" applyNumberFormat="1" applyBorder="1" applyAlignment="1">
      <alignment/>
    </xf>
    <xf numFmtId="0" fontId="0" fillId="0" borderId="272" xfId="0" applyBorder="1" applyAlignment="1">
      <alignment/>
    </xf>
    <xf numFmtId="0" fontId="0" fillId="0" borderId="102" xfId="0" applyBorder="1" applyAlignment="1">
      <alignment horizontal="right" vertical="center"/>
    </xf>
    <xf numFmtId="4" fontId="11" fillId="0" borderId="71" xfId="0" applyNumberFormat="1" applyFont="1" applyBorder="1" applyAlignment="1">
      <alignment horizontal="right" vertical="center"/>
    </xf>
    <xf numFmtId="4" fontId="11" fillId="0" borderId="67" xfId="0" applyNumberFormat="1" applyFont="1" applyBorder="1" applyAlignment="1">
      <alignment horizontal="right" vertical="center"/>
    </xf>
    <xf numFmtId="4" fontId="11" fillId="0" borderId="273" xfId="0" applyNumberFormat="1" applyFont="1" applyBorder="1" applyAlignment="1">
      <alignment horizontal="right" vertical="center"/>
    </xf>
    <xf numFmtId="4" fontId="11" fillId="0" borderId="274" xfId="0" applyNumberFormat="1" applyFont="1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4" fontId="11" fillId="1" borderId="275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4" fontId="12" fillId="0" borderId="193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/>
    </xf>
    <xf numFmtId="4" fontId="12" fillId="0" borderId="33" xfId="0" applyNumberFormat="1" applyFont="1" applyFill="1" applyBorder="1" applyAlignment="1">
      <alignment horizontal="right" vertical="center"/>
    </xf>
    <xf numFmtId="0" fontId="18" fillId="0" borderId="20" xfId="0" applyFont="1" applyBorder="1" applyAlignment="1">
      <alignment horizontal="left" vertical="center" wrapText="1"/>
    </xf>
    <xf numFmtId="4" fontId="12" fillId="0" borderId="276" xfId="0" applyNumberFormat="1" applyFont="1" applyFill="1" applyBorder="1" applyAlignment="1">
      <alignment horizontal="right" vertical="center"/>
    </xf>
    <xf numFmtId="4" fontId="12" fillId="0" borderId="277" xfId="0" applyNumberFormat="1" applyFont="1" applyFill="1" applyBorder="1" applyAlignment="1">
      <alignment horizontal="right" vertical="center"/>
    </xf>
    <xf numFmtId="4" fontId="12" fillId="0" borderId="42" xfId="0" applyNumberFormat="1" applyFont="1" applyFill="1" applyBorder="1" applyAlignment="1">
      <alignment horizontal="right" vertical="center"/>
    </xf>
    <xf numFmtId="0" fontId="6" fillId="0" borderId="181" xfId="0" applyFont="1" applyFill="1" applyBorder="1" applyAlignment="1">
      <alignment horizontal="left" vertical="center"/>
    </xf>
    <xf numFmtId="4" fontId="11" fillId="1" borderId="278" xfId="0" applyNumberFormat="1" applyFont="1" applyFill="1" applyBorder="1" applyAlignment="1">
      <alignment horizontal="right" vertical="center"/>
    </xf>
    <xf numFmtId="4" fontId="12" fillId="1" borderId="279" xfId="0" applyNumberFormat="1" applyFont="1" applyFill="1" applyBorder="1" applyAlignment="1">
      <alignment horizontal="right" vertical="center"/>
    </xf>
    <xf numFmtId="4" fontId="12" fillId="1" borderId="280" xfId="0" applyNumberFormat="1" applyFont="1" applyFill="1" applyBorder="1" applyAlignment="1">
      <alignment horizontal="right" vertical="center"/>
    </xf>
    <xf numFmtId="4" fontId="11" fillId="1" borderId="281" xfId="0" applyNumberFormat="1" applyFont="1" applyFill="1" applyBorder="1" applyAlignment="1">
      <alignment horizontal="right" vertical="center"/>
    </xf>
    <xf numFmtId="4" fontId="11" fillId="0" borderId="36" xfId="0" applyNumberFormat="1" applyFont="1" applyBorder="1" applyAlignment="1">
      <alignment horizontal="right" vertical="center"/>
    </xf>
    <xf numFmtId="4" fontId="11" fillId="0" borderId="282" xfId="0" applyNumberFormat="1" applyFont="1" applyBorder="1" applyAlignment="1">
      <alignment horizontal="right" vertical="center"/>
    </xf>
    <xf numFmtId="0" fontId="0" fillId="0" borderId="283" xfId="0" applyBorder="1" applyAlignment="1">
      <alignment horizontal="center" vertical="center" wrapText="1"/>
    </xf>
    <xf numFmtId="0" fontId="0" fillId="0" borderId="284" xfId="0" applyBorder="1" applyAlignment="1">
      <alignment horizontal="center" vertical="center" wrapText="1"/>
    </xf>
    <xf numFmtId="0" fontId="0" fillId="0" borderId="220" xfId="0" applyBorder="1" applyAlignment="1">
      <alignment horizontal="center" vertical="center" wrapText="1"/>
    </xf>
    <xf numFmtId="0" fontId="0" fillId="0" borderId="285" xfId="0" applyBorder="1" applyAlignment="1">
      <alignment horizontal="center" vertical="center" wrapText="1"/>
    </xf>
    <xf numFmtId="0" fontId="26" fillId="0" borderId="217" xfId="0" applyFont="1" applyBorder="1" applyAlignment="1">
      <alignment horizontal="center" vertical="center" wrapText="1"/>
    </xf>
    <xf numFmtId="0" fontId="26" fillId="0" borderId="285" xfId="0" applyFont="1" applyBorder="1" applyAlignment="1">
      <alignment horizontal="center" vertical="center" wrapText="1"/>
    </xf>
    <xf numFmtId="0" fontId="26" fillId="0" borderId="286" xfId="0" applyFont="1" applyBorder="1" applyAlignment="1">
      <alignment horizontal="center" vertical="center" wrapText="1"/>
    </xf>
    <xf numFmtId="3" fontId="11" fillId="0" borderId="287" xfId="0" applyNumberFormat="1" applyFont="1" applyBorder="1" applyAlignment="1">
      <alignment horizontal="right" vertical="center"/>
    </xf>
    <xf numFmtId="3" fontId="11" fillId="0" borderId="288" xfId="0" applyNumberFormat="1" applyFont="1" applyBorder="1" applyAlignment="1">
      <alignment horizontal="right" vertical="center"/>
    </xf>
    <xf numFmtId="3" fontId="11" fillId="0" borderId="195" xfId="0" applyNumberFormat="1" applyFon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 wrapText="1"/>
    </xf>
    <xf numFmtId="4" fontId="0" fillId="0" borderId="3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289" xfId="0" applyNumberFormat="1" applyBorder="1" applyAlignment="1">
      <alignment horizontal="right" vertical="center"/>
    </xf>
    <xf numFmtId="4" fontId="0" fillId="0" borderId="81" xfId="0" applyNumberFormat="1" applyBorder="1" applyAlignment="1">
      <alignment horizontal="right" vertical="center"/>
    </xf>
    <xf numFmtId="0" fontId="0" fillId="0" borderId="290" xfId="0" applyBorder="1" applyAlignment="1">
      <alignment/>
    </xf>
    <xf numFmtId="4" fontId="0" fillId="0" borderId="290" xfId="0" applyNumberFormat="1" applyBorder="1" applyAlignment="1">
      <alignment horizontal="right" vertical="center"/>
    </xf>
    <xf numFmtId="0" fontId="0" fillId="0" borderId="142" xfId="0" applyBorder="1" applyAlignment="1">
      <alignment/>
    </xf>
    <xf numFmtId="0" fontId="0" fillId="0" borderId="274" xfId="0" applyBorder="1" applyAlignment="1">
      <alignment/>
    </xf>
    <xf numFmtId="0" fontId="0" fillId="0" borderId="100" xfId="0" applyBorder="1" applyAlignment="1">
      <alignment/>
    </xf>
    <xf numFmtId="0" fontId="0" fillId="0" borderId="67" xfId="0" applyBorder="1" applyAlignment="1">
      <alignment/>
    </xf>
    <xf numFmtId="0" fontId="0" fillId="0" borderId="291" xfId="0" applyBorder="1" applyAlignment="1">
      <alignment/>
    </xf>
    <xf numFmtId="0" fontId="0" fillId="0" borderId="292" xfId="0" applyBorder="1" applyAlignment="1">
      <alignment/>
    </xf>
    <xf numFmtId="0" fontId="0" fillId="0" borderId="102" xfId="0" applyBorder="1" applyAlignment="1">
      <alignment/>
    </xf>
    <xf numFmtId="0" fontId="0" fillId="0" borderId="184" xfId="0" applyBorder="1" applyAlignment="1">
      <alignment horizontal="center" vertical="center"/>
    </xf>
    <xf numFmtId="0" fontId="0" fillId="0" borderId="293" xfId="0" applyBorder="1" applyAlignment="1">
      <alignment horizontal="center" vertical="center"/>
    </xf>
    <xf numFmtId="0" fontId="0" fillId="0" borderId="294" xfId="0" applyBorder="1" applyAlignment="1">
      <alignment horizontal="center" vertical="center"/>
    </xf>
    <xf numFmtId="0" fontId="0" fillId="0" borderId="295" xfId="0" applyBorder="1" applyAlignment="1">
      <alignment horizontal="center" vertical="center"/>
    </xf>
    <xf numFmtId="0" fontId="0" fillId="0" borderId="296" xfId="0" applyBorder="1" applyAlignment="1">
      <alignment horizontal="center" vertical="center"/>
    </xf>
    <xf numFmtId="0" fontId="0" fillId="0" borderId="297" xfId="0" applyBorder="1" applyAlignment="1">
      <alignment horizontal="center" vertical="center"/>
    </xf>
    <xf numFmtId="0" fontId="0" fillId="0" borderId="298" xfId="0" applyBorder="1" applyAlignment="1">
      <alignment horizontal="center" vertical="center"/>
    </xf>
    <xf numFmtId="0" fontId="0" fillId="0" borderId="299" xfId="0" applyBorder="1" applyAlignment="1">
      <alignment/>
    </xf>
    <xf numFmtId="0" fontId="0" fillId="0" borderId="273" xfId="0" applyBorder="1" applyAlignment="1">
      <alignment/>
    </xf>
    <xf numFmtId="0" fontId="0" fillId="0" borderId="99" xfId="0" applyBorder="1" applyAlignment="1">
      <alignment/>
    </xf>
    <xf numFmtId="0" fontId="0" fillId="0" borderId="71" xfId="0" applyBorder="1" applyAlignment="1">
      <alignment/>
    </xf>
    <xf numFmtId="0" fontId="0" fillId="0" borderId="300" xfId="0" applyBorder="1" applyAlignment="1">
      <alignment/>
    </xf>
    <xf numFmtId="0" fontId="0" fillId="0" borderId="103" xfId="0" applyBorder="1" applyAlignment="1">
      <alignment/>
    </xf>
    <xf numFmtId="0" fontId="0" fillId="0" borderId="301" xfId="0" applyBorder="1" applyAlignment="1">
      <alignment/>
    </xf>
    <xf numFmtId="0" fontId="0" fillId="0" borderId="101" xfId="0" applyBorder="1" applyAlignment="1">
      <alignment/>
    </xf>
    <xf numFmtId="0" fontId="0" fillId="0" borderId="302" xfId="0" applyBorder="1" applyAlignment="1">
      <alignment horizontal="center" vertical="center"/>
    </xf>
    <xf numFmtId="4" fontId="0" fillId="0" borderId="195" xfId="0" applyNumberFormat="1" applyBorder="1" applyAlignment="1">
      <alignment horizontal="right" vertical="center"/>
    </xf>
    <xf numFmtId="4" fontId="0" fillId="0" borderId="187" xfId="0" applyNumberFormat="1" applyBorder="1" applyAlignment="1">
      <alignment horizontal="right" vertical="center"/>
    </xf>
    <xf numFmtId="4" fontId="0" fillId="0" borderId="98" xfId="0" applyNumberFormat="1" applyBorder="1" applyAlignment="1">
      <alignment horizontal="right" vertical="center"/>
    </xf>
    <xf numFmtId="4" fontId="0" fillId="0" borderId="303" xfId="0" applyNumberFormat="1" applyBorder="1" applyAlignment="1">
      <alignment horizontal="right" vertical="center"/>
    </xf>
    <xf numFmtId="0" fontId="0" fillId="0" borderId="124" xfId="0" applyBorder="1" applyAlignment="1">
      <alignment/>
    </xf>
    <xf numFmtId="4" fontId="0" fillId="0" borderId="304" xfId="0" applyNumberFormat="1" applyBorder="1" applyAlignment="1">
      <alignment horizontal="right" vertical="center"/>
    </xf>
    <xf numFmtId="4" fontId="0" fillId="0" borderId="188" xfId="0" applyNumberFormat="1" applyBorder="1" applyAlignment="1">
      <alignment horizontal="right" vertical="center"/>
    </xf>
    <xf numFmtId="0" fontId="0" fillId="0" borderId="305" xfId="0" applyBorder="1" applyAlignment="1">
      <alignment horizontal="center" vertical="center"/>
    </xf>
    <xf numFmtId="4" fontId="11" fillId="1" borderId="279" xfId="0" applyNumberFormat="1" applyFont="1" applyFill="1" applyBorder="1" applyAlignment="1">
      <alignment horizontal="right" vertical="center"/>
    </xf>
    <xf numFmtId="0" fontId="26" fillId="0" borderId="284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right" vertical="center"/>
    </xf>
    <xf numFmtId="0" fontId="0" fillId="0" borderId="306" xfId="0" applyBorder="1" applyAlignment="1">
      <alignment/>
    </xf>
    <xf numFmtId="4" fontId="0" fillId="0" borderId="24" xfId="0" applyNumberForma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0" fontId="0" fillId="0" borderId="307" xfId="0" applyBorder="1" applyAlignment="1">
      <alignment horizontal="center" vertical="center"/>
    </xf>
    <xf numFmtId="0" fontId="0" fillId="0" borderId="308" xfId="0" applyBorder="1" applyAlignment="1">
      <alignment horizontal="center" vertical="center"/>
    </xf>
    <xf numFmtId="0" fontId="0" fillId="0" borderId="18" xfId="0" applyBorder="1" applyAlignment="1">
      <alignment/>
    </xf>
    <xf numFmtId="4" fontId="0" fillId="0" borderId="25" xfId="0" applyNumberFormat="1" applyBorder="1" applyAlignment="1">
      <alignment horizontal="right" vertical="center"/>
    </xf>
    <xf numFmtId="0" fontId="0" fillId="0" borderId="17" xfId="0" applyBorder="1" applyAlignment="1">
      <alignment/>
    </xf>
    <xf numFmtId="4" fontId="0" fillId="0" borderId="259" xfId="0" applyNumberFormat="1" applyBorder="1" applyAlignment="1">
      <alignment horizontal="right" vertical="center"/>
    </xf>
    <xf numFmtId="0" fontId="5" fillId="1" borderId="309" xfId="0" applyFont="1" applyFill="1" applyBorder="1" applyAlignment="1">
      <alignment horizontal="center" vertical="center" wrapText="1"/>
    </xf>
    <xf numFmtId="0" fontId="1" fillId="1" borderId="279" xfId="0" applyFont="1" applyFill="1" applyBorder="1" applyAlignment="1">
      <alignment horizontal="center" vertical="center"/>
    </xf>
    <xf numFmtId="4" fontId="10" fillId="1" borderId="310" xfId="0" applyNumberFormat="1" applyFont="1" applyFill="1" applyBorder="1" applyAlignment="1">
      <alignment horizontal="right" vertical="center"/>
    </xf>
    <xf numFmtId="4" fontId="10" fillId="1" borderId="311" xfId="0" applyNumberFormat="1" applyFont="1" applyFill="1" applyBorder="1" applyAlignment="1">
      <alignment horizontal="right" vertical="center"/>
    </xf>
    <xf numFmtId="4" fontId="10" fillId="1" borderId="312" xfId="0" applyNumberFormat="1" applyFont="1" applyFill="1" applyBorder="1" applyAlignment="1">
      <alignment horizontal="right" vertical="center"/>
    </xf>
    <xf numFmtId="4" fontId="12" fillId="1" borderId="312" xfId="0" applyNumberFormat="1" applyFont="1" applyFill="1" applyBorder="1" applyAlignment="1">
      <alignment horizontal="right" vertical="center"/>
    </xf>
    <xf numFmtId="4" fontId="12" fillId="1" borderId="313" xfId="0" applyNumberFormat="1" applyFont="1" applyFill="1" applyBorder="1" applyAlignment="1">
      <alignment horizontal="right" vertical="center"/>
    </xf>
    <xf numFmtId="4" fontId="11" fillId="1" borderId="314" xfId="0" applyNumberFormat="1" applyFont="1" applyFill="1" applyBorder="1" applyAlignment="1">
      <alignment horizontal="right" vertical="center"/>
    </xf>
    <xf numFmtId="4" fontId="0" fillId="1" borderId="315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3" fontId="5" fillId="0" borderId="265" xfId="0" applyNumberFormat="1" applyFont="1" applyBorder="1" applyAlignment="1">
      <alignment horizontal="right" vertical="center"/>
    </xf>
    <xf numFmtId="3" fontId="11" fillId="0" borderId="316" xfId="0" applyNumberFormat="1" applyFont="1" applyBorder="1" applyAlignment="1">
      <alignment horizontal="right" vertical="center"/>
    </xf>
    <xf numFmtId="3" fontId="11" fillId="0" borderId="317" xfId="0" applyNumberFormat="1" applyFont="1" applyBorder="1" applyAlignment="1">
      <alignment horizontal="right" vertical="center"/>
    </xf>
    <xf numFmtId="3" fontId="11" fillId="0" borderId="318" xfId="0" applyNumberFormat="1" applyFont="1" applyBorder="1" applyAlignment="1">
      <alignment horizontal="right" vertical="center"/>
    </xf>
    <xf numFmtId="3" fontId="11" fillId="0" borderId="319" xfId="0" applyNumberFormat="1" applyFont="1" applyBorder="1" applyAlignment="1">
      <alignment horizontal="right" vertical="center"/>
    </xf>
    <xf numFmtId="3" fontId="11" fillId="0" borderId="275" xfId="0" applyNumberFormat="1" applyFont="1" applyBorder="1" applyAlignment="1">
      <alignment horizontal="right" vertical="center"/>
    </xf>
    <xf numFmtId="3" fontId="11" fillId="0" borderId="320" xfId="0" applyNumberFormat="1" applyFont="1" applyBorder="1" applyAlignment="1">
      <alignment horizontal="right" vertical="center"/>
    </xf>
    <xf numFmtId="3" fontId="11" fillId="0" borderId="205" xfId="0" applyNumberFormat="1" applyFont="1" applyBorder="1" applyAlignment="1">
      <alignment horizontal="right" vertical="center"/>
    </xf>
    <xf numFmtId="3" fontId="11" fillId="0" borderId="206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321" xfId="0" applyNumberFormat="1" applyFont="1" applyBorder="1" applyAlignment="1">
      <alignment horizontal="right" vertical="center"/>
    </xf>
    <xf numFmtId="3" fontId="11" fillId="0" borderId="322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0" fontId="0" fillId="0" borderId="323" xfId="0" applyBorder="1" applyAlignment="1">
      <alignment horizontal="center" vertical="center"/>
    </xf>
    <xf numFmtId="3" fontId="5" fillId="0" borderId="324" xfId="0" applyNumberFormat="1" applyFont="1" applyBorder="1" applyAlignment="1">
      <alignment horizontal="right" vertical="center"/>
    </xf>
    <xf numFmtId="3" fontId="11" fillId="0" borderId="325" xfId="0" applyNumberFormat="1" applyFont="1" applyBorder="1" applyAlignment="1">
      <alignment horizontal="right" vertical="center"/>
    </xf>
    <xf numFmtId="3" fontId="11" fillId="0" borderId="326" xfId="0" applyNumberFormat="1" applyFont="1" applyBorder="1" applyAlignment="1">
      <alignment horizontal="right" vertical="center"/>
    </xf>
    <xf numFmtId="3" fontId="11" fillId="0" borderId="327" xfId="0" applyNumberFormat="1" applyFont="1" applyBorder="1" applyAlignment="1">
      <alignment horizontal="right" vertical="center"/>
    </xf>
    <xf numFmtId="3" fontId="11" fillId="0" borderId="328" xfId="0" applyNumberFormat="1" applyFont="1" applyBorder="1" applyAlignment="1">
      <alignment horizontal="right" vertical="center"/>
    </xf>
    <xf numFmtId="3" fontId="11" fillId="0" borderId="329" xfId="0" applyNumberFormat="1" applyFont="1" applyBorder="1" applyAlignment="1">
      <alignment horizontal="right" vertical="center"/>
    </xf>
    <xf numFmtId="3" fontId="11" fillId="0" borderId="330" xfId="0" applyNumberFormat="1" applyFont="1" applyBorder="1" applyAlignment="1">
      <alignment horizontal="right" vertical="center"/>
    </xf>
    <xf numFmtId="3" fontId="11" fillId="0" borderId="331" xfId="0" applyNumberFormat="1" applyFont="1" applyBorder="1" applyAlignment="1">
      <alignment horizontal="right" vertical="center"/>
    </xf>
    <xf numFmtId="3" fontId="11" fillId="0" borderId="332" xfId="0" applyNumberFormat="1" applyFont="1" applyBorder="1" applyAlignment="1">
      <alignment horizontal="right" vertical="center"/>
    </xf>
    <xf numFmtId="3" fontId="11" fillId="0" borderId="333" xfId="0" applyNumberFormat="1" applyFont="1" applyBorder="1" applyAlignment="1">
      <alignment horizontal="right" vertical="center"/>
    </xf>
    <xf numFmtId="3" fontId="11" fillId="0" borderId="334" xfId="0" applyNumberFormat="1" applyFont="1" applyBorder="1" applyAlignment="1">
      <alignment horizontal="right" vertical="center"/>
    </xf>
    <xf numFmtId="3" fontId="11" fillId="0" borderId="335" xfId="0" applyNumberFormat="1" applyFont="1" applyBorder="1" applyAlignment="1">
      <alignment horizontal="right" vertical="center"/>
    </xf>
    <xf numFmtId="3" fontId="11" fillId="0" borderId="336" xfId="0" applyNumberFormat="1" applyFont="1" applyBorder="1" applyAlignment="1">
      <alignment horizontal="right" vertical="center"/>
    </xf>
    <xf numFmtId="3" fontId="0" fillId="0" borderId="71" xfId="0" applyNumberFormat="1" applyBorder="1" applyAlignment="1">
      <alignment horizontal="right" vertical="center"/>
    </xf>
    <xf numFmtId="0" fontId="0" fillId="0" borderId="337" xfId="0" applyBorder="1" applyAlignment="1">
      <alignment horizontal="left" vertical="center"/>
    </xf>
    <xf numFmtId="0" fontId="0" fillId="0" borderId="103" xfId="0" applyBorder="1" applyAlignment="1">
      <alignment horizontal="right" vertical="center"/>
    </xf>
    <xf numFmtId="0" fontId="0" fillId="0" borderId="212" xfId="0" applyBorder="1" applyAlignment="1">
      <alignment horizontal="right" vertical="center"/>
    </xf>
    <xf numFmtId="0" fontId="0" fillId="0" borderId="338" xfId="0" applyBorder="1" applyAlignment="1">
      <alignment horizontal="left" vertical="center"/>
    </xf>
    <xf numFmtId="3" fontId="0" fillId="0" borderId="338" xfId="0" applyNumberFormat="1" applyBorder="1" applyAlignment="1">
      <alignment horizontal="right" vertical="center"/>
    </xf>
    <xf numFmtId="3" fontId="0" fillId="0" borderId="339" xfId="0" applyNumberFormat="1" applyBorder="1" applyAlignment="1">
      <alignment horizontal="right" vertical="center"/>
    </xf>
    <xf numFmtId="3" fontId="0" fillId="0" borderId="340" xfId="0" applyNumberFormat="1" applyBorder="1" applyAlignment="1">
      <alignment horizontal="right" vertical="center"/>
    </xf>
    <xf numFmtId="3" fontId="0" fillId="0" borderId="337" xfId="0" applyNumberFormat="1" applyBorder="1" applyAlignment="1">
      <alignment horizontal="right" vertical="center"/>
    </xf>
    <xf numFmtId="0" fontId="0" fillId="0" borderId="155" xfId="0" applyBorder="1" applyAlignment="1">
      <alignment horizontal="right" vertical="center"/>
    </xf>
    <xf numFmtId="3" fontId="0" fillId="0" borderId="341" xfId="0" applyNumberFormat="1" applyBorder="1" applyAlignment="1">
      <alignment horizontal="right" vertical="center"/>
    </xf>
    <xf numFmtId="0" fontId="0" fillId="0" borderId="342" xfId="0" applyBorder="1" applyAlignment="1">
      <alignment horizontal="center" vertical="center"/>
    </xf>
    <xf numFmtId="3" fontId="5" fillId="0" borderId="337" xfId="0" applyNumberFormat="1" applyFont="1" applyBorder="1" applyAlignment="1">
      <alignment horizontal="right" vertical="center"/>
    </xf>
    <xf numFmtId="3" fontId="11" fillId="0" borderId="343" xfId="0" applyNumberFormat="1" applyFont="1" applyBorder="1" applyAlignment="1">
      <alignment horizontal="right" vertical="center"/>
    </xf>
    <xf numFmtId="3" fontId="11" fillId="0" borderId="344" xfId="0" applyNumberFormat="1" applyFont="1" applyBorder="1" applyAlignment="1">
      <alignment horizontal="right" vertical="center"/>
    </xf>
    <xf numFmtId="3" fontId="11" fillId="0" borderId="345" xfId="0" applyNumberFormat="1" applyFont="1" applyBorder="1" applyAlignment="1">
      <alignment horizontal="right" vertical="center"/>
    </xf>
    <xf numFmtId="3" fontId="11" fillId="0" borderId="346" xfId="0" applyNumberFormat="1" applyFont="1" applyBorder="1" applyAlignment="1">
      <alignment horizontal="right" vertical="center"/>
    </xf>
    <xf numFmtId="3" fontId="11" fillId="0" borderId="347" xfId="0" applyNumberFormat="1" applyFont="1" applyBorder="1" applyAlignment="1">
      <alignment horizontal="right" vertical="center"/>
    </xf>
    <xf numFmtId="3" fontId="11" fillId="0" borderId="348" xfId="0" applyNumberFormat="1" applyFont="1" applyBorder="1" applyAlignment="1">
      <alignment horizontal="right" vertical="center"/>
    </xf>
    <xf numFmtId="3" fontId="11" fillId="0" borderId="349" xfId="0" applyNumberFormat="1" applyFont="1" applyBorder="1" applyAlignment="1">
      <alignment horizontal="right" vertical="center"/>
    </xf>
    <xf numFmtId="3" fontId="11" fillId="0" borderId="155" xfId="0" applyNumberFormat="1" applyFont="1" applyBorder="1" applyAlignment="1">
      <alignment horizontal="right" vertical="center"/>
    </xf>
    <xf numFmtId="3" fontId="11" fillId="0" borderId="350" xfId="0" applyNumberFormat="1" applyFont="1" applyBorder="1" applyAlignment="1">
      <alignment horizontal="right" vertical="center"/>
    </xf>
    <xf numFmtId="3" fontId="11" fillId="0" borderId="351" xfId="0" applyNumberFormat="1" applyFont="1" applyBorder="1" applyAlignment="1">
      <alignment horizontal="right" vertical="center"/>
    </xf>
    <xf numFmtId="3" fontId="11" fillId="0" borderId="352" xfId="0" applyNumberFormat="1" applyFont="1" applyBorder="1" applyAlignment="1">
      <alignment horizontal="right" vertical="center"/>
    </xf>
    <xf numFmtId="3" fontId="11" fillId="0" borderId="353" xfId="0" applyNumberFormat="1" applyFont="1" applyBorder="1" applyAlignment="1">
      <alignment horizontal="right" vertical="center"/>
    </xf>
    <xf numFmtId="0" fontId="22" fillId="0" borderId="57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/>
    </xf>
    <xf numFmtId="0" fontId="0" fillId="0" borderId="354" xfId="0" applyBorder="1" applyAlignment="1">
      <alignment horizontal="left" vertical="center"/>
    </xf>
    <xf numFmtId="3" fontId="0" fillId="0" borderId="61" xfId="0" applyNumberFormat="1" applyBorder="1" applyAlignment="1">
      <alignment horizontal="center" vertical="center"/>
    </xf>
    <xf numFmtId="0" fontId="0" fillId="0" borderId="355" xfId="0" applyBorder="1" applyAlignment="1">
      <alignment horizontal="left" vertical="center"/>
    </xf>
    <xf numFmtId="0" fontId="0" fillId="0" borderId="356" xfId="0" applyBorder="1" applyAlignment="1">
      <alignment horizontal="left" vertical="center"/>
    </xf>
    <xf numFmtId="3" fontId="0" fillId="0" borderId="357" xfId="0" applyNumberFormat="1" applyBorder="1" applyAlignment="1">
      <alignment horizontal="center" vertical="center"/>
    </xf>
    <xf numFmtId="0" fontId="0" fillId="0" borderId="358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276" xfId="0" applyBorder="1" applyAlignment="1">
      <alignment horizontal="center" vertical="center"/>
    </xf>
    <xf numFmtId="0" fontId="1" fillId="0" borderId="93" xfId="0" applyFont="1" applyBorder="1" applyAlignment="1">
      <alignment horizontal="left" vertical="center"/>
    </xf>
    <xf numFmtId="0" fontId="1" fillId="0" borderId="359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0" borderId="360" xfId="0" applyFont="1" applyBorder="1" applyAlignment="1">
      <alignment horizontal="center" vertical="center"/>
    </xf>
    <xf numFmtId="0" fontId="1" fillId="0" borderId="361" xfId="0" applyFont="1" applyBorder="1" applyAlignment="1">
      <alignment horizontal="center" vertical="center"/>
    </xf>
    <xf numFmtId="0" fontId="1" fillId="0" borderId="355" xfId="0" applyFont="1" applyBorder="1" applyAlignment="1">
      <alignment horizontal="left" vertical="center"/>
    </xf>
    <xf numFmtId="0" fontId="1" fillId="0" borderId="356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362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359" xfId="0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" fontId="0" fillId="0" borderId="357" xfId="0" applyNumberForma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363" xfId="0" applyBorder="1" applyAlignment="1">
      <alignment horizontal="center" vertical="center"/>
    </xf>
    <xf numFmtId="3" fontId="0" fillId="0" borderId="358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146" xfId="0" applyNumberFormat="1" applyBorder="1" applyAlignment="1">
      <alignment horizontal="center" vertical="center"/>
    </xf>
    <xf numFmtId="0" fontId="0" fillId="0" borderId="36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6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1" fillId="0" borderId="273" xfId="0" applyNumberFormat="1" applyFont="1" applyBorder="1" applyAlignment="1">
      <alignment horizontal="right" vertical="center"/>
    </xf>
    <xf numFmtId="4" fontId="11" fillId="0" borderId="274" xfId="0" applyNumberFormat="1" applyFont="1" applyBorder="1" applyAlignment="1">
      <alignment horizontal="right" vertical="center"/>
    </xf>
    <xf numFmtId="4" fontId="11" fillId="0" borderId="99" xfId="0" applyNumberFormat="1" applyFont="1" applyBorder="1" applyAlignment="1">
      <alignment horizontal="right" vertical="center"/>
    </xf>
    <xf numFmtId="4" fontId="11" fillId="0" borderId="100" xfId="0" applyNumberFormat="1" applyFont="1" applyBorder="1" applyAlignment="1">
      <alignment horizontal="right" vertical="center"/>
    </xf>
    <xf numFmtId="4" fontId="30" fillId="0" borderId="16" xfId="0" applyNumberFormat="1" applyFont="1" applyBorder="1" applyAlignment="1">
      <alignment horizontal="right" vertical="center"/>
    </xf>
    <xf numFmtId="4" fontId="30" fillId="0" borderId="365" xfId="0" applyNumberFormat="1" applyFont="1" applyBorder="1" applyAlignment="1">
      <alignment horizontal="right" vertical="center"/>
    </xf>
    <xf numFmtId="4" fontId="11" fillId="0" borderId="71" xfId="0" applyNumberFormat="1" applyFont="1" applyBorder="1" applyAlignment="1">
      <alignment horizontal="right" vertical="center"/>
    </xf>
    <xf numFmtId="4" fontId="11" fillId="0" borderId="67" xfId="0" applyNumberFormat="1" applyFont="1" applyBorder="1" applyAlignment="1">
      <alignment horizontal="right" vertical="center"/>
    </xf>
    <xf numFmtId="4" fontId="11" fillId="1" borderId="17" xfId="0" applyNumberFormat="1" applyFont="1" applyFill="1" applyBorder="1" applyAlignment="1">
      <alignment horizontal="right" vertical="center"/>
    </xf>
    <xf numFmtId="4" fontId="11" fillId="1" borderId="18" xfId="0" applyNumberFormat="1" applyFont="1" applyFill="1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4" fontId="11" fillId="0" borderId="365" xfId="0" applyNumberFormat="1" applyFont="1" applyBorder="1" applyAlignment="1">
      <alignment horizontal="right" vertical="center"/>
    </xf>
    <xf numFmtId="4" fontId="11" fillId="0" borderId="101" xfId="0" applyNumberFormat="1" applyFont="1" applyBorder="1" applyAlignment="1">
      <alignment horizontal="right" vertical="center"/>
    </xf>
    <xf numFmtId="0" fontId="0" fillId="0" borderId="102" xfId="0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165" xfId="0" applyFont="1" applyBorder="1" applyAlignment="1">
      <alignment horizontal="center" vertical="center"/>
    </xf>
    <xf numFmtId="0" fontId="1" fillId="0" borderId="366" xfId="0" applyFont="1" applyBorder="1" applyAlignment="1">
      <alignment horizontal="center" vertical="center"/>
    </xf>
    <xf numFmtId="0" fontId="1" fillId="0" borderId="167" xfId="0" applyFont="1" applyBorder="1" applyAlignment="1">
      <alignment horizontal="left" vertical="center"/>
    </xf>
    <xf numFmtId="0" fontId="1" fillId="0" borderId="36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0" fillId="0" borderId="368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69" xfId="0" applyFont="1" applyBorder="1" applyAlignment="1">
      <alignment horizontal="center" vertical="center"/>
    </xf>
    <xf numFmtId="0" fontId="1" fillId="0" borderId="370" xfId="0" applyFont="1" applyBorder="1" applyAlignment="1">
      <alignment horizontal="center" vertical="center"/>
    </xf>
    <xf numFmtId="0" fontId="1" fillId="0" borderId="358" xfId="0" applyFont="1" applyBorder="1" applyAlignment="1">
      <alignment horizontal="center" vertical="center"/>
    </xf>
    <xf numFmtId="0" fontId="1" fillId="0" borderId="14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146" xfId="0" applyNumberFormat="1" applyBorder="1" applyAlignment="1">
      <alignment horizontal="right" vertical="center"/>
    </xf>
    <xf numFmtId="0" fontId="0" fillId="0" borderId="36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6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3" fontId="0" fillId="0" borderId="74" xfId="0" applyNumberFormat="1" applyBorder="1" applyAlignment="1">
      <alignment horizontal="right" vertical="center"/>
    </xf>
    <xf numFmtId="0" fontId="0" fillId="0" borderId="368" xfId="0" applyBorder="1" applyAlignment="1">
      <alignment horizontal="right" vertical="center"/>
    </xf>
    <xf numFmtId="3" fontId="0" fillId="0" borderId="59" xfId="0" applyNumberFormat="1" applyBorder="1" applyAlignment="1">
      <alignment horizontal="center" vertical="center"/>
    </xf>
    <xf numFmtId="0" fontId="0" fillId="0" borderId="360" xfId="0" applyBorder="1" applyAlignment="1">
      <alignment horizontal="center" vertical="center"/>
    </xf>
    <xf numFmtId="3" fontId="0" fillId="0" borderId="358" xfId="0" applyNumberFormat="1" applyBorder="1" applyAlignment="1">
      <alignment horizontal="right" vertical="center"/>
    </xf>
    <xf numFmtId="0" fontId="0" fillId="0" borderId="118" xfId="0" applyBorder="1" applyAlignment="1">
      <alignment horizontal="right" vertical="center"/>
    </xf>
    <xf numFmtId="168" fontId="1" fillId="0" borderId="358" xfId="0" applyNumberFormat="1" applyFont="1" applyBorder="1" applyAlignment="1">
      <alignment horizontal="right" vertical="center"/>
    </xf>
    <xf numFmtId="3" fontId="0" fillId="0" borderId="55" xfId="0" applyNumberForma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37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/>
    </xf>
    <xf numFmtId="168" fontId="1" fillId="0" borderId="74" xfId="0" applyNumberFormat="1" applyFont="1" applyBorder="1" applyAlignment="1">
      <alignment horizontal="right" vertical="center"/>
    </xf>
    <xf numFmtId="0" fontId="1" fillId="0" borderId="10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Border="1" applyAlignment="1">
      <alignment wrapText="1"/>
    </xf>
    <xf numFmtId="168" fontId="1" fillId="0" borderId="372" xfId="0" applyNumberFormat="1" applyFont="1" applyBorder="1" applyAlignment="1">
      <alignment horizontal="left" vertical="center"/>
    </xf>
    <xf numFmtId="0" fontId="0" fillId="0" borderId="373" xfId="0" applyBorder="1" applyAlignment="1">
      <alignment horizontal="left" vertical="center"/>
    </xf>
    <xf numFmtId="168" fontId="1" fillId="0" borderId="374" xfId="0" applyNumberFormat="1" applyFont="1" applyBorder="1" applyAlignment="1">
      <alignment horizontal="right" vertical="center"/>
    </xf>
    <xf numFmtId="0" fontId="0" fillId="0" borderId="375" xfId="0" applyBorder="1" applyAlignment="1">
      <alignment horizontal="right" vertical="center"/>
    </xf>
    <xf numFmtId="0" fontId="0" fillId="0" borderId="376" xfId="0" applyBorder="1" applyAlignment="1">
      <alignment horizontal="left" vertical="center"/>
    </xf>
    <xf numFmtId="0" fontId="0" fillId="0" borderId="377" xfId="0" applyBorder="1" applyAlignment="1">
      <alignment horizontal="left" vertical="center"/>
    </xf>
    <xf numFmtId="0" fontId="0" fillId="0" borderId="378" xfId="0" applyBorder="1" applyAlignment="1">
      <alignment horizontal="left" vertical="center"/>
    </xf>
    <xf numFmtId="0" fontId="0" fillId="0" borderId="379" xfId="0" applyBorder="1" applyAlignment="1">
      <alignment horizontal="left" vertical="center"/>
    </xf>
    <xf numFmtId="0" fontId="22" fillId="0" borderId="146" xfId="0" applyFont="1" applyBorder="1" applyAlignment="1">
      <alignment horizontal="center" vertical="center" wrapText="1"/>
    </xf>
    <xf numFmtId="0" fontId="26" fillId="0" borderId="10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" fontId="1" fillId="0" borderId="106" xfId="0" applyNumberFormat="1" applyFont="1" applyBorder="1" applyAlignment="1">
      <alignment horizontal="right" vertical="center"/>
    </xf>
    <xf numFmtId="0" fontId="0" fillId="0" borderId="38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81" xfId="0" applyBorder="1" applyAlignment="1">
      <alignment horizontal="right" vertical="center"/>
    </xf>
    <xf numFmtId="0" fontId="0" fillId="0" borderId="296" xfId="0" applyBorder="1" applyAlignment="1">
      <alignment horizontal="right" vertical="center"/>
    </xf>
    <xf numFmtId="0" fontId="0" fillId="0" borderId="382" xfId="0" applyBorder="1" applyAlignment="1">
      <alignment horizontal="right" vertical="center"/>
    </xf>
    <xf numFmtId="168" fontId="1" fillId="0" borderId="106" xfId="0" applyNumberFormat="1" applyFont="1" applyBorder="1" applyAlignment="1">
      <alignment horizontal="right" vertical="center"/>
    </xf>
    <xf numFmtId="3" fontId="1" fillId="0" borderId="310" xfId="0" applyNumberFormat="1" applyFont="1" applyBorder="1" applyAlignment="1">
      <alignment horizontal="right" vertical="center"/>
    </xf>
    <xf numFmtId="3" fontId="1" fillId="0" borderId="383" xfId="0" applyNumberFormat="1" applyFont="1" applyBorder="1" applyAlignment="1">
      <alignment horizontal="right" vertical="center"/>
    </xf>
    <xf numFmtId="3" fontId="1" fillId="0" borderId="384" xfId="0" applyNumberFormat="1" applyFont="1" applyBorder="1" applyAlignment="1">
      <alignment horizontal="right" vertical="center"/>
    </xf>
    <xf numFmtId="0" fontId="1" fillId="0" borderId="385" xfId="0" applyFont="1" applyBorder="1" applyAlignment="1">
      <alignment horizontal="center" vertical="center"/>
    </xf>
    <xf numFmtId="0" fontId="1" fillId="0" borderId="386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9" xfId="0" applyFont="1" applyBorder="1" applyAlignment="1">
      <alignment horizontal="center" vertical="center" wrapText="1"/>
    </xf>
    <xf numFmtId="3" fontId="0" fillId="0" borderId="71" xfId="0" applyNumberForma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387" xfId="0" applyBorder="1" applyAlignment="1">
      <alignment horizontal="right" vertical="center"/>
    </xf>
    <xf numFmtId="3" fontId="0" fillId="0" borderId="103" xfId="0" applyNumberFormat="1" applyBorder="1" applyAlignment="1">
      <alignment horizontal="right" vertical="center"/>
    </xf>
    <xf numFmtId="3" fontId="1" fillId="0" borderId="388" xfId="0" applyNumberFormat="1" applyFont="1" applyBorder="1" applyAlignment="1">
      <alignment horizontal="right" vertical="center"/>
    </xf>
    <xf numFmtId="3" fontId="1" fillId="0" borderId="225" xfId="0" applyNumberFormat="1" applyFont="1" applyBorder="1" applyAlignment="1">
      <alignment horizontal="right" vertical="center"/>
    </xf>
    <xf numFmtId="0" fontId="0" fillId="0" borderId="149" xfId="0" applyBorder="1" applyAlignment="1">
      <alignment horizontal="center" vertical="center"/>
    </xf>
    <xf numFmtId="0" fontId="0" fillId="0" borderId="389" xfId="0" applyBorder="1" applyAlignment="1">
      <alignment horizontal="center" vertical="center"/>
    </xf>
    <xf numFmtId="0" fontId="0" fillId="0" borderId="352" xfId="0" applyBorder="1" applyAlignment="1">
      <alignment horizontal="left" vertical="center"/>
    </xf>
    <xf numFmtId="0" fontId="0" fillId="0" borderId="156" xfId="0" applyBorder="1" applyAlignment="1">
      <alignment horizontal="left" vertical="center"/>
    </xf>
    <xf numFmtId="0" fontId="0" fillId="0" borderId="390" xfId="0" applyBorder="1" applyAlignment="1">
      <alignment horizontal="left" vertical="center"/>
    </xf>
    <xf numFmtId="0" fontId="0" fillId="0" borderId="391" xfId="0" applyBorder="1" applyAlignment="1">
      <alignment horizontal="left" vertical="center"/>
    </xf>
    <xf numFmtId="0" fontId="0" fillId="0" borderId="177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1" fillId="0" borderId="392" xfId="0" applyNumberFormat="1" applyFont="1" applyBorder="1" applyAlignment="1">
      <alignment horizontal="right" vertical="center"/>
    </xf>
    <xf numFmtId="3" fontId="1" fillId="0" borderId="111" xfId="0" applyNumberFormat="1" applyFont="1" applyBorder="1" applyAlignment="1">
      <alignment horizontal="right" vertical="center"/>
    </xf>
    <xf numFmtId="0" fontId="0" fillId="0" borderId="173" xfId="0" applyBorder="1" applyAlignment="1">
      <alignment horizontal="left" vertical="center"/>
    </xf>
    <xf numFmtId="0" fontId="0" fillId="0" borderId="157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393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150" xfId="0" applyBorder="1" applyAlignment="1">
      <alignment horizontal="left" vertical="center"/>
    </xf>
    <xf numFmtId="3" fontId="0" fillId="0" borderId="393" xfId="0" applyNumberFormat="1" applyBorder="1" applyAlignment="1">
      <alignment horizontal="right" vertical="center"/>
    </xf>
    <xf numFmtId="3" fontId="0" fillId="0" borderId="394" xfId="0" applyNumberFormat="1" applyBorder="1" applyAlignment="1">
      <alignment horizontal="right" vertical="center"/>
    </xf>
    <xf numFmtId="0" fontId="0" fillId="0" borderId="265" xfId="0" applyBorder="1" applyAlignment="1">
      <alignment horizontal="left" vertical="center"/>
    </xf>
    <xf numFmtId="0" fontId="0" fillId="0" borderId="206" xfId="0" applyBorder="1" applyAlignment="1">
      <alignment horizontal="left" vertical="center"/>
    </xf>
    <xf numFmtId="0" fontId="0" fillId="0" borderId="395" xfId="0" applyBorder="1" applyAlignment="1">
      <alignment horizontal="left" vertical="center"/>
    </xf>
    <xf numFmtId="3" fontId="0" fillId="0" borderId="396" xfId="0" applyNumberFormat="1" applyBorder="1" applyAlignment="1">
      <alignment horizontal="right" vertical="center"/>
    </xf>
    <xf numFmtId="3" fontId="0" fillId="0" borderId="96" xfId="0" applyNumberFormat="1" applyBorder="1" applyAlignment="1">
      <alignment horizontal="right" vertical="center"/>
    </xf>
    <xf numFmtId="3" fontId="0" fillId="0" borderId="173" xfId="0" applyNumberFormat="1" applyBorder="1" applyAlignment="1">
      <alignment horizontal="right" vertical="center"/>
    </xf>
    <xf numFmtId="3" fontId="0" fillId="0" borderId="157" xfId="0" applyNumberFormat="1" applyBorder="1" applyAlignment="1">
      <alignment horizontal="right" vertical="center"/>
    </xf>
    <xf numFmtId="3" fontId="1" fillId="0" borderId="397" xfId="0" applyNumberFormat="1" applyFont="1" applyBorder="1" applyAlignment="1">
      <alignment horizontal="right" vertical="center"/>
    </xf>
    <xf numFmtId="3" fontId="0" fillId="0" borderId="212" xfId="0" applyNumberForma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398" xfId="0" applyBorder="1" applyAlignment="1">
      <alignment horizontal="left" vertical="center"/>
    </xf>
    <xf numFmtId="0" fontId="0" fillId="0" borderId="152" xfId="0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40" xfId="0" applyNumberFormat="1" applyBorder="1" applyAlignment="1">
      <alignment horizontal="right" vertical="center"/>
    </xf>
    <xf numFmtId="3" fontId="0" fillId="0" borderId="360" xfId="0" applyNumberFormat="1" applyBorder="1" applyAlignment="1">
      <alignment horizontal="right" vertical="center"/>
    </xf>
    <xf numFmtId="3" fontId="0" fillId="0" borderId="399" xfId="0" applyNumberFormat="1" applyBorder="1" applyAlignment="1">
      <alignment horizontal="right" vertical="center"/>
    </xf>
    <xf numFmtId="3" fontId="0" fillId="0" borderId="219" xfId="0" applyNumberFormat="1" applyBorder="1" applyAlignment="1">
      <alignment horizontal="right" vertical="center"/>
    </xf>
    <xf numFmtId="3" fontId="0" fillId="0" borderId="218" xfId="0" applyNumberFormat="1" applyBorder="1" applyAlignment="1">
      <alignment horizontal="right" vertical="center"/>
    </xf>
    <xf numFmtId="3" fontId="0" fillId="0" borderId="400" xfId="0" applyNumberFormat="1" applyBorder="1" applyAlignment="1">
      <alignment horizontal="right" vertical="center"/>
    </xf>
    <xf numFmtId="3" fontId="0" fillId="0" borderId="401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3" fontId="0" fillId="0" borderId="117" xfId="0" applyNumberFormat="1" applyBorder="1" applyAlignment="1">
      <alignment horizontal="right" vertical="center"/>
    </xf>
    <xf numFmtId="3" fontId="0" fillId="0" borderId="118" xfId="0" applyNumberFormat="1" applyBorder="1" applyAlignment="1">
      <alignment horizontal="right" vertical="center"/>
    </xf>
    <xf numFmtId="0" fontId="35" fillId="0" borderId="402" xfId="0" applyFont="1" applyBorder="1" applyAlignment="1">
      <alignment horizontal="center" vertical="center" wrapText="1"/>
    </xf>
    <xf numFmtId="0" fontId="0" fillId="0" borderId="403" xfId="0" applyBorder="1" applyAlignment="1">
      <alignment horizontal="center" vertical="center" wrapText="1"/>
    </xf>
    <xf numFmtId="0" fontId="0" fillId="0" borderId="404" xfId="0" applyBorder="1" applyAlignment="1">
      <alignment horizontal="center" vertical="center"/>
    </xf>
    <xf numFmtId="0" fontId="0" fillId="0" borderId="305" xfId="0" applyBorder="1" applyAlignment="1">
      <alignment horizontal="center" vertical="center"/>
    </xf>
    <xf numFmtId="0" fontId="0" fillId="0" borderId="402" xfId="0" applyBorder="1" applyAlignment="1">
      <alignment horizontal="left" vertical="center"/>
    </xf>
    <xf numFmtId="0" fontId="0" fillId="0" borderId="403" xfId="0" applyBorder="1" applyAlignment="1">
      <alignment horizontal="left" vertical="center"/>
    </xf>
    <xf numFmtId="3" fontId="0" fillId="0" borderId="403" xfId="0" applyNumberFormat="1" applyBorder="1" applyAlignment="1">
      <alignment horizontal="right" vertical="center"/>
    </xf>
    <xf numFmtId="3" fontId="0" fillId="0" borderId="405" xfId="0" applyNumberFormat="1" applyBorder="1" applyAlignment="1">
      <alignment horizontal="right" vertical="center"/>
    </xf>
    <xf numFmtId="3" fontId="0" fillId="0" borderId="89" xfId="0" applyNumberFormat="1" applyBorder="1" applyAlignment="1">
      <alignment horizontal="right" vertical="center"/>
    </xf>
    <xf numFmtId="3" fontId="0" fillId="0" borderId="402" xfId="0" applyNumberFormat="1" applyBorder="1" applyAlignment="1">
      <alignment horizontal="right" vertical="center"/>
    </xf>
    <xf numFmtId="0" fontId="0" fillId="0" borderId="337" xfId="0" applyBorder="1" applyAlignment="1">
      <alignment horizontal="left" vertical="center"/>
    </xf>
    <xf numFmtId="3" fontId="0" fillId="0" borderId="128" xfId="0" applyNumberFormat="1" applyBorder="1" applyAlignment="1">
      <alignment horizontal="right" vertical="center"/>
    </xf>
    <xf numFmtId="3" fontId="0" fillId="0" borderId="116" xfId="0" applyNumberFormat="1" applyBorder="1" applyAlignment="1">
      <alignment horizontal="right" vertical="center"/>
    </xf>
    <xf numFmtId="3" fontId="1" fillId="0" borderId="124" xfId="0" applyNumberFormat="1" applyFont="1" applyBorder="1" applyAlignment="1">
      <alignment horizontal="right" vertical="center"/>
    </xf>
    <xf numFmtId="3" fontId="1" fillId="0" borderId="125" xfId="0" applyNumberFormat="1" applyFont="1" applyBorder="1" applyAlignment="1">
      <alignment horizontal="right" vertical="center"/>
    </xf>
    <xf numFmtId="3" fontId="1" fillId="0" borderId="98" xfId="0" applyNumberFormat="1" applyFont="1" applyBorder="1" applyAlignment="1">
      <alignment horizontal="right" vertical="center"/>
    </xf>
    <xf numFmtId="3" fontId="0" fillId="0" borderId="406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9" xfId="0" applyFont="1" applyBorder="1" applyAlignment="1">
      <alignment horizontal="left" vertical="center"/>
    </xf>
    <xf numFmtId="0" fontId="1" fillId="0" borderId="94" xfId="0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1" fillId="0" borderId="359" xfId="0" applyFont="1" applyBorder="1" applyAlignment="1">
      <alignment horizontal="center" vertical="center"/>
    </xf>
    <xf numFmtId="0" fontId="0" fillId="0" borderId="2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36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60" xfId="0" applyFont="1" applyBorder="1" applyAlignment="1">
      <alignment horizontal="center" vertical="center"/>
    </xf>
    <xf numFmtId="0" fontId="0" fillId="0" borderId="36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left" vertical="center"/>
    </xf>
    <xf numFmtId="0" fontId="0" fillId="0" borderId="359" xfId="0" applyFont="1" applyBorder="1" applyAlignment="1">
      <alignment horizontal="left" vertical="center"/>
    </xf>
    <xf numFmtId="0" fontId="26" fillId="0" borderId="355" xfId="0" applyFont="1" applyBorder="1" applyAlignment="1">
      <alignment horizontal="left" vertical="center"/>
    </xf>
    <xf numFmtId="0" fontId="26" fillId="0" borderId="356" xfId="0" applyFont="1" applyBorder="1" applyAlignment="1">
      <alignment horizontal="left" vertical="center"/>
    </xf>
    <xf numFmtId="0" fontId="22" fillId="0" borderId="167" xfId="0" applyFont="1" applyBorder="1" applyAlignment="1">
      <alignment horizontal="left" vertical="center"/>
    </xf>
    <xf numFmtId="0" fontId="22" fillId="0" borderId="367" xfId="0" applyFont="1" applyBorder="1" applyAlignment="1">
      <alignment horizontal="left" vertical="center"/>
    </xf>
    <xf numFmtId="0" fontId="35" fillId="0" borderId="146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0" fillId="0" borderId="396" xfId="0" applyFont="1" applyBorder="1" applyAlignment="1">
      <alignment horizontal="left" vertical="center"/>
    </xf>
    <xf numFmtId="0" fontId="0" fillId="0" borderId="168" xfId="0" applyFont="1" applyBorder="1" applyAlignment="1">
      <alignment horizontal="left" vertical="center"/>
    </xf>
    <xf numFmtId="0" fontId="0" fillId="0" borderId="167" xfId="0" applyFont="1" applyBorder="1" applyAlignment="1">
      <alignment horizontal="left" vertical="center"/>
    </xf>
    <xf numFmtId="0" fontId="0" fillId="0" borderId="367" xfId="0" applyFont="1" applyBorder="1" applyAlignment="1">
      <alignment horizontal="left" vertical="center"/>
    </xf>
    <xf numFmtId="0" fontId="0" fillId="0" borderId="407" xfId="0" applyBorder="1" applyAlignment="1">
      <alignment horizontal="center" vertical="center"/>
    </xf>
    <xf numFmtId="0" fontId="27" fillId="0" borderId="1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1" fillId="0" borderId="396" xfId="0" applyFont="1" applyBorder="1" applyAlignment="1">
      <alignment horizontal="left" vertical="center"/>
    </xf>
    <xf numFmtId="0" fontId="1" fillId="0" borderId="168" xfId="0" applyFont="1" applyBorder="1" applyAlignment="1">
      <alignment horizontal="left" vertical="center"/>
    </xf>
    <xf numFmtId="0" fontId="0" fillId="0" borderId="399" xfId="0" applyBorder="1" applyAlignment="1">
      <alignment horizontal="center" vertical="center"/>
    </xf>
    <xf numFmtId="0" fontId="0" fillId="0" borderId="401" xfId="0" applyBorder="1" applyAlignment="1">
      <alignment horizontal="center" vertical="center"/>
    </xf>
    <xf numFmtId="0" fontId="0" fillId="0" borderId="219" xfId="0" applyBorder="1" applyAlignment="1">
      <alignment horizontal="center" vertical="center"/>
    </xf>
    <xf numFmtId="0" fontId="0" fillId="0" borderId="408" xfId="0" applyBorder="1" applyAlignment="1">
      <alignment horizontal="center" vertical="center"/>
    </xf>
    <xf numFmtId="0" fontId="0" fillId="0" borderId="409" xfId="0" applyBorder="1" applyAlignment="1">
      <alignment horizontal="center" vertical="center"/>
    </xf>
    <xf numFmtId="3" fontId="0" fillId="0" borderId="113" xfId="0" applyNumberFormat="1" applyBorder="1" applyAlignment="1">
      <alignment horizontal="right" vertical="center"/>
    </xf>
    <xf numFmtId="3" fontId="0" fillId="0" borderId="410" xfId="0" applyNumberFormat="1" applyBorder="1" applyAlignment="1">
      <alignment horizontal="right" vertical="center"/>
    </xf>
    <xf numFmtId="3" fontId="0" fillId="0" borderId="114" xfId="0" applyNumberFormat="1" applyBorder="1" applyAlignment="1">
      <alignment horizontal="right" vertical="center"/>
    </xf>
    <xf numFmtId="3" fontId="0" fillId="0" borderId="332" xfId="0" applyNumberFormat="1" applyBorder="1" applyAlignment="1">
      <alignment horizontal="right" vertical="center"/>
    </xf>
    <xf numFmtId="3" fontId="1" fillId="0" borderId="112" xfId="0" applyNumberFormat="1" applyFont="1" applyBorder="1" applyAlignment="1">
      <alignment horizontal="right" vertical="center"/>
    </xf>
    <xf numFmtId="0" fontId="0" fillId="0" borderId="128" xfId="0" applyBorder="1" applyAlignment="1">
      <alignment horizontal="left" vertical="center"/>
    </xf>
    <xf numFmtId="3" fontId="0" fillId="0" borderId="93" xfId="0" applyNumberFormat="1" applyBorder="1" applyAlignment="1">
      <alignment horizontal="right" vertical="center"/>
    </xf>
    <xf numFmtId="3" fontId="0" fillId="0" borderId="411" xfId="0" applyNumberFormat="1" applyBorder="1" applyAlignment="1">
      <alignment horizontal="right" vertical="center"/>
    </xf>
    <xf numFmtId="3" fontId="0" fillId="0" borderId="106" xfId="0" applyNumberFormat="1" applyBorder="1" applyAlignment="1">
      <alignment horizontal="right" vertical="center"/>
    </xf>
    <xf numFmtId="3" fontId="0" fillId="0" borderId="144" xfId="0" applyNumberFormat="1" applyBorder="1" applyAlignment="1">
      <alignment horizontal="right" vertical="center"/>
    </xf>
    <xf numFmtId="3" fontId="0" fillId="0" borderId="364" xfId="0" applyNumberFormat="1" applyBorder="1" applyAlignment="1">
      <alignment horizontal="right" vertical="center"/>
    </xf>
    <xf numFmtId="3" fontId="1" fillId="0" borderId="412" xfId="0" applyNumberFormat="1" applyFont="1" applyBorder="1" applyAlignment="1">
      <alignment horizontal="right" vertical="center"/>
    </xf>
    <xf numFmtId="0" fontId="0" fillId="0" borderId="411" xfId="0" applyBorder="1" applyAlignment="1">
      <alignment horizontal="left" vertical="center"/>
    </xf>
    <xf numFmtId="0" fontId="0" fillId="0" borderId="153" xfId="0" applyBorder="1" applyAlignment="1">
      <alignment horizontal="left" vertical="center"/>
    </xf>
    <xf numFmtId="0" fontId="0" fillId="0" borderId="264" xfId="0" applyBorder="1" applyAlignment="1">
      <alignment horizontal="left" vertical="center"/>
    </xf>
    <xf numFmtId="0" fontId="0" fillId="0" borderId="116" xfId="0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54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354" xfId="0" applyFont="1" applyBorder="1" applyAlignment="1">
      <alignment horizontal="left" vertical="center"/>
    </xf>
    <xf numFmtId="0" fontId="0" fillId="0" borderId="134" xfId="0" applyBorder="1" applyAlignment="1">
      <alignment horizontal="center" vertical="center"/>
    </xf>
    <xf numFmtId="0" fontId="0" fillId="0" borderId="413" xfId="0" applyBorder="1" applyAlignment="1">
      <alignment horizontal="center" vertical="center"/>
    </xf>
    <xf numFmtId="0" fontId="35" fillId="0" borderId="393" xfId="0" applyFont="1" applyBorder="1" applyAlignment="1">
      <alignment horizontal="center" vertical="center" wrapText="1"/>
    </xf>
    <xf numFmtId="0" fontId="35" fillId="0" borderId="150" xfId="0" applyFont="1" applyBorder="1" applyAlignment="1">
      <alignment horizontal="center" vertical="center" wrapText="1"/>
    </xf>
    <xf numFmtId="0" fontId="35" fillId="0" borderId="263" xfId="0" applyFont="1" applyBorder="1" applyAlignment="1">
      <alignment horizontal="center" vertical="center" wrapText="1"/>
    </xf>
    <xf numFmtId="0" fontId="35" fillId="0" borderId="120" xfId="0" applyFont="1" applyBorder="1" applyAlignment="1">
      <alignment horizontal="center" vertical="center" wrapText="1"/>
    </xf>
    <xf numFmtId="0" fontId="0" fillId="0" borderId="414" xfId="0" applyBorder="1" applyAlignment="1">
      <alignment horizontal="center" vertical="center" wrapText="1"/>
    </xf>
    <xf numFmtId="0" fontId="0" fillId="0" borderId="415" xfId="0" applyBorder="1" applyAlignment="1">
      <alignment horizontal="center" vertical="center" wrapText="1"/>
    </xf>
    <xf numFmtId="3" fontId="0" fillId="0" borderId="129" xfId="0" applyNumberFormat="1" applyBorder="1" applyAlignment="1">
      <alignment horizontal="right" vertical="center"/>
    </xf>
    <xf numFmtId="3" fontId="0" fillId="0" borderId="355" xfId="0" applyNumberFormat="1" applyBorder="1" applyAlignment="1">
      <alignment horizontal="right" vertical="center"/>
    </xf>
    <xf numFmtId="3" fontId="0" fillId="0" borderId="416" xfId="0" applyNumberFormat="1" applyBorder="1" applyAlignment="1">
      <alignment horizontal="right" vertical="center"/>
    </xf>
    <xf numFmtId="0" fontId="0" fillId="0" borderId="332" xfId="0" applyBorder="1" applyAlignment="1">
      <alignment horizontal="left" vertical="center"/>
    </xf>
    <xf numFmtId="0" fontId="10" fillId="0" borderId="417" xfId="0" applyFont="1" applyBorder="1" applyAlignment="1">
      <alignment horizontal="center" vertical="center" textRotation="90"/>
    </xf>
    <xf numFmtId="0" fontId="10" fillId="0" borderId="418" xfId="0" applyFont="1" applyBorder="1" applyAlignment="1">
      <alignment horizontal="center" vertical="center" textRotation="90"/>
    </xf>
    <xf numFmtId="0" fontId="10" fillId="0" borderId="419" xfId="0" applyFont="1" applyBorder="1" applyAlignment="1">
      <alignment horizontal="center" vertical="center" textRotation="90"/>
    </xf>
    <xf numFmtId="0" fontId="0" fillId="0" borderId="417" xfId="0" applyBorder="1" applyAlignment="1">
      <alignment horizontal="center" vertical="center"/>
    </xf>
    <xf numFmtId="0" fontId="0" fillId="0" borderId="419" xfId="0" applyBorder="1" applyAlignment="1">
      <alignment horizontal="center" vertical="center"/>
    </xf>
    <xf numFmtId="3" fontId="0" fillId="0" borderId="324" xfId="0" applyNumberFormat="1" applyBorder="1" applyAlignment="1">
      <alignment horizontal="right" vertical="center"/>
    </xf>
    <xf numFmtId="0" fontId="0" fillId="0" borderId="263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420" xfId="0" applyBorder="1" applyAlignment="1">
      <alignment horizontal="center" vertical="center" wrapText="1"/>
    </xf>
    <xf numFmtId="0" fontId="0" fillId="0" borderId="421" xfId="0" applyBorder="1" applyAlignment="1">
      <alignment horizontal="center" vertical="center" wrapText="1"/>
    </xf>
    <xf numFmtId="0" fontId="22" fillId="0" borderId="355" xfId="0" applyFont="1" applyBorder="1" applyAlignment="1">
      <alignment horizontal="left" vertical="center"/>
    </xf>
    <xf numFmtId="0" fontId="22" fillId="0" borderId="356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0" fillId="0" borderId="422" xfId="0" applyBorder="1" applyAlignment="1">
      <alignment horizontal="left" vertical="center"/>
    </xf>
    <xf numFmtId="0" fontId="0" fillId="0" borderId="423" xfId="0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left" vertical="center"/>
    </xf>
    <xf numFmtId="49" fontId="26" fillId="0" borderId="271" xfId="0" applyNumberFormat="1" applyFont="1" applyBorder="1" applyAlignment="1">
      <alignment horizontal="left" vertical="center"/>
    </xf>
    <xf numFmtId="0" fontId="26" fillId="0" borderId="27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8" xfId="0" applyBorder="1" applyAlignment="1">
      <alignment horizontal="center" vertical="center" wrapText="1"/>
    </xf>
    <xf numFmtId="0" fontId="0" fillId="0" borderId="266" xfId="0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0" fontId="0" fillId="0" borderId="416" xfId="0" applyBorder="1" applyAlignment="1">
      <alignment horizontal="left" vertical="center"/>
    </xf>
    <xf numFmtId="0" fontId="1" fillId="0" borderId="1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27" fillId="0" borderId="29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3" fontId="0" fillId="0" borderId="265" xfId="0" applyNumberFormat="1" applyBorder="1" applyAlignment="1">
      <alignment horizontal="right" vertical="center"/>
    </xf>
    <xf numFmtId="0" fontId="0" fillId="0" borderId="354" xfId="0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33" xfId="0" applyNumberFormat="1" applyFont="1" applyBorder="1" applyAlignment="1">
      <alignment horizontal="right" vertical="center"/>
    </xf>
    <xf numFmtId="4" fontId="11" fillId="0" borderId="86" xfId="0" applyNumberFormat="1" applyFont="1" applyBorder="1" applyAlignment="1">
      <alignment horizontal="right" vertical="center"/>
    </xf>
    <xf numFmtId="4" fontId="11" fillId="1" borderId="9" xfId="0" applyNumberFormat="1" applyFont="1" applyFill="1" applyBorder="1" applyAlignment="1">
      <alignment horizontal="right" vertical="center"/>
    </xf>
    <xf numFmtId="4" fontId="11" fillId="0" borderId="387" xfId="0" applyNumberFormat="1" applyFont="1" applyBorder="1" applyAlignment="1">
      <alignment horizontal="right" vertical="center"/>
    </xf>
    <xf numFmtId="4" fontId="11" fillId="0" borderId="102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50" xfId="0" applyBorder="1" applyAlignment="1">
      <alignment horizontal="center" vertical="center" wrapText="1"/>
    </xf>
    <xf numFmtId="0" fontId="26" fillId="0" borderId="424" xfId="0" applyFont="1" applyBorder="1" applyAlignment="1">
      <alignment horizontal="center" vertical="center" wrapText="1"/>
    </xf>
    <xf numFmtId="0" fontId="26" fillId="0" borderId="193" xfId="0" applyFont="1" applyBorder="1" applyAlignment="1">
      <alignment horizontal="center" vertical="center" wrapText="1"/>
    </xf>
    <xf numFmtId="0" fontId="26" fillId="0" borderId="366" xfId="0" applyFont="1" applyBorder="1" applyAlignment="1">
      <alignment horizontal="center" vertical="center" wrapText="1"/>
    </xf>
    <xf numFmtId="0" fontId="26" fillId="0" borderId="425" xfId="0" applyFont="1" applyBorder="1" applyAlignment="1">
      <alignment horizontal="center" vertical="center" wrapText="1"/>
    </xf>
    <xf numFmtId="0" fontId="26" fillId="0" borderId="426" xfId="0" applyFont="1" applyBorder="1" applyAlignment="1">
      <alignment horizontal="center" vertical="center" wrapText="1"/>
    </xf>
    <xf numFmtId="0" fontId="26" fillId="0" borderId="427" xfId="0" applyFont="1" applyBorder="1" applyAlignment="1">
      <alignment horizontal="center" vertical="center" wrapText="1"/>
    </xf>
    <xf numFmtId="0" fontId="26" fillId="0" borderId="428" xfId="0" applyFont="1" applyBorder="1" applyAlignment="1">
      <alignment horizontal="center" vertical="center" wrapText="1"/>
    </xf>
    <xf numFmtId="0" fontId="26" fillId="0" borderId="279" xfId="0" applyFont="1" applyBorder="1" applyAlignment="1">
      <alignment horizontal="center" vertical="center" wrapText="1"/>
    </xf>
    <xf numFmtId="0" fontId="26" fillId="0" borderId="281" xfId="0" applyFont="1" applyBorder="1" applyAlignment="1">
      <alignment horizontal="center" vertical="center" wrapText="1"/>
    </xf>
    <xf numFmtId="0" fontId="0" fillId="0" borderId="429" xfId="0" applyBorder="1" applyAlignment="1">
      <alignment horizontal="center" vertical="center" wrapText="1"/>
    </xf>
    <xf numFmtId="0" fontId="0" fillId="0" borderId="430" xfId="0" applyBorder="1" applyAlignment="1">
      <alignment/>
    </xf>
    <xf numFmtId="0" fontId="0" fillId="0" borderId="431" xfId="0" applyBorder="1" applyAlignment="1">
      <alignment horizontal="center" vertical="center" wrapText="1"/>
    </xf>
    <xf numFmtId="0" fontId="0" fillId="0" borderId="432" xfId="0" applyBorder="1" applyAlignment="1">
      <alignment/>
    </xf>
    <xf numFmtId="0" fontId="0" fillId="0" borderId="433" xfId="0" applyBorder="1" applyAlignment="1">
      <alignment horizontal="center" vertical="center" wrapText="1"/>
    </xf>
    <xf numFmtId="0" fontId="0" fillId="0" borderId="434" xfId="0" applyBorder="1" applyAlignment="1">
      <alignment/>
    </xf>
    <xf numFmtId="0" fontId="0" fillId="0" borderId="228" xfId="0" applyBorder="1" applyAlignment="1">
      <alignment horizontal="center" vertical="center" wrapText="1"/>
    </xf>
    <xf numFmtId="0" fontId="0" fillId="0" borderId="281" xfId="0" applyBorder="1" applyAlignment="1">
      <alignment/>
    </xf>
    <xf numFmtId="0" fontId="0" fillId="0" borderId="435" xfId="0" applyBorder="1" applyAlignment="1">
      <alignment horizontal="center" vertical="center" wrapText="1"/>
    </xf>
    <xf numFmtId="0" fontId="0" fillId="0" borderId="436" xfId="0" applyBorder="1" applyAlignment="1">
      <alignment/>
    </xf>
    <xf numFmtId="0" fontId="0" fillId="0" borderId="437" xfId="0" applyBorder="1" applyAlignment="1">
      <alignment horizontal="center" vertical="center" wrapText="1"/>
    </xf>
    <xf numFmtId="0" fontId="0" fillId="0" borderId="438" xfId="0" applyBorder="1" applyAlignment="1">
      <alignment horizontal="center" vertical="center" wrapText="1"/>
    </xf>
    <xf numFmtId="0" fontId="0" fillId="0" borderId="439" xfId="0" applyBorder="1" applyAlignment="1">
      <alignment horizontal="center" vertical="center" wrapText="1"/>
    </xf>
    <xf numFmtId="0" fontId="0" fillId="0" borderId="428" xfId="0" applyBorder="1" applyAlignment="1">
      <alignment horizontal="center" vertical="center" wrapText="1"/>
    </xf>
    <xf numFmtId="0" fontId="0" fillId="0" borderId="279" xfId="0" applyBorder="1" applyAlignment="1">
      <alignment horizontal="center" vertical="center" wrapText="1"/>
    </xf>
    <xf numFmtId="0" fontId="0" fillId="0" borderId="281" xfId="0" applyBorder="1" applyAlignment="1">
      <alignment horizontal="center" vertical="center" wrapText="1"/>
    </xf>
    <xf numFmtId="0" fontId="0" fillId="0" borderId="306" xfId="0" applyBorder="1" applyAlignment="1">
      <alignment horizontal="center" vertical="center" wrapText="1"/>
    </xf>
    <xf numFmtId="0" fontId="0" fillId="0" borderId="430" xfId="0" applyBorder="1" applyAlignment="1">
      <alignment horizontal="center" vertical="center" wrapText="1"/>
    </xf>
    <xf numFmtId="0" fontId="0" fillId="0" borderId="440" xfId="0" applyBorder="1" applyAlignment="1">
      <alignment horizontal="center" vertical="center" wrapText="1"/>
    </xf>
    <xf numFmtId="0" fontId="0" fillId="0" borderId="441" xfId="0" applyBorder="1" applyAlignment="1">
      <alignment horizontal="center" vertical="center" wrapText="1"/>
    </xf>
    <xf numFmtId="0" fontId="0" fillId="0" borderId="442" xfId="0" applyBorder="1" applyAlignment="1">
      <alignment horizontal="center" vertical="center" wrapText="1"/>
    </xf>
    <xf numFmtId="0" fontId="0" fillId="0" borderId="443" xfId="0" applyBorder="1" applyAlignment="1">
      <alignment horizontal="center" vertical="center" wrapText="1"/>
    </xf>
    <xf numFmtId="0" fontId="0" fillId="0" borderId="436" xfId="0" applyBorder="1" applyAlignment="1">
      <alignment horizontal="center" vertical="center" wrapText="1"/>
    </xf>
    <xf numFmtId="0" fontId="0" fillId="0" borderId="444" xfId="0" applyBorder="1" applyAlignment="1">
      <alignment horizontal="center" vertical="center" wrapText="1"/>
    </xf>
    <xf numFmtId="0" fontId="0" fillId="0" borderId="445" xfId="0" applyBorder="1" applyAlignment="1">
      <alignment horizontal="center" vertical="center" wrapText="1"/>
    </xf>
    <xf numFmtId="0" fontId="0" fillId="0" borderId="446" xfId="0" applyBorder="1" applyAlignment="1">
      <alignment horizontal="center" vertical="center" wrapText="1"/>
    </xf>
    <xf numFmtId="0" fontId="0" fillId="0" borderId="434" xfId="0" applyBorder="1" applyAlignment="1">
      <alignment horizontal="center" vertical="center" wrapText="1"/>
    </xf>
    <xf numFmtId="0" fontId="0" fillId="0" borderId="447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5" fillId="0" borderId="149" xfId="0" applyFont="1" applyBorder="1" applyAlignment="1">
      <alignment horizontal="center" vertical="center" wrapText="1"/>
    </xf>
    <xf numFmtId="0" fontId="5" fillId="0" borderId="305" xfId="0" applyFont="1" applyBorder="1" applyAlignment="1">
      <alignment horizontal="center" vertical="center" wrapText="1"/>
    </xf>
    <xf numFmtId="0" fontId="5" fillId="0" borderId="413" xfId="0" applyFont="1" applyBorder="1" applyAlignment="1">
      <alignment horizontal="center" vertical="center" wrapText="1"/>
    </xf>
    <xf numFmtId="0" fontId="0" fillId="0" borderId="265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448" xfId="0" applyBorder="1" applyAlignment="1">
      <alignment horizontal="center" vertical="center"/>
    </xf>
    <xf numFmtId="0" fontId="0" fillId="0" borderId="317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14" xfId="0" applyBorder="1" applyAlignment="1">
      <alignment horizontal="center" vertical="center" wrapText="1"/>
    </xf>
    <xf numFmtId="0" fontId="0" fillId="0" borderId="449" xfId="0" applyBorder="1" applyAlignment="1">
      <alignment horizontal="center" vertical="center" wrapText="1"/>
    </xf>
    <xf numFmtId="0" fontId="0" fillId="0" borderId="450" xfId="0" applyBorder="1" applyAlignment="1">
      <alignment horizontal="center" vertical="center" wrapText="1"/>
    </xf>
    <xf numFmtId="0" fontId="0" fillId="0" borderId="451" xfId="0" applyBorder="1" applyAlignment="1">
      <alignment horizontal="center" vertical="center" wrapText="1"/>
    </xf>
    <xf numFmtId="0" fontId="0" fillId="0" borderId="317" xfId="0" applyBorder="1" applyAlignment="1">
      <alignment horizontal="center" vertical="center" wrapText="1"/>
    </xf>
    <xf numFmtId="0" fontId="0" fillId="0" borderId="206" xfId="0" applyBorder="1" applyAlignment="1">
      <alignment horizontal="center" vertical="center" wrapText="1"/>
    </xf>
    <xf numFmtId="0" fontId="0" fillId="0" borderId="448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452" xfId="0" applyBorder="1" applyAlignment="1">
      <alignment horizontal="center" vertical="center"/>
    </xf>
    <xf numFmtId="0" fontId="0" fillId="0" borderId="453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454" xfId="0" applyBorder="1" applyAlignment="1">
      <alignment horizontal="center" vertical="center" wrapText="1"/>
    </xf>
    <xf numFmtId="0" fontId="0" fillId="0" borderId="455" xfId="0" applyBorder="1" applyAlignment="1">
      <alignment horizontal="center" vertical="center"/>
    </xf>
    <xf numFmtId="0" fontId="0" fillId="0" borderId="456" xfId="0" applyBorder="1" applyAlignment="1">
      <alignment horizontal="center" vertical="center"/>
    </xf>
    <xf numFmtId="0" fontId="0" fillId="0" borderId="457" xfId="0" applyBorder="1" applyAlignment="1">
      <alignment horizontal="center" vertical="center"/>
    </xf>
    <xf numFmtId="0" fontId="0" fillId="0" borderId="458" xfId="0" applyBorder="1" applyAlignment="1">
      <alignment horizontal="center" vertical="center"/>
    </xf>
    <xf numFmtId="0" fontId="0" fillId="0" borderId="459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455" xfId="0" applyFill="1" applyBorder="1" applyAlignment="1">
      <alignment horizontal="center" vertical="center"/>
    </xf>
    <xf numFmtId="0" fontId="0" fillId="0" borderId="456" xfId="0" applyFill="1" applyBorder="1" applyAlignment="1">
      <alignment horizontal="center" vertical="center"/>
    </xf>
    <xf numFmtId="0" fontId="0" fillId="0" borderId="460" xfId="0" applyFill="1" applyBorder="1" applyAlignment="1">
      <alignment horizontal="center" vertical="center"/>
    </xf>
    <xf numFmtId="0" fontId="0" fillId="0" borderId="227" xfId="0" applyFill="1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4" fontId="0" fillId="0" borderId="142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302" xfId="0" applyNumberFormat="1" applyBorder="1" applyAlignment="1">
      <alignment horizontal="center" vertical="center"/>
    </xf>
    <xf numFmtId="4" fontId="0" fillId="0" borderId="412" xfId="0" applyNumberFormat="1" applyBorder="1" applyAlignment="1">
      <alignment horizontal="center" vertical="center"/>
    </xf>
    <xf numFmtId="0" fontId="0" fillId="0" borderId="302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9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361" xfId="0" applyBorder="1" applyAlignment="1">
      <alignment horizontal="center" vertical="center"/>
    </xf>
    <xf numFmtId="0" fontId="0" fillId="0" borderId="193" xfId="0" applyBorder="1" applyAlignment="1">
      <alignment horizontal="center" vertical="center" wrapText="1"/>
    </xf>
    <xf numFmtId="0" fontId="0" fillId="0" borderId="366" xfId="0" applyBorder="1" applyAlignment="1">
      <alignment horizontal="center" vertical="center" wrapText="1"/>
    </xf>
    <xf numFmtId="4" fontId="0" fillId="0" borderId="461" xfId="0" applyNumberFormat="1" applyBorder="1" applyAlignment="1">
      <alignment horizontal="center" vertical="center"/>
    </xf>
    <xf numFmtId="4" fontId="0" fillId="0" borderId="462" xfId="0" applyNumberFormat="1" applyBorder="1" applyAlignment="1">
      <alignment horizontal="center" vertical="center"/>
    </xf>
    <xf numFmtId="4" fontId="0" fillId="0" borderId="463" xfId="0" applyNumberFormat="1" applyBorder="1" applyAlignment="1">
      <alignment horizontal="center" vertical="center"/>
    </xf>
    <xf numFmtId="4" fontId="0" fillId="0" borderId="464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4" fontId="0" fillId="0" borderId="465" xfId="0" applyNumberFormat="1" applyBorder="1" applyAlignment="1">
      <alignment horizontal="center" vertical="center"/>
    </xf>
    <xf numFmtId="4" fontId="0" fillId="0" borderId="466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4" fontId="0" fillId="0" borderId="467" xfId="0" applyNumberFormat="1" applyBorder="1" applyAlignment="1">
      <alignment horizontal="center" vertical="center"/>
    </xf>
    <xf numFmtId="4" fontId="0" fillId="0" borderId="468" xfId="0" applyNumberFormat="1" applyBorder="1" applyAlignment="1">
      <alignment horizontal="center" vertical="center"/>
    </xf>
    <xf numFmtId="0" fontId="0" fillId="0" borderId="469" xfId="0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4" fontId="0" fillId="0" borderId="470" xfId="0" applyNumberFormat="1" applyBorder="1" applyAlignment="1">
      <alignment horizontal="center" vertical="center"/>
    </xf>
    <xf numFmtId="0" fontId="0" fillId="0" borderId="471" xfId="0" applyBorder="1" applyAlignment="1">
      <alignment horizontal="center" vertical="center"/>
    </xf>
    <xf numFmtId="3" fontId="0" fillId="0" borderId="463" xfId="0" applyNumberFormat="1" applyBorder="1" applyAlignment="1">
      <alignment horizontal="center" vertical="center"/>
    </xf>
    <xf numFmtId="3" fontId="0" fillId="0" borderId="464" xfId="0" applyNumberFormat="1" applyBorder="1" applyAlignment="1">
      <alignment horizontal="center" vertical="center"/>
    </xf>
    <xf numFmtId="3" fontId="0" fillId="0" borderId="465" xfId="0" applyNumberFormat="1" applyBorder="1" applyAlignment="1">
      <alignment horizontal="center" vertical="center"/>
    </xf>
    <xf numFmtId="3" fontId="0" fillId="0" borderId="466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4" fontId="0" fillId="0" borderId="471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360" xfId="0" applyBorder="1" applyAlignment="1">
      <alignment horizontal="center" vertical="center" wrapText="1"/>
    </xf>
    <xf numFmtId="0" fontId="0" fillId="0" borderId="36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3" fontId="34" fillId="0" borderId="465" xfId="0" applyNumberFormat="1" applyFont="1" applyBorder="1" applyAlignment="1">
      <alignment horizontal="center" vertical="center"/>
    </xf>
    <xf numFmtId="3" fontId="34" fillId="0" borderId="466" xfId="0" applyNumberFormat="1" applyFont="1" applyBorder="1" applyAlignment="1">
      <alignment horizontal="center" vertical="center"/>
    </xf>
    <xf numFmtId="3" fontId="0" fillId="0" borderId="470" xfId="0" applyNumberFormat="1" applyBorder="1" applyAlignment="1">
      <alignment horizontal="center" vertical="center"/>
    </xf>
    <xf numFmtId="3" fontId="0" fillId="0" borderId="471" xfId="0" applyNumberFormat="1" applyBorder="1" applyAlignment="1">
      <alignment horizontal="center" vertical="center"/>
    </xf>
    <xf numFmtId="3" fontId="0" fillId="0" borderId="461" xfId="0" applyNumberFormat="1" applyBorder="1" applyAlignment="1">
      <alignment horizontal="center" vertical="center"/>
    </xf>
    <xf numFmtId="3" fontId="0" fillId="0" borderId="462" xfId="0" applyNumberFormat="1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3" fontId="0" fillId="0" borderId="130" xfId="0" applyNumberFormat="1" applyBorder="1" applyAlignment="1">
      <alignment horizontal="center" vertical="center"/>
    </xf>
    <xf numFmtId="0" fontId="0" fillId="0" borderId="59" xfId="0" applyBorder="1" applyAlignment="1">
      <alignment horizontal="left" vertical="center" wrapText="1"/>
    </xf>
    <xf numFmtId="0" fontId="0" fillId="0" borderId="360" xfId="0" applyBorder="1" applyAlignment="1">
      <alignment horizontal="left" vertical="center"/>
    </xf>
    <xf numFmtId="0" fontId="0" fillId="0" borderId="361" xfId="0" applyBorder="1" applyAlignment="1">
      <alignment horizontal="left" vertical="center"/>
    </xf>
    <xf numFmtId="0" fontId="0" fillId="0" borderId="357" xfId="0" applyBorder="1" applyAlignment="1">
      <alignment horizontal="left" vertical="center" wrapText="1"/>
    </xf>
    <xf numFmtId="0" fontId="0" fillId="0" borderId="3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93" xfId="0" applyBorder="1" applyAlignment="1">
      <alignment horizontal="left" vertical="center"/>
    </xf>
    <xf numFmtId="0" fontId="0" fillId="0" borderId="35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66" xfId="0" applyBorder="1" applyAlignment="1">
      <alignment horizontal="left" vertical="center"/>
    </xf>
    <xf numFmtId="1" fontId="0" fillId="0" borderId="358" xfId="0" applyNumberFormat="1" applyBorder="1" applyAlignment="1">
      <alignment horizontal="center" vertical="center"/>
    </xf>
    <xf numFmtId="1" fontId="0" fillId="0" borderId="118" xfId="0" applyNumberFormat="1" applyBorder="1" applyAlignment="1">
      <alignment horizontal="center" vertical="center"/>
    </xf>
    <xf numFmtId="3" fontId="0" fillId="0" borderId="118" xfId="0" applyNumberForma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360" xfId="0" applyFont="1" applyBorder="1" applyAlignment="1">
      <alignment horizontal="center" vertical="center" wrapText="1"/>
    </xf>
    <xf numFmtId="0" fontId="26" fillId="0" borderId="36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" fontId="34" fillId="0" borderId="463" xfId="0" applyNumberFormat="1" applyFont="1" applyBorder="1" applyAlignment="1">
      <alignment horizontal="center" vertical="center"/>
    </xf>
    <xf numFmtId="3" fontId="34" fillId="0" borderId="464" xfId="0" applyNumberFormat="1" applyFont="1" applyBorder="1" applyAlignment="1">
      <alignment horizontal="center" vertical="center"/>
    </xf>
    <xf numFmtId="3" fontId="26" fillId="0" borderId="470" xfId="0" applyNumberFormat="1" applyFont="1" applyBorder="1" applyAlignment="1">
      <alignment horizontal="center" vertical="center"/>
    </xf>
    <xf numFmtId="3" fontId="26" fillId="0" borderId="471" xfId="0" applyNumberFormat="1" applyFont="1" applyBorder="1" applyAlignment="1">
      <alignment horizontal="center" vertical="center"/>
    </xf>
    <xf numFmtId="3" fontId="26" fillId="0" borderId="465" xfId="0" applyNumberFormat="1" applyFont="1" applyBorder="1" applyAlignment="1">
      <alignment horizontal="center" vertical="center"/>
    </xf>
    <xf numFmtId="3" fontId="26" fillId="0" borderId="466" xfId="0" applyNumberFormat="1" applyFont="1" applyBorder="1" applyAlignment="1">
      <alignment horizontal="center" vertical="center"/>
    </xf>
    <xf numFmtId="3" fontId="26" fillId="0" borderId="461" xfId="0" applyNumberFormat="1" applyFont="1" applyBorder="1" applyAlignment="1">
      <alignment horizontal="center" vertical="center"/>
    </xf>
    <xf numFmtId="3" fontId="26" fillId="0" borderId="462" xfId="0" applyNumberFormat="1" applyFont="1" applyBorder="1" applyAlignment="1">
      <alignment horizontal="center" vertical="center"/>
    </xf>
    <xf numFmtId="3" fontId="0" fillId="0" borderId="470" xfId="0" applyNumberFormat="1" applyFont="1" applyBorder="1" applyAlignment="1">
      <alignment horizontal="center" vertical="center"/>
    </xf>
    <xf numFmtId="3" fontId="0" fillId="0" borderId="471" xfId="0" applyNumberFormat="1" applyFont="1" applyBorder="1" applyAlignment="1">
      <alignment horizontal="center" vertical="center"/>
    </xf>
    <xf numFmtId="3" fontId="0" fillId="0" borderId="465" xfId="0" applyNumberFormat="1" applyFont="1" applyBorder="1" applyAlignment="1">
      <alignment horizontal="center" vertical="center"/>
    </xf>
    <xf numFmtId="3" fontId="0" fillId="0" borderId="466" xfId="0" applyNumberFormat="1" applyFont="1" applyBorder="1" applyAlignment="1">
      <alignment horizontal="center" vertical="center"/>
    </xf>
    <xf numFmtId="3" fontId="0" fillId="0" borderId="461" xfId="0" applyNumberFormat="1" applyFont="1" applyBorder="1" applyAlignment="1">
      <alignment horizontal="center" vertical="center"/>
    </xf>
    <xf numFmtId="3" fontId="0" fillId="0" borderId="462" xfId="0" applyNumberFormat="1" applyFont="1" applyBorder="1" applyAlignment="1">
      <alignment horizontal="center" vertical="center"/>
    </xf>
    <xf numFmtId="3" fontId="0" fillId="0" borderId="378" xfId="0" applyNumberFormat="1" applyFont="1" applyBorder="1" applyAlignment="1">
      <alignment horizontal="center" vertical="center"/>
    </xf>
    <xf numFmtId="3" fontId="0" fillId="0" borderId="379" xfId="0" applyNumberFormat="1" applyFont="1" applyBorder="1" applyAlignment="1">
      <alignment horizontal="center" vertical="center"/>
    </xf>
    <xf numFmtId="3" fontId="35" fillId="0" borderId="461" xfId="0" applyNumberFormat="1" applyFont="1" applyBorder="1" applyAlignment="1">
      <alignment horizontal="center" vertical="center"/>
    </xf>
    <xf numFmtId="3" fontId="35" fillId="0" borderId="462" xfId="0" applyNumberFormat="1" applyFont="1" applyBorder="1" applyAlignment="1">
      <alignment horizontal="center" vertical="center"/>
    </xf>
    <xf numFmtId="3" fontId="0" fillId="0" borderId="378" xfId="0" applyNumberFormat="1" applyBorder="1" applyAlignment="1">
      <alignment horizontal="center" vertical="center"/>
    </xf>
    <xf numFmtId="3" fontId="0" fillId="0" borderId="379" xfId="0" applyNumberFormat="1" applyBorder="1" applyAlignment="1">
      <alignment horizontal="center" vertical="center"/>
    </xf>
    <xf numFmtId="3" fontId="26" fillId="0" borderId="378" xfId="0" applyNumberFormat="1" applyFont="1" applyBorder="1" applyAlignment="1">
      <alignment horizontal="center" vertical="center"/>
    </xf>
    <xf numFmtId="3" fontId="26" fillId="0" borderId="379" xfId="0" applyNumberFormat="1" applyFont="1" applyBorder="1" applyAlignment="1">
      <alignment horizontal="center" vertical="center"/>
    </xf>
    <xf numFmtId="3" fontId="1" fillId="0" borderId="146" xfId="0" applyNumberFormat="1" applyFont="1" applyBorder="1" applyAlignment="1">
      <alignment horizontal="center" vertical="center"/>
    </xf>
    <xf numFmtId="3" fontId="1" fillId="0" borderId="106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364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4" fontId="0" fillId="0" borderId="130" xfId="0" applyNumberFormat="1" applyBorder="1" applyAlignment="1">
      <alignment horizontal="center" vertical="center"/>
    </xf>
    <xf numFmtId="2" fontId="0" fillId="0" borderId="358" xfId="0" applyNumberFormat="1" applyBorder="1" applyAlignment="1">
      <alignment horizontal="center" vertical="center"/>
    </xf>
    <xf numFmtId="2" fontId="0" fillId="0" borderId="118" xfId="0" applyNumberFormat="1" applyBorder="1" applyAlignment="1">
      <alignment horizontal="center" vertical="center"/>
    </xf>
    <xf numFmtId="0" fontId="0" fillId="0" borderId="358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276" xfId="0" applyBorder="1" applyAlignment="1">
      <alignment horizontal="center" vertical="center" wrapText="1"/>
    </xf>
    <xf numFmtId="4" fontId="0" fillId="0" borderId="94" xfId="0" applyNumberFormat="1" applyBorder="1" applyAlignment="1">
      <alignment horizontal="center" vertical="center"/>
    </xf>
    <xf numFmtId="4" fontId="0" fillId="0" borderId="89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46"/>
  <sheetViews>
    <sheetView workbookViewId="0" topLeftCell="A12">
      <selection activeCell="A1" sqref="A1:K1"/>
    </sheetView>
  </sheetViews>
  <sheetFormatPr defaultColWidth="9.00390625" defaultRowHeight="12.75"/>
  <cols>
    <col min="1" max="1" width="40.875" style="0" customWidth="1"/>
    <col min="2" max="4" width="12.75390625" style="0" hidden="1" customWidth="1"/>
    <col min="5" max="10" width="12.75390625" style="0" customWidth="1"/>
    <col min="11" max="11" width="14.00390625" style="0" customWidth="1"/>
  </cols>
  <sheetData>
    <row r="1" spans="1:11" ht="15.75">
      <c r="A1" s="713" t="s">
        <v>120</v>
      </c>
      <c r="B1" s="714"/>
      <c r="C1" s="714"/>
      <c r="D1" s="714"/>
      <c r="E1" s="714"/>
      <c r="F1" s="714"/>
      <c r="G1" s="714"/>
      <c r="H1" s="714"/>
      <c r="I1" s="714"/>
      <c r="J1" s="714"/>
      <c r="K1" s="715"/>
    </row>
    <row r="2" spans="1:11" s="1" customFormat="1" ht="17.25" customHeight="1" thickBot="1">
      <c r="A2" s="15" t="s">
        <v>27</v>
      </c>
      <c r="C2" s="3"/>
      <c r="D2" s="3"/>
      <c r="E2" s="3"/>
      <c r="F2" s="2"/>
      <c r="G2" s="2"/>
      <c r="H2" s="182"/>
      <c r="I2" s="182"/>
      <c r="J2" s="731" t="s">
        <v>90</v>
      </c>
      <c r="K2" s="731"/>
    </row>
    <row r="3" spans="1:11" s="1" customFormat="1" ht="39.75" customHeight="1" thickBot="1" thickTop="1">
      <c r="A3" s="35" t="s">
        <v>0</v>
      </c>
      <c r="B3" s="36" t="s">
        <v>8</v>
      </c>
      <c r="C3" s="140" t="s">
        <v>21</v>
      </c>
      <c r="D3" s="37" t="s">
        <v>22</v>
      </c>
      <c r="E3" s="36" t="s">
        <v>20</v>
      </c>
      <c r="F3" s="38" t="s">
        <v>23</v>
      </c>
      <c r="G3" s="38" t="s">
        <v>24</v>
      </c>
      <c r="H3" s="192" t="s">
        <v>25</v>
      </c>
      <c r="I3" s="38" t="s">
        <v>114</v>
      </c>
      <c r="J3" s="147" t="s">
        <v>115</v>
      </c>
      <c r="K3" s="30" t="s">
        <v>116</v>
      </c>
    </row>
    <row r="4" spans="1:11" s="1" customFormat="1" ht="9.75" customHeight="1" thickBot="1" thickTop="1">
      <c r="A4" s="17" t="s">
        <v>4</v>
      </c>
      <c r="B4" s="18" t="s">
        <v>5</v>
      </c>
      <c r="C4" s="20" t="s">
        <v>6</v>
      </c>
      <c r="D4" s="19" t="s">
        <v>7</v>
      </c>
      <c r="E4" s="139" t="s">
        <v>5</v>
      </c>
      <c r="F4" s="20" t="s">
        <v>6</v>
      </c>
      <c r="G4" s="20" t="s">
        <v>7</v>
      </c>
      <c r="H4" s="193" t="s">
        <v>9</v>
      </c>
      <c r="I4" s="20" t="s">
        <v>10</v>
      </c>
      <c r="J4" s="148" t="s">
        <v>11</v>
      </c>
      <c r="K4" s="31" t="s">
        <v>12</v>
      </c>
    </row>
    <row r="5" spans="1:11" s="12" customFormat="1" ht="17.25" hidden="1" thickBot="1" thickTop="1">
      <c r="A5" s="39" t="s">
        <v>1</v>
      </c>
      <c r="B5" s="141">
        <f aca="true" t="shared" si="0" ref="B5:K5">B9+B28</f>
        <v>1232660.1657099007</v>
      </c>
      <c r="C5" s="142">
        <f t="shared" si="0"/>
        <v>449475</v>
      </c>
      <c r="D5" s="137">
        <f t="shared" si="0"/>
        <v>-783185.1657099007</v>
      </c>
      <c r="E5" s="141" t="e">
        <f t="shared" si="0"/>
        <v>#REF!</v>
      </c>
      <c r="F5" s="142" t="e">
        <f t="shared" si="0"/>
        <v>#REF!</v>
      </c>
      <c r="G5" s="142" t="e">
        <f t="shared" si="0"/>
        <v>#REF!</v>
      </c>
      <c r="H5" s="194" t="e">
        <f t="shared" si="0"/>
        <v>#REF!</v>
      </c>
      <c r="I5" s="142"/>
      <c r="J5" s="167"/>
      <c r="K5" s="32" t="e">
        <f t="shared" si="0"/>
        <v>#REF!</v>
      </c>
    </row>
    <row r="6" spans="1:11" s="12" customFormat="1" ht="17.25" thickBot="1" thickTop="1">
      <c r="A6" s="39" t="s">
        <v>1</v>
      </c>
      <c r="B6" s="141">
        <f aca="true" t="shared" si="1" ref="B6:K6">B10+B28</f>
        <v>1002660.1657099007</v>
      </c>
      <c r="C6" s="142">
        <f t="shared" si="1"/>
        <v>379475</v>
      </c>
      <c r="D6" s="171">
        <f t="shared" si="1"/>
        <v>-623185.1657099007</v>
      </c>
      <c r="E6" s="141" t="e">
        <f t="shared" si="1"/>
        <v>#REF!</v>
      </c>
      <c r="F6" s="142" t="e">
        <f t="shared" si="1"/>
        <v>#REF!</v>
      </c>
      <c r="G6" s="142" t="e">
        <f t="shared" si="1"/>
        <v>#REF!</v>
      </c>
      <c r="H6" s="194" t="e">
        <f t="shared" si="1"/>
        <v>#REF!</v>
      </c>
      <c r="I6" s="142" t="e">
        <f t="shared" si="1"/>
        <v>#REF!</v>
      </c>
      <c r="J6" s="194" t="e">
        <f t="shared" si="1"/>
        <v>#REF!</v>
      </c>
      <c r="K6" s="32" t="e">
        <f t="shared" si="1"/>
        <v>#REF!</v>
      </c>
    </row>
    <row r="7" spans="1:11" s="1" customFormat="1" ht="15.75" thickTop="1">
      <c r="A7" s="41" t="s">
        <v>2</v>
      </c>
      <c r="B7" s="21"/>
      <c r="C7" s="166"/>
      <c r="D7" s="22"/>
      <c r="E7" s="168"/>
      <c r="F7" s="23"/>
      <c r="G7" s="23"/>
      <c r="H7" s="195"/>
      <c r="I7" s="23"/>
      <c r="J7" s="149"/>
      <c r="K7" s="33"/>
    </row>
    <row r="8" spans="1:11" s="1" customFormat="1" ht="6" customHeight="1" thickBot="1">
      <c r="A8" s="6"/>
      <c r="B8" s="21"/>
      <c r="C8" s="23"/>
      <c r="D8" s="22"/>
      <c r="E8" s="21"/>
      <c r="F8" s="23"/>
      <c r="G8" s="23"/>
      <c r="H8" s="195"/>
      <c r="I8" s="23"/>
      <c r="J8" s="149"/>
      <c r="K8" s="33"/>
    </row>
    <row r="9" spans="1:11" s="12" customFormat="1" ht="16.5" customHeight="1" hidden="1" thickBot="1" thickTop="1">
      <c r="A9" s="40" t="s">
        <v>3</v>
      </c>
      <c r="B9" s="143">
        <f aca="true" t="shared" si="2" ref="B9:K9">B12+B15+B17+B20+B22+B24+B26</f>
        <v>1019760.1032099007</v>
      </c>
      <c r="C9" s="144">
        <f t="shared" si="2"/>
        <v>375000</v>
      </c>
      <c r="D9" s="138">
        <f t="shared" si="2"/>
        <v>-644760.1032099007</v>
      </c>
      <c r="E9" s="143" t="e">
        <f t="shared" si="2"/>
        <v>#REF!</v>
      </c>
      <c r="F9" s="144" t="e">
        <f t="shared" si="2"/>
        <v>#REF!</v>
      </c>
      <c r="G9" s="144" t="e">
        <f t="shared" si="2"/>
        <v>#REF!</v>
      </c>
      <c r="H9" s="196" t="e">
        <f t="shared" si="2"/>
        <v>#REF!</v>
      </c>
      <c r="I9" s="144"/>
      <c r="J9" s="169"/>
      <c r="K9" s="32" t="e">
        <f t="shared" si="2"/>
        <v>#REF!</v>
      </c>
    </row>
    <row r="10" spans="1:11" s="12" customFormat="1" ht="16.5" customHeight="1" thickBot="1" thickTop="1">
      <c r="A10" s="40" t="s">
        <v>3</v>
      </c>
      <c r="B10" s="143">
        <f aca="true" t="shared" si="3" ref="B10:K10">B12</f>
        <v>789760.1032099007</v>
      </c>
      <c r="C10" s="144">
        <f t="shared" si="3"/>
        <v>305000</v>
      </c>
      <c r="D10" s="172">
        <f t="shared" si="3"/>
        <v>-484760.10320990067</v>
      </c>
      <c r="E10" s="143" t="e">
        <f t="shared" si="3"/>
        <v>#REF!</v>
      </c>
      <c r="F10" s="144" t="e">
        <f t="shared" si="3"/>
        <v>#REF!</v>
      </c>
      <c r="G10" s="144" t="e">
        <f t="shared" si="3"/>
        <v>#REF!</v>
      </c>
      <c r="H10" s="196" t="e">
        <f t="shared" si="3"/>
        <v>#REF!</v>
      </c>
      <c r="I10" s="144" t="e">
        <f t="shared" si="3"/>
        <v>#REF!</v>
      </c>
      <c r="J10" s="196" t="e">
        <f t="shared" si="3"/>
        <v>#REF!</v>
      </c>
      <c r="K10" s="32" t="e">
        <f t="shared" si="3"/>
        <v>#REF!</v>
      </c>
    </row>
    <row r="11" spans="1:11" s="1" customFormat="1" ht="6" customHeight="1" thickTop="1">
      <c r="A11" s="7"/>
      <c r="B11" s="21"/>
      <c r="C11" s="23"/>
      <c r="D11" s="22"/>
      <c r="E11" s="21"/>
      <c r="F11" s="23"/>
      <c r="G11" s="23"/>
      <c r="H11" s="195"/>
      <c r="I11" s="23"/>
      <c r="J11" s="149"/>
      <c r="K11" s="33"/>
    </row>
    <row r="12" spans="1:11" s="1" customFormat="1" ht="24.75" customHeight="1">
      <c r="A12" s="45" t="s">
        <v>34</v>
      </c>
      <c r="B12" s="716">
        <f>Hárok4!G15</f>
        <v>789760.1032099007</v>
      </c>
      <c r="C12" s="718">
        <v>305000</v>
      </c>
      <c r="D12" s="720">
        <f>C12-B12</f>
        <v>-484760.10320990067</v>
      </c>
      <c r="E12" s="716" t="e">
        <f>#REF!</f>
        <v>#REF!</v>
      </c>
      <c r="F12" s="718" t="e">
        <f>#REF!</f>
        <v>#REF!</v>
      </c>
      <c r="G12" s="718" t="e">
        <f>#REF!</f>
        <v>#REF!</v>
      </c>
      <c r="H12" s="722" t="e">
        <f>#REF!</f>
        <v>#REF!</v>
      </c>
      <c r="I12" s="718" t="e">
        <f>#REF!</f>
        <v>#REF!</v>
      </c>
      <c r="J12" s="729" t="e">
        <f>#REF!</f>
        <v>#REF!</v>
      </c>
      <c r="K12" s="724" t="e">
        <f>SUM(E12:J13)</f>
        <v>#REF!</v>
      </c>
    </row>
    <row r="13" spans="1:11" s="1" customFormat="1" ht="12.75" customHeight="1">
      <c r="A13" s="46" t="s">
        <v>121</v>
      </c>
      <c r="B13" s="717"/>
      <c r="C13" s="719"/>
      <c r="D13" s="721"/>
      <c r="E13" s="717"/>
      <c r="F13" s="719"/>
      <c r="G13" s="719"/>
      <c r="H13" s="723"/>
      <c r="I13" s="726"/>
      <c r="J13" s="730"/>
      <c r="K13" s="725"/>
    </row>
    <row r="14" spans="1:11" s="1" customFormat="1" ht="6" customHeight="1">
      <c r="A14" s="170"/>
      <c r="B14" s="48"/>
      <c r="C14" s="50"/>
      <c r="D14" s="49"/>
      <c r="E14" s="48"/>
      <c r="F14" s="50"/>
      <c r="G14" s="50"/>
      <c r="H14" s="197"/>
      <c r="I14" s="50"/>
      <c r="J14" s="136"/>
      <c r="K14" s="51"/>
    </row>
    <row r="15" spans="1:11" s="1" customFormat="1" ht="24.75" customHeight="1" hidden="1">
      <c r="A15" s="47" t="s">
        <v>33</v>
      </c>
      <c r="B15" s="48">
        <v>80000</v>
      </c>
      <c r="C15" s="50">
        <v>35000</v>
      </c>
      <c r="D15" s="42">
        <f>C15-B15</f>
        <v>-45000</v>
      </c>
      <c r="E15" s="48">
        <v>245000</v>
      </c>
      <c r="F15" s="50">
        <v>145292</v>
      </c>
      <c r="G15" s="50">
        <v>0</v>
      </c>
      <c r="H15" s="197">
        <v>0</v>
      </c>
      <c r="I15" s="184"/>
      <c r="J15" s="186"/>
      <c r="K15" s="43">
        <f>SUM(E15:H16)+C15</f>
        <v>425292</v>
      </c>
    </row>
    <row r="16" spans="1:11" s="1" customFormat="1" ht="6" customHeight="1" hidden="1">
      <c r="A16" s="9"/>
      <c r="B16" s="21"/>
      <c r="C16" s="23"/>
      <c r="D16" s="49"/>
      <c r="E16" s="21"/>
      <c r="F16" s="23"/>
      <c r="G16" s="23"/>
      <c r="H16" s="195"/>
      <c r="I16" s="23"/>
      <c r="J16" s="149"/>
      <c r="K16" s="51"/>
    </row>
    <row r="17" spans="1:11" s="1" customFormat="1" ht="24.75" customHeight="1" hidden="1">
      <c r="A17" s="45" t="s">
        <v>32</v>
      </c>
      <c r="B17" s="716">
        <v>150000</v>
      </c>
      <c r="C17" s="718">
        <v>35000</v>
      </c>
      <c r="D17" s="727">
        <f>C17-B17</f>
        <v>-115000</v>
      </c>
      <c r="E17" s="716">
        <v>590000</v>
      </c>
      <c r="F17" s="718">
        <v>700000</v>
      </c>
      <c r="G17" s="718">
        <v>738000</v>
      </c>
      <c r="H17" s="722">
        <v>600000</v>
      </c>
      <c r="I17" s="184"/>
      <c r="J17" s="186"/>
      <c r="K17" s="724">
        <f>SUM(E17:H18)+C17</f>
        <v>2663000</v>
      </c>
    </row>
    <row r="18" spans="1:11" s="1" customFormat="1" ht="33.75" hidden="1">
      <c r="A18" s="52" t="s">
        <v>13</v>
      </c>
      <c r="B18" s="717"/>
      <c r="C18" s="719"/>
      <c r="D18" s="728"/>
      <c r="E18" s="717"/>
      <c r="F18" s="719"/>
      <c r="G18" s="719"/>
      <c r="H18" s="723"/>
      <c r="I18" s="185"/>
      <c r="J18" s="187"/>
      <c r="K18" s="725"/>
    </row>
    <row r="19" spans="1:11" s="1" customFormat="1" ht="6" customHeight="1" hidden="1">
      <c r="A19" s="11"/>
      <c r="B19" s="21"/>
      <c r="C19" s="23"/>
      <c r="D19" s="22"/>
      <c r="E19" s="21"/>
      <c r="F19" s="23"/>
      <c r="G19" s="23"/>
      <c r="H19" s="195"/>
      <c r="I19" s="23"/>
      <c r="J19" s="149"/>
      <c r="K19" s="33"/>
    </row>
    <row r="20" spans="1:11" s="1" customFormat="1" ht="24.75" customHeight="1" hidden="1">
      <c r="A20" s="53" t="s">
        <v>36</v>
      </c>
      <c r="B20" s="48">
        <v>0</v>
      </c>
      <c r="C20" s="50">
        <v>0</v>
      </c>
      <c r="D20" s="42">
        <f>C20-B20</f>
        <v>0</v>
      </c>
      <c r="E20" s="48">
        <v>30000</v>
      </c>
      <c r="F20" s="50">
        <v>30000</v>
      </c>
      <c r="G20" s="50">
        <v>30000</v>
      </c>
      <c r="H20" s="197">
        <v>0</v>
      </c>
      <c r="I20" s="184"/>
      <c r="J20" s="186"/>
      <c r="K20" s="43">
        <f>SUM(E20:H21)+C20</f>
        <v>90000</v>
      </c>
    </row>
    <row r="21" spans="1:11" s="1" customFormat="1" ht="6" customHeight="1" hidden="1">
      <c r="A21" s="11"/>
      <c r="B21" s="21"/>
      <c r="C21" s="23"/>
      <c r="D21" s="49"/>
      <c r="E21" s="21"/>
      <c r="F21" s="23"/>
      <c r="G21" s="23"/>
      <c r="H21" s="195"/>
      <c r="I21" s="23"/>
      <c r="J21" s="149"/>
      <c r="K21" s="51"/>
    </row>
    <row r="22" spans="1:11" s="1" customFormat="1" ht="24.75" customHeight="1" hidden="1">
      <c r="A22" s="53" t="s">
        <v>14</v>
      </c>
      <c r="B22" s="48">
        <v>0</v>
      </c>
      <c r="C22" s="50">
        <v>0</v>
      </c>
      <c r="D22" s="42">
        <v>0</v>
      </c>
      <c r="E22" s="48">
        <v>30000</v>
      </c>
      <c r="F22" s="50">
        <v>30000</v>
      </c>
      <c r="G22" s="50">
        <v>30000</v>
      </c>
      <c r="H22" s="197">
        <v>0</v>
      </c>
      <c r="I22" s="184"/>
      <c r="J22" s="186"/>
      <c r="K22" s="43">
        <f>SUM(E22:H23)+C22</f>
        <v>90000</v>
      </c>
    </row>
    <row r="23" spans="1:11" s="1" customFormat="1" ht="6" customHeight="1" hidden="1">
      <c r="A23" s="11"/>
      <c r="B23" s="21"/>
      <c r="C23" s="23"/>
      <c r="D23" s="49"/>
      <c r="E23" s="21"/>
      <c r="F23" s="23"/>
      <c r="G23" s="23"/>
      <c r="H23" s="195"/>
      <c r="I23" s="23"/>
      <c r="J23" s="149"/>
      <c r="K23" s="51"/>
    </row>
    <row r="24" spans="1:11" s="1" customFormat="1" ht="24.75" customHeight="1" hidden="1">
      <c r="A24" s="53" t="s">
        <v>35</v>
      </c>
      <c r="B24" s="48">
        <v>0</v>
      </c>
      <c r="C24" s="50">
        <v>0</v>
      </c>
      <c r="D24" s="42">
        <f>C24-B24</f>
        <v>0</v>
      </c>
      <c r="E24" s="48">
        <v>30000</v>
      </c>
      <c r="F24" s="50">
        <v>30000</v>
      </c>
      <c r="G24" s="50">
        <v>30000</v>
      </c>
      <c r="H24" s="197">
        <v>0</v>
      </c>
      <c r="I24" s="184"/>
      <c r="J24" s="186"/>
      <c r="K24" s="43">
        <f>SUM(E24:H25)+C24</f>
        <v>90000</v>
      </c>
    </row>
    <row r="25" spans="1:11" s="1" customFormat="1" ht="6" customHeight="1" hidden="1">
      <c r="A25" s="11"/>
      <c r="B25" s="21"/>
      <c r="C25" s="23"/>
      <c r="D25" s="49"/>
      <c r="E25" s="21"/>
      <c r="F25" s="23"/>
      <c r="G25" s="23"/>
      <c r="H25" s="195"/>
      <c r="I25" s="23"/>
      <c r="J25" s="149"/>
      <c r="K25" s="51"/>
    </row>
    <row r="26" spans="1:11" s="1" customFormat="1" ht="24.75" customHeight="1" hidden="1">
      <c r="A26" s="53" t="s">
        <v>37</v>
      </c>
      <c r="B26" s="48">
        <v>0</v>
      </c>
      <c r="C26" s="50">
        <v>0</v>
      </c>
      <c r="D26" s="42">
        <f>C26-B26</f>
        <v>0</v>
      </c>
      <c r="E26" s="48">
        <v>50000</v>
      </c>
      <c r="F26" s="50">
        <v>225000</v>
      </c>
      <c r="G26" s="50">
        <v>325000</v>
      </c>
      <c r="H26" s="197">
        <v>325000</v>
      </c>
      <c r="I26" s="184"/>
      <c r="J26" s="186"/>
      <c r="K26" s="43">
        <f>SUM(E26:H27)+C26</f>
        <v>925000</v>
      </c>
    </row>
    <row r="27" spans="1:11" s="1" customFormat="1" ht="15.75" thickBot="1">
      <c r="A27" s="7"/>
      <c r="B27" s="21"/>
      <c r="C27" s="23"/>
      <c r="D27" s="49"/>
      <c r="E27" s="21"/>
      <c r="F27" s="23"/>
      <c r="G27" s="23"/>
      <c r="H27" s="195"/>
      <c r="I27" s="23"/>
      <c r="J27" s="149"/>
      <c r="K27" s="51"/>
    </row>
    <row r="28" spans="1:11" s="10" customFormat="1" ht="16.5" customHeight="1" thickBot="1" thickTop="1">
      <c r="A28" s="40" t="s">
        <v>28</v>
      </c>
      <c r="B28" s="145">
        <f aca="true" t="shared" si="4" ref="B28:K28">B30+B32+B34</f>
        <v>212900.0625</v>
      </c>
      <c r="C28" s="146">
        <f t="shared" si="4"/>
        <v>74475</v>
      </c>
      <c r="D28" s="174">
        <f t="shared" si="4"/>
        <v>-138425.0625</v>
      </c>
      <c r="E28" s="145" t="e">
        <f t="shared" si="4"/>
        <v>#REF!</v>
      </c>
      <c r="F28" s="146" t="e">
        <f t="shared" si="4"/>
        <v>#REF!</v>
      </c>
      <c r="G28" s="146" t="e">
        <f t="shared" si="4"/>
        <v>#REF!</v>
      </c>
      <c r="H28" s="198" t="e">
        <f t="shared" si="4"/>
        <v>#REF!</v>
      </c>
      <c r="I28" s="146" t="e">
        <f t="shared" si="4"/>
        <v>#REF!</v>
      </c>
      <c r="J28" s="150" t="e">
        <f t="shared" si="4"/>
        <v>#REF!</v>
      </c>
      <c r="K28" s="54" t="e">
        <f t="shared" si="4"/>
        <v>#REF!</v>
      </c>
    </row>
    <row r="29" spans="1:11" s="1" customFormat="1" ht="6" customHeight="1" thickTop="1">
      <c r="A29" s="7"/>
      <c r="B29" s="21"/>
      <c r="C29" s="23"/>
      <c r="D29" s="22"/>
      <c r="E29" s="21"/>
      <c r="F29" s="23"/>
      <c r="G29" s="23"/>
      <c r="H29" s="195"/>
      <c r="I29" s="23"/>
      <c r="J29" s="149"/>
      <c r="K29" s="33"/>
    </row>
    <row r="30" spans="1:11" s="1" customFormat="1" ht="24.75" customHeight="1">
      <c r="A30" s="53" t="s">
        <v>29</v>
      </c>
      <c r="B30" s="55">
        <f>Hárok4!G18-B32</f>
        <v>176900.0625</v>
      </c>
      <c r="C30" s="50">
        <v>53475</v>
      </c>
      <c r="D30" s="173">
        <f>C30-B30</f>
        <v>-123425.0625</v>
      </c>
      <c r="E30" s="48" t="e">
        <f>#REF!</f>
        <v>#REF!</v>
      </c>
      <c r="F30" s="50" t="e">
        <f>#REF!</f>
        <v>#REF!</v>
      </c>
      <c r="G30" s="50" t="e">
        <f>#REF!</f>
        <v>#REF!</v>
      </c>
      <c r="H30" s="197" t="e">
        <f>#REF!</f>
        <v>#REF!</v>
      </c>
      <c r="I30" s="50" t="e">
        <f>#REF!</f>
        <v>#REF!</v>
      </c>
      <c r="J30" s="136" t="e">
        <f>#REF!</f>
        <v>#REF!</v>
      </c>
      <c r="K30" s="43" t="e">
        <f>SUM(E30:J31)</f>
        <v>#REF!</v>
      </c>
    </row>
    <row r="31" spans="1:11" s="1" customFormat="1" ht="6" customHeight="1">
      <c r="A31" s="7"/>
      <c r="B31" s="21"/>
      <c r="C31" s="23"/>
      <c r="D31" s="42"/>
      <c r="E31" s="21"/>
      <c r="F31" s="23"/>
      <c r="G31" s="23"/>
      <c r="H31" s="195"/>
      <c r="I31" s="23"/>
      <c r="J31" s="149"/>
      <c r="K31" s="51"/>
    </row>
    <row r="32" spans="1:11" s="1" customFormat="1" ht="24.75" customHeight="1">
      <c r="A32" s="53" t="s">
        <v>30</v>
      </c>
      <c r="B32" s="48">
        <v>35000</v>
      </c>
      <c r="C32" s="50">
        <v>20000</v>
      </c>
      <c r="D32" s="173">
        <f>C32-B32</f>
        <v>-15000</v>
      </c>
      <c r="E32" s="48">
        <f>B32*1.05</f>
        <v>36750</v>
      </c>
      <c r="F32" s="50">
        <f>E32*1.05</f>
        <v>38587.5</v>
      </c>
      <c r="G32" s="50">
        <f>F32*1.05</f>
        <v>40516.875</v>
      </c>
      <c r="H32" s="197">
        <f>G32*1.05</f>
        <v>42542.71875</v>
      </c>
      <c r="I32" s="50">
        <f>H32*1.05</f>
        <v>44669.8546875</v>
      </c>
      <c r="J32" s="136">
        <f>I32*1.05</f>
        <v>46903.347421875005</v>
      </c>
      <c r="K32" s="43">
        <f>SUM(E32:J33)</f>
        <v>249970.29585937498</v>
      </c>
    </row>
    <row r="33" spans="1:11" s="1" customFormat="1" ht="6" customHeight="1">
      <c r="A33" s="8"/>
      <c r="B33" s="21"/>
      <c r="C33" s="23"/>
      <c r="D33" s="42"/>
      <c r="E33" s="21"/>
      <c r="F33" s="23"/>
      <c r="G33" s="23"/>
      <c r="H33" s="195"/>
      <c r="I33" s="23"/>
      <c r="J33" s="149"/>
      <c r="K33" s="51"/>
    </row>
    <row r="34" spans="1:11" s="1" customFormat="1" ht="24.75" customHeight="1">
      <c r="A34" s="53" t="s">
        <v>31</v>
      </c>
      <c r="B34" s="48">
        <v>1000</v>
      </c>
      <c r="C34" s="50">
        <v>1000</v>
      </c>
      <c r="D34" s="42">
        <f>C34-B34</f>
        <v>0</v>
      </c>
      <c r="E34" s="48">
        <v>1500</v>
      </c>
      <c r="F34" s="50">
        <f>E34*1.05</f>
        <v>1575</v>
      </c>
      <c r="G34" s="50">
        <f>F34*1.05</f>
        <v>1653.75</v>
      </c>
      <c r="H34" s="50">
        <f>G34*1.05</f>
        <v>1736.4375</v>
      </c>
      <c r="I34" s="50">
        <f>H34*1.05</f>
        <v>1823.259375</v>
      </c>
      <c r="J34" s="50">
        <f>I34*1.05</f>
        <v>1914.4223437500002</v>
      </c>
      <c r="K34" s="51">
        <f>SUM(E34:J35)</f>
        <v>10202.86921875</v>
      </c>
    </row>
    <row r="35" spans="1:11" s="1" customFormat="1" ht="6" customHeight="1" hidden="1">
      <c r="A35" s="8"/>
      <c r="B35" s="21"/>
      <c r="C35" s="23"/>
      <c r="D35" s="42"/>
      <c r="E35" s="21"/>
      <c r="F35" s="23"/>
      <c r="G35" s="23"/>
      <c r="H35" s="195"/>
      <c r="I35" s="23"/>
      <c r="J35" s="188"/>
      <c r="K35" s="51"/>
    </row>
    <row r="36" spans="1:11" s="1" customFormat="1" ht="24.75" customHeight="1" hidden="1">
      <c r="A36" s="53" t="s">
        <v>26</v>
      </c>
      <c r="B36" s="48">
        <f>SUM(B37:B41)</f>
        <v>1500</v>
      </c>
      <c r="C36" s="50">
        <f>SUM(C37:C41)</f>
        <v>1500</v>
      </c>
      <c r="D36" s="42">
        <f>C36-B36</f>
        <v>0</v>
      </c>
      <c r="E36" s="48">
        <v>1500</v>
      </c>
      <c r="F36" s="50">
        <v>1500</v>
      </c>
      <c r="G36" s="50">
        <v>1500</v>
      </c>
      <c r="H36" s="197">
        <v>1500</v>
      </c>
      <c r="I36" s="184"/>
      <c r="J36" s="189"/>
      <c r="K36" s="43">
        <f>SUM(E36:H37)+C36</f>
        <v>7500</v>
      </c>
    </row>
    <row r="37" spans="1:11" s="1" customFormat="1" ht="15" hidden="1">
      <c r="A37" s="14" t="s">
        <v>15</v>
      </c>
      <c r="B37" s="24">
        <v>1051.7</v>
      </c>
      <c r="C37" s="26">
        <v>1051.7</v>
      </c>
      <c r="D37" s="25">
        <f>SUM(B37,-C37)</f>
        <v>0</v>
      </c>
      <c r="E37" s="24"/>
      <c r="F37" s="26"/>
      <c r="G37" s="26"/>
      <c r="H37" s="199"/>
      <c r="I37" s="26"/>
      <c r="J37" s="190"/>
      <c r="K37" s="44"/>
    </row>
    <row r="38" spans="1:11" s="1" customFormat="1" ht="15" hidden="1">
      <c r="A38" s="14" t="s">
        <v>16</v>
      </c>
      <c r="B38" s="24">
        <v>43.66</v>
      </c>
      <c r="C38" s="26">
        <v>43.66</v>
      </c>
      <c r="D38" s="25">
        <f>SUM(B38,-C38)</f>
        <v>0</v>
      </c>
      <c r="E38" s="24"/>
      <c r="F38" s="26"/>
      <c r="G38" s="26"/>
      <c r="H38" s="199"/>
      <c r="I38" s="26"/>
      <c r="J38" s="190"/>
      <c r="K38" s="34"/>
    </row>
    <row r="39" spans="1:11" s="1" customFormat="1" ht="15" hidden="1">
      <c r="A39" s="14" t="s">
        <v>17</v>
      </c>
      <c r="B39" s="24">
        <v>2</v>
      </c>
      <c r="C39" s="26">
        <v>2</v>
      </c>
      <c r="D39" s="25">
        <f>SUM(D37,-D38)</f>
        <v>0</v>
      </c>
      <c r="E39" s="24"/>
      <c r="F39" s="26"/>
      <c r="G39" s="26"/>
      <c r="H39" s="199"/>
      <c r="I39" s="26"/>
      <c r="J39" s="190"/>
      <c r="K39" s="34"/>
    </row>
    <row r="40" spans="1:11" s="1" customFormat="1" ht="15" hidden="1">
      <c r="A40" s="14" t="s">
        <v>18</v>
      </c>
      <c r="B40" s="24">
        <v>3</v>
      </c>
      <c r="C40" s="26">
        <v>3</v>
      </c>
      <c r="D40" s="25">
        <f>SUM(B40,-C40)</f>
        <v>0</v>
      </c>
      <c r="E40" s="24"/>
      <c r="F40" s="26"/>
      <c r="G40" s="26"/>
      <c r="H40" s="199"/>
      <c r="I40" s="26"/>
      <c r="J40" s="190"/>
      <c r="K40" s="34"/>
    </row>
    <row r="41" spans="1:11" s="1" customFormat="1" ht="15" hidden="1">
      <c r="A41" s="14" t="s">
        <v>19</v>
      </c>
      <c r="B41" s="24">
        <v>399.64</v>
      </c>
      <c r="C41" s="26">
        <v>399.64</v>
      </c>
      <c r="D41" s="25">
        <f>SUM(B41,-C41)</f>
        <v>0</v>
      </c>
      <c r="E41" s="24"/>
      <c r="F41" s="26"/>
      <c r="G41" s="26"/>
      <c r="H41" s="199"/>
      <c r="I41" s="26"/>
      <c r="J41" s="190"/>
      <c r="K41" s="34"/>
    </row>
    <row r="42" spans="1:11" ht="6.75" customHeight="1" thickBot="1">
      <c r="A42" s="16"/>
      <c r="B42" s="27"/>
      <c r="C42" s="28"/>
      <c r="D42" s="57"/>
      <c r="E42" s="29"/>
      <c r="F42" s="28"/>
      <c r="G42" s="28"/>
      <c r="H42" s="200"/>
      <c r="I42" s="28"/>
      <c r="J42" s="191"/>
      <c r="K42" s="56"/>
    </row>
    <row r="43" spans="1:2" ht="13.5" thickTop="1">
      <c r="A43" s="4"/>
      <c r="B43" s="5"/>
    </row>
    <row r="44" spans="1:2" ht="12.75">
      <c r="A44" s="4"/>
      <c r="B44" s="5"/>
    </row>
    <row r="45" spans="1:2" ht="12.75">
      <c r="A45" s="4"/>
      <c r="B45" s="5"/>
    </row>
    <row r="46" ht="12.75">
      <c r="A46" s="13"/>
    </row>
  </sheetData>
  <mergeCells count="20">
    <mergeCell ref="J12:J13"/>
    <mergeCell ref="J2:K2"/>
    <mergeCell ref="F17:F18"/>
    <mergeCell ref="G17:G18"/>
    <mergeCell ref="H17:H18"/>
    <mergeCell ref="K17:K18"/>
    <mergeCell ref="B17:B18"/>
    <mergeCell ref="C17:C18"/>
    <mergeCell ref="D17:D18"/>
    <mergeCell ref="E17:E18"/>
    <mergeCell ref="A1:K1"/>
    <mergeCell ref="B12:B13"/>
    <mergeCell ref="C12:C13"/>
    <mergeCell ref="D12:D13"/>
    <mergeCell ref="E12:E13"/>
    <mergeCell ref="F12:F13"/>
    <mergeCell ref="G12:G13"/>
    <mergeCell ref="H12:H13"/>
    <mergeCell ref="K12:K13"/>
    <mergeCell ref="I12:I1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N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R29"/>
  <sheetViews>
    <sheetView workbookViewId="0" topLeftCell="A1">
      <selection activeCell="A1" sqref="A1:N1"/>
    </sheetView>
  </sheetViews>
  <sheetFormatPr defaultColWidth="9.00390625" defaultRowHeight="12.75"/>
  <cols>
    <col min="1" max="1" width="2.75390625" style="0" customWidth="1"/>
    <col min="4" max="4" width="10.75390625" style="0" customWidth="1"/>
    <col min="6" max="17" width="8.25390625" style="0" customWidth="1"/>
    <col min="18" max="18" width="2.75390625" style="0" customWidth="1"/>
  </cols>
  <sheetData>
    <row r="1" spans="1:18" ht="25.5" customHeight="1">
      <c r="A1" s="743" t="s">
        <v>125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</row>
    <row r="2" spans="1:18" ht="18">
      <c r="A2" s="852" t="s">
        <v>126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</row>
    <row r="3" spans="15:17" ht="15" customHeight="1" thickBot="1">
      <c r="O3" s="731" t="s">
        <v>104</v>
      </c>
      <c r="P3" s="731"/>
      <c r="Q3" s="731"/>
    </row>
    <row r="4" spans="6:17" ht="14.25" thickBot="1" thickTop="1">
      <c r="F4" s="734">
        <v>2005</v>
      </c>
      <c r="G4" s="712"/>
      <c r="H4" s="734">
        <v>2006</v>
      </c>
      <c r="I4" s="735"/>
      <c r="J4" s="734">
        <v>2007</v>
      </c>
      <c r="K4" s="735"/>
      <c r="L4" s="734">
        <v>2008</v>
      </c>
      <c r="M4" s="735"/>
      <c r="N4" s="734">
        <v>2009</v>
      </c>
      <c r="O4" s="735"/>
      <c r="P4" s="734">
        <v>2010</v>
      </c>
      <c r="Q4" s="735"/>
    </row>
    <row r="5" spans="2:17" ht="13.5" thickTop="1">
      <c r="B5" s="705" t="s">
        <v>41</v>
      </c>
      <c r="C5" s="706"/>
      <c r="D5" s="706"/>
      <c r="E5" s="711" t="s">
        <v>42</v>
      </c>
      <c r="F5" s="700">
        <v>6200</v>
      </c>
      <c r="G5" s="701"/>
      <c r="H5" s="700">
        <v>6300</v>
      </c>
      <c r="I5" s="701"/>
      <c r="J5" s="700">
        <v>6400</v>
      </c>
      <c r="K5" s="701"/>
      <c r="L5" s="700">
        <v>6500</v>
      </c>
      <c r="M5" s="701"/>
      <c r="N5" s="700">
        <v>6600</v>
      </c>
      <c r="O5" s="701"/>
      <c r="P5" s="700">
        <v>6700</v>
      </c>
      <c r="Q5" s="701"/>
    </row>
    <row r="6" spans="2:17" ht="12.75">
      <c r="B6" s="707"/>
      <c r="C6" s="708"/>
      <c r="D6" s="708"/>
      <c r="E6" s="698"/>
      <c r="F6" s="702"/>
      <c r="G6" s="703"/>
      <c r="H6" s="702"/>
      <c r="I6" s="703"/>
      <c r="J6" s="702"/>
      <c r="K6" s="703"/>
      <c r="L6" s="702"/>
      <c r="M6" s="703"/>
      <c r="N6" s="702"/>
      <c r="O6" s="703"/>
      <c r="P6" s="702"/>
      <c r="Q6" s="703"/>
    </row>
    <row r="7" spans="2:17" ht="13.5" thickBot="1">
      <c r="B7" s="709"/>
      <c r="C7" s="710"/>
      <c r="D7" s="710"/>
      <c r="E7" s="699"/>
      <c r="F7" s="695"/>
      <c r="G7" s="696"/>
      <c r="H7" s="695"/>
      <c r="I7" s="696"/>
      <c r="J7" s="695"/>
      <c r="K7" s="696"/>
      <c r="L7" s="695"/>
      <c r="M7" s="696"/>
      <c r="N7" s="695"/>
      <c r="O7" s="696"/>
      <c r="P7" s="695"/>
      <c r="Q7" s="696"/>
    </row>
    <row r="8" spans="2:17" ht="15" customHeight="1">
      <c r="B8" s="1106" t="s">
        <v>122</v>
      </c>
      <c r="C8" s="1107"/>
      <c r="D8" s="1108"/>
      <c r="E8" s="1109" t="s">
        <v>100</v>
      </c>
      <c r="F8" s="1097">
        <v>34.578</v>
      </c>
      <c r="G8" s="1105"/>
      <c r="H8" s="1097">
        <v>34.578</v>
      </c>
      <c r="I8" s="1105"/>
      <c r="J8" s="1097">
        <v>34.578</v>
      </c>
      <c r="K8" s="1105"/>
      <c r="L8" s="1097">
        <v>34.578</v>
      </c>
      <c r="M8" s="1105"/>
      <c r="N8" s="1097">
        <v>34.578</v>
      </c>
      <c r="O8" s="1105"/>
      <c r="P8" s="1097">
        <v>34.578</v>
      </c>
      <c r="Q8" s="1105"/>
    </row>
    <row r="9" spans="2:17" ht="15" customHeight="1" thickBot="1">
      <c r="B9" s="707"/>
      <c r="C9" s="708"/>
      <c r="D9" s="1081"/>
      <c r="E9" s="1104"/>
      <c r="F9" s="1101">
        <f>365*$F$5*F8/100</f>
        <v>782500.14</v>
      </c>
      <c r="G9" s="1102"/>
      <c r="H9" s="1101">
        <f>365*$H$5*H8/100</f>
        <v>795121.11</v>
      </c>
      <c r="I9" s="1102"/>
      <c r="J9" s="1101">
        <f>365*$J$5*J8/100</f>
        <v>807742.08</v>
      </c>
      <c r="K9" s="1102"/>
      <c r="L9" s="1101">
        <f>365*$L$5*L8/100</f>
        <v>820363.05</v>
      </c>
      <c r="M9" s="1102"/>
      <c r="N9" s="1101">
        <f>365*$N$5*N8/100</f>
        <v>832984.02</v>
      </c>
      <c r="O9" s="1102"/>
      <c r="P9" s="1101">
        <f>365*$P$5*P8/100</f>
        <v>845604.99</v>
      </c>
      <c r="Q9" s="1102"/>
    </row>
    <row r="10" spans="2:17" ht="15" customHeight="1">
      <c r="B10" s="707"/>
      <c r="C10" s="708"/>
      <c r="D10" s="1081"/>
      <c r="E10" s="1103" t="s">
        <v>101</v>
      </c>
      <c r="F10" s="1083">
        <v>2.25</v>
      </c>
      <c r="G10" s="1084"/>
      <c r="H10" s="1083">
        <v>2.25</v>
      </c>
      <c r="I10" s="1084"/>
      <c r="J10" s="1083">
        <v>2.25</v>
      </c>
      <c r="K10" s="1084"/>
      <c r="L10" s="1083">
        <v>2.25</v>
      </c>
      <c r="M10" s="1084"/>
      <c r="N10" s="1083">
        <v>2.25</v>
      </c>
      <c r="O10" s="1084"/>
      <c r="P10" s="1083">
        <v>2.25</v>
      </c>
      <c r="Q10" s="1084"/>
    </row>
    <row r="11" spans="2:17" ht="15" customHeight="1" thickBot="1">
      <c r="B11" s="707"/>
      <c r="C11" s="708"/>
      <c r="D11" s="1081"/>
      <c r="E11" s="1104"/>
      <c r="F11" s="1101">
        <f>365*$F$5*F10/100</f>
        <v>50917.5</v>
      </c>
      <c r="G11" s="1102"/>
      <c r="H11" s="1101">
        <f>365*$H$5*H10/100</f>
        <v>51738.75</v>
      </c>
      <c r="I11" s="1102"/>
      <c r="J11" s="1101">
        <f>365*$J$5*J10/100</f>
        <v>52560</v>
      </c>
      <c r="K11" s="1102"/>
      <c r="L11" s="1101">
        <f>365*$L$5*L10/100</f>
        <v>53381.25</v>
      </c>
      <c r="M11" s="1102"/>
      <c r="N11" s="1101">
        <f>365*$N$5*N10/100</f>
        <v>54202.5</v>
      </c>
      <c r="O11" s="1102"/>
      <c r="P11" s="1101">
        <f>365*$P$5*P10/100</f>
        <v>55023.75</v>
      </c>
      <c r="Q11" s="1102"/>
    </row>
    <row r="12" spans="2:17" ht="15" customHeight="1">
      <c r="B12" s="707"/>
      <c r="C12" s="708"/>
      <c r="D12" s="1081"/>
      <c r="E12" s="1103" t="s">
        <v>98</v>
      </c>
      <c r="F12" s="1083">
        <v>49.855</v>
      </c>
      <c r="G12" s="1084"/>
      <c r="H12" s="1083">
        <v>49.855</v>
      </c>
      <c r="I12" s="1084"/>
      <c r="J12" s="1083">
        <v>49.855</v>
      </c>
      <c r="K12" s="1084"/>
      <c r="L12" s="1083">
        <v>49.855</v>
      </c>
      <c r="M12" s="1084"/>
      <c r="N12" s="1083">
        <v>49.855</v>
      </c>
      <c r="O12" s="1084"/>
      <c r="P12" s="1083">
        <v>49.855</v>
      </c>
      <c r="Q12" s="1084"/>
    </row>
    <row r="13" spans="2:17" ht="15" customHeight="1" thickBot="1">
      <c r="B13" s="707"/>
      <c r="C13" s="708"/>
      <c r="D13" s="1081"/>
      <c r="E13" s="1104"/>
      <c r="F13" s="1101">
        <f>365*$F$5*F12/100</f>
        <v>1128218.65</v>
      </c>
      <c r="G13" s="1102"/>
      <c r="H13" s="1101">
        <f>365*$H$5*H12/100</f>
        <v>1146415.725</v>
      </c>
      <c r="I13" s="1102"/>
      <c r="J13" s="1101">
        <f>365*$J$5*J12/100</f>
        <v>1164612.8</v>
      </c>
      <c r="K13" s="1102"/>
      <c r="L13" s="1101">
        <f>365*$L$5*L12/100</f>
        <v>1182809.875</v>
      </c>
      <c r="M13" s="1102"/>
      <c r="N13" s="1101">
        <f>365*$N$5*N12/100</f>
        <v>1201006.95</v>
      </c>
      <c r="O13" s="1102"/>
      <c r="P13" s="1101">
        <f>365*$P$5*P12/100</f>
        <v>1219204.025</v>
      </c>
      <c r="Q13" s="1102"/>
    </row>
    <row r="14" spans="2:17" ht="15" customHeight="1">
      <c r="B14" s="707"/>
      <c r="C14" s="708"/>
      <c r="D14" s="1081"/>
      <c r="E14" s="800" t="s">
        <v>102</v>
      </c>
      <c r="F14" s="1097">
        <v>13.313</v>
      </c>
      <c r="G14" s="1098"/>
      <c r="H14" s="1097">
        <v>13.313</v>
      </c>
      <c r="I14" s="1098"/>
      <c r="J14" s="1097">
        <v>13.313</v>
      </c>
      <c r="K14" s="1098"/>
      <c r="L14" s="1097">
        <v>13.313</v>
      </c>
      <c r="M14" s="1098"/>
      <c r="N14" s="1097">
        <v>13.313</v>
      </c>
      <c r="O14" s="1098"/>
      <c r="P14" s="1097">
        <v>13.313</v>
      </c>
      <c r="Q14" s="1098"/>
    </row>
    <row r="15" spans="2:17" ht="15" customHeight="1" thickBot="1">
      <c r="B15" s="747"/>
      <c r="C15" s="803"/>
      <c r="D15" s="1095"/>
      <c r="E15" s="748"/>
      <c r="F15" s="1099">
        <f>365*$F$5*F14/100</f>
        <v>301273.19</v>
      </c>
      <c r="G15" s="1100"/>
      <c r="H15" s="1099">
        <f>365*$H$5*H14/100</f>
        <v>306132.435</v>
      </c>
      <c r="I15" s="1100"/>
      <c r="J15" s="1099">
        <f>365*$J$5*J14/100</f>
        <v>310991.68</v>
      </c>
      <c r="K15" s="1100"/>
      <c r="L15" s="1099">
        <f>365*$L$5*L14/100</f>
        <v>315850.925</v>
      </c>
      <c r="M15" s="1100"/>
      <c r="N15" s="1099">
        <f>365*$N$5*N14/100</f>
        <v>320710.17</v>
      </c>
      <c r="O15" s="1100"/>
      <c r="P15" s="1099">
        <f>365*$P$5*P14/100</f>
        <v>325569.415</v>
      </c>
      <c r="Q15" s="1100"/>
    </row>
    <row r="16" spans="2:17" ht="15" customHeight="1" hidden="1">
      <c r="B16" s="705" t="s">
        <v>110</v>
      </c>
      <c r="C16" s="706"/>
      <c r="D16" s="1094"/>
      <c r="E16" s="1096" t="s">
        <v>100</v>
      </c>
      <c r="F16" s="1092">
        <v>15500</v>
      </c>
      <c r="G16" s="1093"/>
      <c r="H16" s="1092">
        <v>15500</v>
      </c>
      <c r="I16" s="1093"/>
      <c r="J16" s="1092">
        <v>15500</v>
      </c>
      <c r="K16" s="1093"/>
      <c r="L16" s="1092">
        <v>15500</v>
      </c>
      <c r="M16" s="1093"/>
      <c r="N16" s="1092">
        <v>15500</v>
      </c>
      <c r="O16" s="1093"/>
      <c r="P16" s="1092">
        <v>15500</v>
      </c>
      <c r="Q16" s="1093"/>
    </row>
    <row r="17" spans="2:17" ht="15" customHeight="1" hidden="1">
      <c r="B17" s="707"/>
      <c r="C17" s="708"/>
      <c r="D17" s="1081"/>
      <c r="E17" s="1091"/>
      <c r="F17" s="1089">
        <v>0.48</v>
      </c>
      <c r="G17" s="1090"/>
      <c r="H17" s="1089">
        <v>0.48</v>
      </c>
      <c r="I17" s="1090"/>
      <c r="J17" s="1089">
        <v>0.48</v>
      </c>
      <c r="K17" s="1090"/>
      <c r="L17" s="1089">
        <v>0.48</v>
      </c>
      <c r="M17" s="1090"/>
      <c r="N17" s="1089">
        <v>0.27</v>
      </c>
      <c r="O17" s="1090"/>
      <c r="P17" s="1089">
        <v>0.27</v>
      </c>
      <c r="Q17" s="1090"/>
    </row>
    <row r="18" spans="2:17" ht="15" customHeight="1" hidden="1">
      <c r="B18" s="707"/>
      <c r="C18" s="708"/>
      <c r="D18" s="1081"/>
      <c r="E18" s="1087" t="s">
        <v>101</v>
      </c>
      <c r="F18" s="1083">
        <v>14500</v>
      </c>
      <c r="G18" s="1084"/>
      <c r="H18" s="1083">
        <v>14500</v>
      </c>
      <c r="I18" s="1084"/>
      <c r="J18" s="1083">
        <v>14500</v>
      </c>
      <c r="K18" s="1084"/>
      <c r="L18" s="1083">
        <v>14500</v>
      </c>
      <c r="M18" s="1084"/>
      <c r="N18" s="1083">
        <v>14500</v>
      </c>
      <c r="O18" s="1084"/>
      <c r="P18" s="1083">
        <v>14500</v>
      </c>
      <c r="Q18" s="1084"/>
    </row>
    <row r="19" spans="2:17" ht="15" customHeight="1" hidden="1">
      <c r="B19" s="707"/>
      <c r="C19" s="708"/>
      <c r="D19" s="1081"/>
      <c r="E19" s="1091"/>
      <c r="F19" s="1089">
        <v>0.47</v>
      </c>
      <c r="G19" s="1090"/>
      <c r="H19" s="1089">
        <v>0.47</v>
      </c>
      <c r="I19" s="1090"/>
      <c r="J19" s="1089">
        <v>0.47</v>
      </c>
      <c r="K19" s="1090"/>
      <c r="L19" s="1089">
        <v>0.47</v>
      </c>
      <c r="M19" s="1090"/>
      <c r="N19" s="1089">
        <v>0.27</v>
      </c>
      <c r="O19" s="1090"/>
      <c r="P19" s="1089">
        <v>0.27</v>
      </c>
      <c r="Q19" s="1090"/>
    </row>
    <row r="20" spans="2:17" ht="15" customHeight="1" hidden="1">
      <c r="B20" s="707"/>
      <c r="C20" s="708"/>
      <c r="D20" s="1081"/>
      <c r="E20" s="1087" t="s">
        <v>98</v>
      </c>
      <c r="F20" s="1083">
        <v>14500</v>
      </c>
      <c r="G20" s="1084"/>
      <c r="H20" s="1083">
        <v>14500</v>
      </c>
      <c r="I20" s="1084"/>
      <c r="J20" s="1083">
        <v>14500</v>
      </c>
      <c r="K20" s="1084"/>
      <c r="L20" s="1083">
        <v>14500</v>
      </c>
      <c r="M20" s="1084"/>
      <c r="N20" s="1083">
        <v>14500</v>
      </c>
      <c r="O20" s="1084"/>
      <c r="P20" s="1083">
        <v>14500</v>
      </c>
      <c r="Q20" s="1084"/>
    </row>
    <row r="21" spans="2:17" ht="15" customHeight="1" hidden="1">
      <c r="B21" s="707"/>
      <c r="C21" s="708"/>
      <c r="D21" s="1081"/>
      <c r="E21" s="1091"/>
      <c r="F21" s="1089">
        <v>0.47</v>
      </c>
      <c r="G21" s="1090"/>
      <c r="H21" s="1089">
        <v>0.47</v>
      </c>
      <c r="I21" s="1090"/>
      <c r="J21" s="1089">
        <v>0.47</v>
      </c>
      <c r="K21" s="1090"/>
      <c r="L21" s="1089">
        <v>0.47</v>
      </c>
      <c r="M21" s="1090"/>
      <c r="N21" s="1089">
        <v>0.27</v>
      </c>
      <c r="O21" s="1090"/>
      <c r="P21" s="1089">
        <v>0.27</v>
      </c>
      <c r="Q21" s="1090"/>
    </row>
    <row r="22" spans="2:17" ht="15" customHeight="1" hidden="1">
      <c r="B22" s="707"/>
      <c r="C22" s="708"/>
      <c r="D22" s="1081"/>
      <c r="E22" s="1087" t="s">
        <v>102</v>
      </c>
      <c r="F22" s="1083">
        <v>800</v>
      </c>
      <c r="G22" s="1084"/>
      <c r="H22" s="1083">
        <v>800</v>
      </c>
      <c r="I22" s="1084"/>
      <c r="J22" s="1083">
        <v>800</v>
      </c>
      <c r="K22" s="1084"/>
      <c r="L22" s="1083">
        <v>800</v>
      </c>
      <c r="M22" s="1084"/>
      <c r="N22" s="1083">
        <v>800</v>
      </c>
      <c r="O22" s="1084"/>
      <c r="P22" s="1083">
        <v>800</v>
      </c>
      <c r="Q22" s="1084"/>
    </row>
    <row r="23" spans="2:17" ht="15" customHeight="1" hidden="1">
      <c r="B23" s="747"/>
      <c r="C23" s="803"/>
      <c r="D23" s="1095"/>
      <c r="E23" s="1088"/>
      <c r="F23" s="1085">
        <v>0.03</v>
      </c>
      <c r="G23" s="1086"/>
      <c r="H23" s="1085">
        <v>0.03</v>
      </c>
      <c r="I23" s="1086"/>
      <c r="J23" s="1085">
        <v>0.03</v>
      </c>
      <c r="K23" s="1086"/>
      <c r="L23" s="1085">
        <v>0.03</v>
      </c>
      <c r="M23" s="1086"/>
      <c r="N23" s="1085">
        <v>0.02</v>
      </c>
      <c r="O23" s="1086"/>
      <c r="P23" s="1085">
        <v>0.02</v>
      </c>
      <c r="Q23" s="1086"/>
    </row>
    <row r="24" spans="2:17" ht="26.25" customHeight="1" hidden="1">
      <c r="B24" s="707" t="s">
        <v>105</v>
      </c>
      <c r="C24" s="708"/>
      <c r="D24" s="1081"/>
      <c r="E24" s="68" t="s">
        <v>100</v>
      </c>
      <c r="F24" s="1072">
        <f>F17*F9/0.75</f>
        <v>500800.0896</v>
      </c>
      <c r="G24" s="1073"/>
      <c r="H24" s="1072">
        <f>H17*H9/0.75</f>
        <v>508877.51039999997</v>
      </c>
      <c r="I24" s="1073"/>
      <c r="J24" s="1072">
        <f>J17*J9/0.75</f>
        <v>516954.9312</v>
      </c>
      <c r="K24" s="1073"/>
      <c r="L24" s="1072">
        <f>L17*L9/0.75</f>
        <v>525032.3520000001</v>
      </c>
      <c r="M24" s="1073"/>
      <c r="N24" s="1072">
        <f>N17*N9/0.75</f>
        <v>299874.24720000004</v>
      </c>
      <c r="O24" s="1073"/>
      <c r="P24" s="1072">
        <f>P17*P9/0.75</f>
        <v>304417.79640000005</v>
      </c>
      <c r="Q24" s="1073"/>
    </row>
    <row r="25" spans="2:17" ht="26.25" customHeight="1" hidden="1">
      <c r="B25" s="707"/>
      <c r="C25" s="708"/>
      <c r="D25" s="1081"/>
      <c r="E25" s="68" t="s">
        <v>101</v>
      </c>
      <c r="F25" s="1072">
        <f>F19*F11/0.8</f>
        <v>29914.031249999996</v>
      </c>
      <c r="G25" s="1073"/>
      <c r="H25" s="1072">
        <f>H19*H11/0.8</f>
        <v>30396.515624999996</v>
      </c>
      <c r="I25" s="1073"/>
      <c r="J25" s="1072">
        <f>J19*J11/0.8</f>
        <v>30878.999999999996</v>
      </c>
      <c r="K25" s="1073"/>
      <c r="L25" s="1072">
        <f>L19*L11/0.8</f>
        <v>31361.484375</v>
      </c>
      <c r="M25" s="1073"/>
      <c r="N25" s="1072">
        <f>N19*N11/0.8</f>
        <v>18293.34375</v>
      </c>
      <c r="O25" s="1073"/>
      <c r="P25" s="1072">
        <f>P19*P11/0.8</f>
        <v>18570.515625</v>
      </c>
      <c r="Q25" s="1073"/>
    </row>
    <row r="26" spans="2:17" ht="26.25" customHeight="1" hidden="1">
      <c r="B26" s="707"/>
      <c r="C26" s="708"/>
      <c r="D26" s="1081"/>
      <c r="E26" s="180" t="s">
        <v>98</v>
      </c>
      <c r="F26" s="1072">
        <f>F21*F13/0.83</f>
        <v>638870.8018072289</v>
      </c>
      <c r="G26" s="1073"/>
      <c r="H26" s="1072">
        <f>H21*H13/0.83</f>
        <v>649175.1695783134</v>
      </c>
      <c r="I26" s="1073"/>
      <c r="J26" s="1072">
        <f>J21*J13/0.83</f>
        <v>659479.5373493975</v>
      </c>
      <c r="K26" s="1073"/>
      <c r="L26" s="1072">
        <f>L21*L13/0.83</f>
        <v>669783.905120482</v>
      </c>
      <c r="M26" s="1073"/>
      <c r="N26" s="1072">
        <f>N21*N13/0.83</f>
        <v>390689.00783132535</v>
      </c>
      <c r="O26" s="1073"/>
      <c r="P26" s="1072">
        <f>P21*P13/0.83</f>
        <v>396608.5382530121</v>
      </c>
      <c r="Q26" s="1073"/>
    </row>
    <row r="27" spans="2:17" ht="26.25" customHeight="1" hidden="1">
      <c r="B27" s="709"/>
      <c r="C27" s="710"/>
      <c r="D27" s="1082"/>
      <c r="E27" s="180" t="s">
        <v>102</v>
      </c>
      <c r="F27" s="1070">
        <f>F23*F15</f>
        <v>9038.1957</v>
      </c>
      <c r="G27" s="1071"/>
      <c r="H27" s="1070">
        <f>H23*H15</f>
        <v>9183.973049999999</v>
      </c>
      <c r="I27" s="1071"/>
      <c r="J27" s="1070">
        <f>J23*J15</f>
        <v>9329.750399999999</v>
      </c>
      <c r="K27" s="1071"/>
      <c r="L27" s="1070">
        <f>L23*L15</f>
        <v>9475.52775</v>
      </c>
      <c r="M27" s="1071"/>
      <c r="N27" s="1070">
        <f>N23*N15</f>
        <v>6414.203399999999</v>
      </c>
      <c r="O27" s="1071"/>
      <c r="P27" s="1070">
        <f>P23*P15</f>
        <v>6511.3883</v>
      </c>
      <c r="Q27" s="1071"/>
    </row>
    <row r="28" spans="2:17" ht="13.5" customHeight="1" hidden="1">
      <c r="B28" s="1079" t="s">
        <v>53</v>
      </c>
      <c r="C28" s="770"/>
      <c r="D28" s="1080"/>
      <c r="E28" s="79" t="s">
        <v>42</v>
      </c>
      <c r="F28" s="769">
        <f>SUM(F24:F27)</f>
        <v>1178623.118357229</v>
      </c>
      <c r="G28" s="693"/>
      <c r="H28" s="769">
        <f>SUM(H24:H27)</f>
        <v>1197633.1686533133</v>
      </c>
      <c r="I28" s="693"/>
      <c r="J28" s="769">
        <f>SUM(J24:J27)</f>
        <v>1216643.2189493976</v>
      </c>
      <c r="K28" s="693"/>
      <c r="L28" s="769">
        <f>SUM(L24:L27)</f>
        <v>1235653.269245482</v>
      </c>
      <c r="M28" s="693"/>
      <c r="N28" s="769">
        <f>SUM(N24:N27)</f>
        <v>715270.8021813254</v>
      </c>
      <c r="O28" s="693"/>
      <c r="P28" s="769">
        <f>SUM(P24:P27)</f>
        <v>726108.2385780122</v>
      </c>
      <c r="Q28" s="693"/>
    </row>
    <row r="29" spans="2:17" ht="26.25" customHeight="1" hidden="1">
      <c r="B29" s="1076" t="s">
        <v>111</v>
      </c>
      <c r="C29" s="1077"/>
      <c r="D29" s="1078"/>
      <c r="E29" s="183" t="s">
        <v>112</v>
      </c>
      <c r="F29" s="1074">
        <f>SUM(F24:G27)</f>
        <v>1178623.118357229</v>
      </c>
      <c r="G29" s="1075"/>
      <c r="H29" s="1074">
        <f>SUM(H24:I27)</f>
        <v>1197633.1686533133</v>
      </c>
      <c r="I29" s="1075"/>
      <c r="J29" s="1074">
        <f>SUM(J24:K27)</f>
        <v>1216643.2189493976</v>
      </c>
      <c r="K29" s="1075"/>
      <c r="L29" s="1074">
        <f>SUM(L24:M27)</f>
        <v>1235653.269245482</v>
      </c>
      <c r="M29" s="1075"/>
      <c r="N29" s="1074">
        <f>SUM(N24:O27)</f>
        <v>715270.8021813254</v>
      </c>
      <c r="O29" s="1075"/>
      <c r="P29" s="1074">
        <f>SUM(P24:Q27)</f>
        <v>726108.2385780122</v>
      </c>
      <c r="Q29" s="1075"/>
    </row>
    <row r="30" ht="13.5" hidden="1" thickTop="1"/>
    <row r="31" ht="13.5" thickTop="1"/>
  </sheetData>
  <mergeCells count="162">
    <mergeCell ref="A2:R2"/>
    <mergeCell ref="O3:Q3"/>
    <mergeCell ref="F4:G4"/>
    <mergeCell ref="H4:I4"/>
    <mergeCell ref="J4:K4"/>
    <mergeCell ref="L4:M4"/>
    <mergeCell ref="N4:O4"/>
    <mergeCell ref="P4:Q4"/>
    <mergeCell ref="B5:D7"/>
    <mergeCell ref="E5:E7"/>
    <mergeCell ref="F5:G7"/>
    <mergeCell ref="H5:I7"/>
    <mergeCell ref="J5:K7"/>
    <mergeCell ref="L5:M7"/>
    <mergeCell ref="N5:O7"/>
    <mergeCell ref="P5:Q7"/>
    <mergeCell ref="B8:D15"/>
    <mergeCell ref="E8:E9"/>
    <mergeCell ref="F8:G8"/>
    <mergeCell ref="H8:I8"/>
    <mergeCell ref="F9:G9"/>
    <mergeCell ref="H9:I9"/>
    <mergeCell ref="E10:E11"/>
    <mergeCell ref="F10:G10"/>
    <mergeCell ref="H10:I10"/>
    <mergeCell ref="F11:G11"/>
    <mergeCell ref="J8:K8"/>
    <mergeCell ref="L8:M8"/>
    <mergeCell ref="N8:O8"/>
    <mergeCell ref="P8:Q8"/>
    <mergeCell ref="J9:K9"/>
    <mergeCell ref="L9:M9"/>
    <mergeCell ref="N9:O9"/>
    <mergeCell ref="P9:Q9"/>
    <mergeCell ref="J10:K10"/>
    <mergeCell ref="L10:M10"/>
    <mergeCell ref="N10:O10"/>
    <mergeCell ref="P10:Q10"/>
    <mergeCell ref="H11:I11"/>
    <mergeCell ref="J11:K11"/>
    <mergeCell ref="L11:M11"/>
    <mergeCell ref="N11:O11"/>
    <mergeCell ref="P11:Q11"/>
    <mergeCell ref="E12:E13"/>
    <mergeCell ref="F12:G12"/>
    <mergeCell ref="H12:I12"/>
    <mergeCell ref="J12:K12"/>
    <mergeCell ref="L12:M12"/>
    <mergeCell ref="N12:O12"/>
    <mergeCell ref="P12:Q12"/>
    <mergeCell ref="F13:G13"/>
    <mergeCell ref="H13:I13"/>
    <mergeCell ref="J13:K13"/>
    <mergeCell ref="L13:M13"/>
    <mergeCell ref="N13:O13"/>
    <mergeCell ref="P13:Q13"/>
    <mergeCell ref="E14:E15"/>
    <mergeCell ref="F14:G14"/>
    <mergeCell ref="H14:I14"/>
    <mergeCell ref="J14:K14"/>
    <mergeCell ref="L14:M14"/>
    <mergeCell ref="N14:O14"/>
    <mergeCell ref="P14:Q14"/>
    <mergeCell ref="F15:G15"/>
    <mergeCell ref="H15:I15"/>
    <mergeCell ref="J15:K15"/>
    <mergeCell ref="L15:M15"/>
    <mergeCell ref="N15:O15"/>
    <mergeCell ref="P15:Q15"/>
    <mergeCell ref="B16:D23"/>
    <mergeCell ref="E16:E17"/>
    <mergeCell ref="F16:G16"/>
    <mergeCell ref="H16:I16"/>
    <mergeCell ref="F17:G17"/>
    <mergeCell ref="H17:I17"/>
    <mergeCell ref="E18:E19"/>
    <mergeCell ref="F18:G18"/>
    <mergeCell ref="H18:I18"/>
    <mergeCell ref="F19:G19"/>
    <mergeCell ref="J16:K16"/>
    <mergeCell ref="L16:M16"/>
    <mergeCell ref="N16:O16"/>
    <mergeCell ref="P16:Q16"/>
    <mergeCell ref="J17:K17"/>
    <mergeCell ref="L17:M17"/>
    <mergeCell ref="N17:O17"/>
    <mergeCell ref="P17:Q17"/>
    <mergeCell ref="J18:K18"/>
    <mergeCell ref="L18:M18"/>
    <mergeCell ref="N18:O18"/>
    <mergeCell ref="P18:Q18"/>
    <mergeCell ref="H19:I19"/>
    <mergeCell ref="J19:K19"/>
    <mergeCell ref="L19:M19"/>
    <mergeCell ref="N19:O19"/>
    <mergeCell ref="P19:Q19"/>
    <mergeCell ref="E20:E21"/>
    <mergeCell ref="F20:G20"/>
    <mergeCell ref="H20:I20"/>
    <mergeCell ref="J20:K20"/>
    <mergeCell ref="L20:M20"/>
    <mergeCell ref="N20:O20"/>
    <mergeCell ref="P20:Q20"/>
    <mergeCell ref="F21:G21"/>
    <mergeCell ref="H21:I21"/>
    <mergeCell ref="J21:K21"/>
    <mergeCell ref="L21:M21"/>
    <mergeCell ref="N21:O21"/>
    <mergeCell ref="P21:Q21"/>
    <mergeCell ref="E22:E23"/>
    <mergeCell ref="F22:G22"/>
    <mergeCell ref="H22:I22"/>
    <mergeCell ref="J22:K22"/>
    <mergeCell ref="P22:Q22"/>
    <mergeCell ref="F23:G23"/>
    <mergeCell ref="H23:I23"/>
    <mergeCell ref="J23:K23"/>
    <mergeCell ref="L23:M23"/>
    <mergeCell ref="N23:O23"/>
    <mergeCell ref="P23:Q23"/>
    <mergeCell ref="L22:M22"/>
    <mergeCell ref="L24:M24"/>
    <mergeCell ref="L25:M25"/>
    <mergeCell ref="N22:O22"/>
    <mergeCell ref="N24:O24"/>
    <mergeCell ref="P24:Q24"/>
    <mergeCell ref="N25:O25"/>
    <mergeCell ref="P25:Q25"/>
    <mergeCell ref="B24:D27"/>
    <mergeCell ref="F24:G24"/>
    <mergeCell ref="H24:I24"/>
    <mergeCell ref="J24:K24"/>
    <mergeCell ref="F26:G26"/>
    <mergeCell ref="H26:I26"/>
    <mergeCell ref="J26:K26"/>
    <mergeCell ref="F25:G25"/>
    <mergeCell ref="H25:I25"/>
    <mergeCell ref="J25:K25"/>
    <mergeCell ref="J29:K29"/>
    <mergeCell ref="J27:K27"/>
    <mergeCell ref="B28:D28"/>
    <mergeCell ref="F28:G28"/>
    <mergeCell ref="H28:I28"/>
    <mergeCell ref="J28:K28"/>
    <mergeCell ref="B29:D29"/>
    <mergeCell ref="F29:G29"/>
    <mergeCell ref="H29:I29"/>
    <mergeCell ref="L29:M29"/>
    <mergeCell ref="N29:O29"/>
    <mergeCell ref="P29:Q29"/>
    <mergeCell ref="N27:O27"/>
    <mergeCell ref="P27:Q27"/>
    <mergeCell ref="L27:M27"/>
    <mergeCell ref="A1:R1"/>
    <mergeCell ref="L28:M28"/>
    <mergeCell ref="N28:O28"/>
    <mergeCell ref="P28:Q28"/>
    <mergeCell ref="L26:M26"/>
    <mergeCell ref="N26:O26"/>
    <mergeCell ref="P26:Q26"/>
    <mergeCell ref="F27:G27"/>
    <mergeCell ref="H27:I27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R35"/>
  <sheetViews>
    <sheetView workbookViewId="0" topLeftCell="A19">
      <selection activeCell="A1" sqref="A1:N1"/>
    </sheetView>
  </sheetViews>
  <sheetFormatPr defaultColWidth="9.00390625" defaultRowHeight="12.75"/>
  <cols>
    <col min="1" max="1" width="2.75390625" style="0" customWidth="1"/>
    <col min="4" max="4" width="10.75390625" style="0" customWidth="1"/>
    <col min="6" max="17" width="8.25390625" style="0" customWidth="1"/>
    <col min="18" max="18" width="2.75390625" style="0" customWidth="1"/>
  </cols>
  <sheetData>
    <row r="1" spans="1:18" ht="25.5" customHeight="1">
      <c r="A1" s="743" t="s">
        <v>134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</row>
    <row r="2" spans="1:18" ht="18">
      <c r="A2" s="852" t="s">
        <v>135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</row>
    <row r="3" spans="15:17" ht="15" customHeight="1" thickBot="1">
      <c r="O3" s="731" t="s">
        <v>142</v>
      </c>
      <c r="P3" s="731"/>
      <c r="Q3" s="731"/>
    </row>
    <row r="4" spans="6:17" ht="14.25" thickBot="1" thickTop="1">
      <c r="F4" s="734">
        <v>2003</v>
      </c>
      <c r="G4" s="712"/>
      <c r="H4" s="734">
        <v>2004</v>
      </c>
      <c r="I4" s="735"/>
      <c r="J4" s="734">
        <v>2005</v>
      </c>
      <c r="K4" s="735"/>
      <c r="L4" s="734">
        <v>2006</v>
      </c>
      <c r="M4" s="735"/>
      <c r="N4" s="734">
        <v>2007</v>
      </c>
      <c r="O4" s="735"/>
      <c r="P4" s="734">
        <v>2008</v>
      </c>
      <c r="Q4" s="735"/>
    </row>
    <row r="5" spans="2:17" ht="13.5" thickTop="1">
      <c r="B5" s="705" t="s">
        <v>41</v>
      </c>
      <c r="C5" s="706"/>
      <c r="D5" s="706"/>
      <c r="E5" s="711" t="s">
        <v>42</v>
      </c>
      <c r="F5" s="700">
        <v>6156</v>
      </c>
      <c r="G5" s="701"/>
      <c r="H5" s="700">
        <v>6156</v>
      </c>
      <c r="I5" s="701"/>
      <c r="J5" s="700">
        <v>6200</v>
      </c>
      <c r="K5" s="701"/>
      <c r="L5" s="700">
        <v>6300</v>
      </c>
      <c r="M5" s="701"/>
      <c r="N5" s="700">
        <v>6400</v>
      </c>
      <c r="O5" s="701"/>
      <c r="P5" s="700">
        <v>6500</v>
      </c>
      <c r="Q5" s="701"/>
    </row>
    <row r="6" spans="2:17" ht="12.75">
      <c r="B6" s="707"/>
      <c r="C6" s="708"/>
      <c r="D6" s="708"/>
      <c r="E6" s="698"/>
      <c r="F6" s="702"/>
      <c r="G6" s="703"/>
      <c r="H6" s="702"/>
      <c r="I6" s="703"/>
      <c r="J6" s="702"/>
      <c r="K6" s="703"/>
      <c r="L6" s="702"/>
      <c r="M6" s="703"/>
      <c r="N6" s="702"/>
      <c r="O6" s="703"/>
      <c r="P6" s="702"/>
      <c r="Q6" s="703"/>
    </row>
    <row r="7" spans="2:17" ht="13.5" thickBot="1">
      <c r="B7" s="709"/>
      <c r="C7" s="710"/>
      <c r="D7" s="710"/>
      <c r="E7" s="699"/>
      <c r="F7" s="695"/>
      <c r="G7" s="696"/>
      <c r="H7" s="695"/>
      <c r="I7" s="696"/>
      <c r="J7" s="695"/>
      <c r="K7" s="696"/>
      <c r="L7" s="695"/>
      <c r="M7" s="696"/>
      <c r="N7" s="695"/>
      <c r="O7" s="696"/>
      <c r="P7" s="695"/>
      <c r="Q7" s="696"/>
    </row>
    <row r="8" spans="2:17" ht="13.5" thickBot="1">
      <c r="B8" s="1132" t="s">
        <v>127</v>
      </c>
      <c r="C8" s="1133"/>
      <c r="D8" s="1134"/>
      <c r="E8" s="204" t="s">
        <v>46</v>
      </c>
      <c r="F8" s="1129">
        <v>46</v>
      </c>
      <c r="G8" s="1130"/>
      <c r="H8" s="1129">
        <v>55</v>
      </c>
      <c r="I8" s="1130"/>
      <c r="J8" s="1129">
        <v>64</v>
      </c>
      <c r="K8" s="1130"/>
      <c r="L8" s="1129">
        <v>73</v>
      </c>
      <c r="M8" s="1130"/>
      <c r="N8" s="1129">
        <v>82</v>
      </c>
      <c r="O8" s="1130"/>
      <c r="P8" s="1129">
        <v>90</v>
      </c>
      <c r="Q8" s="1130"/>
    </row>
    <row r="9" spans="2:17" ht="13.5" thickBot="1">
      <c r="B9" s="709"/>
      <c r="C9" s="708"/>
      <c r="D9" s="1081"/>
      <c r="E9" s="204" t="s">
        <v>42</v>
      </c>
      <c r="F9" s="694">
        <f>F5*F8</f>
        <v>283176</v>
      </c>
      <c r="G9" s="1131"/>
      <c r="H9" s="694">
        <f>H5*H8</f>
        <v>338580</v>
      </c>
      <c r="I9" s="1131"/>
      <c r="J9" s="694">
        <f>J5*J8</f>
        <v>396800</v>
      </c>
      <c r="K9" s="1131"/>
      <c r="L9" s="694">
        <f>L5*L8</f>
        <v>459900</v>
      </c>
      <c r="M9" s="1131"/>
      <c r="N9" s="694">
        <f>N5*N8</f>
        <v>524800</v>
      </c>
      <c r="O9" s="1131"/>
      <c r="P9" s="694">
        <f>P5*P8</f>
        <v>585000</v>
      </c>
      <c r="Q9" s="1131"/>
    </row>
    <row r="10" spans="2:17" ht="12.75">
      <c r="B10" s="1123" t="s">
        <v>128</v>
      </c>
      <c r="C10" s="1125" t="s">
        <v>92</v>
      </c>
      <c r="D10" s="1126"/>
      <c r="E10" s="205" t="s">
        <v>44</v>
      </c>
      <c r="F10" s="691">
        <v>30</v>
      </c>
      <c r="G10" s="686"/>
      <c r="H10" s="691">
        <v>30</v>
      </c>
      <c r="I10" s="686"/>
      <c r="J10" s="691">
        <v>30</v>
      </c>
      <c r="K10" s="686"/>
      <c r="L10" s="691">
        <v>30</v>
      </c>
      <c r="M10" s="686"/>
      <c r="N10" s="691">
        <v>30</v>
      </c>
      <c r="O10" s="686"/>
      <c r="P10" s="691">
        <v>30</v>
      </c>
      <c r="Q10" s="686"/>
    </row>
    <row r="11" spans="2:17" ht="13.5" thickBot="1">
      <c r="B11" s="1124"/>
      <c r="C11" s="1127" t="s">
        <v>129</v>
      </c>
      <c r="D11" s="1128"/>
      <c r="E11" s="206" t="s">
        <v>44</v>
      </c>
      <c r="F11" s="1122">
        <v>70</v>
      </c>
      <c r="G11" s="690"/>
      <c r="H11" s="1122">
        <v>70</v>
      </c>
      <c r="I11" s="690"/>
      <c r="J11" s="1122">
        <v>70</v>
      </c>
      <c r="K11" s="690"/>
      <c r="L11" s="1122">
        <v>70</v>
      </c>
      <c r="M11" s="690"/>
      <c r="N11" s="1122">
        <v>70</v>
      </c>
      <c r="O11" s="690"/>
      <c r="P11" s="1122">
        <v>70</v>
      </c>
      <c r="Q11" s="690"/>
    </row>
    <row r="12" spans="2:17" ht="12.75">
      <c r="B12" s="1118" t="s">
        <v>131</v>
      </c>
      <c r="C12" s="1119"/>
      <c r="D12" s="1120"/>
      <c r="E12" s="1109" t="s">
        <v>130</v>
      </c>
      <c r="F12" s="685">
        <v>109913</v>
      </c>
      <c r="G12" s="1116"/>
      <c r="H12" s="685">
        <v>154913</v>
      </c>
      <c r="I12" s="1116"/>
      <c r="J12" s="685">
        <f>J13/0.85</f>
        <v>154912.9411764706</v>
      </c>
      <c r="K12" s="1116"/>
      <c r="L12" s="685">
        <f>L13/0.85</f>
        <v>162317.64705882352</v>
      </c>
      <c r="M12" s="1116"/>
      <c r="N12" s="685">
        <f>N13/0.85</f>
        <v>185223.5294117647</v>
      </c>
      <c r="O12" s="1116"/>
      <c r="P12" s="685">
        <f>P13/0.85</f>
        <v>206470.58823529413</v>
      </c>
      <c r="Q12" s="1116"/>
    </row>
    <row r="13" spans="2:17" ht="13.5" thickBot="1">
      <c r="B13" s="1121" t="s">
        <v>132</v>
      </c>
      <c r="C13" s="977"/>
      <c r="D13" s="668"/>
      <c r="E13" s="1104"/>
      <c r="F13" s="669">
        <f>F12*0.85</f>
        <v>93426.05</v>
      </c>
      <c r="G13" s="1117"/>
      <c r="H13" s="669">
        <f>H12*0.85</f>
        <v>131676.05</v>
      </c>
      <c r="I13" s="1117"/>
      <c r="J13" s="669">
        <v>131676</v>
      </c>
      <c r="K13" s="1117"/>
      <c r="L13" s="669">
        <f>(L10*L9)/100</f>
        <v>137970</v>
      </c>
      <c r="M13" s="1117"/>
      <c r="N13" s="669">
        <f>(N10*N9)/100</f>
        <v>157440</v>
      </c>
      <c r="O13" s="1117"/>
      <c r="P13" s="669">
        <f>(P10*P9)/100</f>
        <v>175500</v>
      </c>
      <c r="Q13" s="1117"/>
    </row>
    <row r="14" spans="2:17" ht="12.75">
      <c r="B14" s="1106" t="s">
        <v>133</v>
      </c>
      <c r="C14" s="1107"/>
      <c r="D14" s="1108"/>
      <c r="E14" s="1109" t="s">
        <v>130</v>
      </c>
      <c r="F14" s="1112">
        <f>F9*0.3</f>
        <v>84952.8</v>
      </c>
      <c r="G14" s="1113"/>
      <c r="H14" s="1112">
        <f>H9*0.3</f>
        <v>101574</v>
      </c>
      <c r="I14" s="1113"/>
      <c r="J14" s="1112">
        <f>J9*0.3</f>
        <v>119040</v>
      </c>
      <c r="K14" s="1113"/>
      <c r="L14" s="1112">
        <f>L9*0.3</f>
        <v>137970</v>
      </c>
      <c r="M14" s="1113"/>
      <c r="N14" s="1112">
        <f>N9*0.3</f>
        <v>157440</v>
      </c>
      <c r="O14" s="1113"/>
      <c r="P14" s="1112">
        <f>P9*0.3</f>
        <v>175500</v>
      </c>
      <c r="Q14" s="1113"/>
    </row>
    <row r="15" spans="2:17" ht="13.5" thickBot="1">
      <c r="B15" s="707"/>
      <c r="C15" s="708"/>
      <c r="D15" s="1081"/>
      <c r="E15" s="1104"/>
      <c r="F15" s="1101">
        <f>F13</f>
        <v>93426.05</v>
      </c>
      <c r="G15" s="1102"/>
      <c r="H15" s="1101">
        <f>H13</f>
        <v>131676.05</v>
      </c>
      <c r="I15" s="1102"/>
      <c r="J15" s="1110">
        <f>J13</f>
        <v>131676</v>
      </c>
      <c r="K15" s="1111"/>
      <c r="L15" s="1110">
        <f>L13</f>
        <v>137970</v>
      </c>
      <c r="M15" s="1111"/>
      <c r="N15" s="1110">
        <f>N13</f>
        <v>157440</v>
      </c>
      <c r="O15" s="1111"/>
      <c r="P15" s="1110">
        <f>P13</f>
        <v>175500</v>
      </c>
      <c r="Q15" s="1111"/>
    </row>
    <row r="16" spans="2:17" ht="15" customHeight="1">
      <c r="B16" s="707"/>
      <c r="C16" s="708"/>
      <c r="D16" s="1081"/>
      <c r="E16" s="1109" t="s">
        <v>100</v>
      </c>
      <c r="F16" s="1112">
        <f>F9*0.7*('Tabuľka 3'!$F$8)/100</f>
        <v>68541.618096</v>
      </c>
      <c r="G16" s="1113"/>
      <c r="H16" s="1112">
        <f>H9*0.7*('Tabuľka 3'!$F$8)/100</f>
        <v>81951.93467999999</v>
      </c>
      <c r="I16" s="1113"/>
      <c r="J16" s="1112">
        <f>J9*0.7*('Tabuľka 3'!$F$8)/100</f>
        <v>96043.85280000001</v>
      </c>
      <c r="K16" s="1113"/>
      <c r="L16" s="1112">
        <f>L9*0.7*('Tabuľka 3'!$F$8)/100</f>
        <v>111316.9554</v>
      </c>
      <c r="M16" s="1113"/>
      <c r="N16" s="1112">
        <f>N9*0.7*('Tabuľka 3'!$F$8)/100</f>
        <v>127025.74080000001</v>
      </c>
      <c r="O16" s="1113"/>
      <c r="P16" s="1112">
        <f>P9*0.7*('Tabuľka 3'!$F$8)/100</f>
        <v>141596.91000000003</v>
      </c>
      <c r="Q16" s="1113"/>
    </row>
    <row r="17" spans="2:17" ht="15" customHeight="1" thickBot="1">
      <c r="B17" s="707"/>
      <c r="C17" s="708"/>
      <c r="D17" s="1081"/>
      <c r="E17" s="1104"/>
      <c r="F17" s="1101">
        <v>47057</v>
      </c>
      <c r="G17" s="1102"/>
      <c r="H17" s="1101">
        <v>49000</v>
      </c>
      <c r="I17" s="1102"/>
      <c r="J17" s="1110">
        <v>86044</v>
      </c>
      <c r="K17" s="1111"/>
      <c r="L17" s="1110">
        <v>111317</v>
      </c>
      <c r="M17" s="1111"/>
      <c r="N17" s="1110">
        <v>127026</v>
      </c>
      <c r="O17" s="1111"/>
      <c r="P17" s="1110">
        <v>141597</v>
      </c>
      <c r="Q17" s="1111"/>
    </row>
    <row r="18" spans="2:17" ht="15" customHeight="1">
      <c r="B18" s="707"/>
      <c r="C18" s="708"/>
      <c r="D18" s="1081"/>
      <c r="E18" s="1103" t="s">
        <v>101</v>
      </c>
      <c r="F18" s="1114">
        <f>F9*0.7*('Tabuľka 3'!$F$10)/100</f>
        <v>4460.022</v>
      </c>
      <c r="G18" s="1115"/>
      <c r="H18" s="1114">
        <f>H9*0.7*('Tabuľka 3'!$F$10)/100</f>
        <v>5332.634999999998</v>
      </c>
      <c r="I18" s="1115"/>
      <c r="J18" s="1114">
        <f>J9*0.7*('Tabuľka 3'!$F$10)/100</f>
        <v>6249.6</v>
      </c>
      <c r="K18" s="1115"/>
      <c r="L18" s="1114">
        <f>L9*0.7*('Tabuľka 3'!$F$10)/100</f>
        <v>7243.425</v>
      </c>
      <c r="M18" s="1115"/>
      <c r="N18" s="1114">
        <f>N9*0.7*('Tabuľka 3'!$F$10)/100</f>
        <v>8265.6</v>
      </c>
      <c r="O18" s="1115"/>
      <c r="P18" s="1114">
        <f>P9*0.7*('Tabuľka 3'!$F$10)/100</f>
        <v>9213.75</v>
      </c>
      <c r="Q18" s="1115"/>
    </row>
    <row r="19" spans="2:17" ht="15" customHeight="1" thickBot="1">
      <c r="B19" s="707"/>
      <c r="C19" s="708"/>
      <c r="D19" s="1081"/>
      <c r="E19" s="1104"/>
      <c r="F19" s="1101">
        <v>4153</v>
      </c>
      <c r="G19" s="1102"/>
      <c r="H19" s="1101">
        <v>7784</v>
      </c>
      <c r="I19" s="1102"/>
      <c r="J19" s="1110">
        <v>7784</v>
      </c>
      <c r="K19" s="1111"/>
      <c r="L19" s="1110">
        <v>7784</v>
      </c>
      <c r="M19" s="1111"/>
      <c r="N19" s="1110">
        <v>8266</v>
      </c>
      <c r="O19" s="1111"/>
      <c r="P19" s="1110">
        <v>9214</v>
      </c>
      <c r="Q19" s="1111"/>
    </row>
    <row r="20" spans="2:17" ht="15" customHeight="1">
      <c r="B20" s="707"/>
      <c r="C20" s="708"/>
      <c r="D20" s="1081"/>
      <c r="E20" s="1103" t="s">
        <v>98</v>
      </c>
      <c r="F20" s="1114">
        <f>F9*0.7*('Tabuľka 3'!$F$12)/100</f>
        <v>98824.17635999998</v>
      </c>
      <c r="G20" s="1115"/>
      <c r="H20" s="1114">
        <f>H9*0.7*('Tabuľka 3'!$F$12)/100</f>
        <v>118159.34129999997</v>
      </c>
      <c r="I20" s="1115"/>
      <c r="J20" s="1114">
        <f>J9*0.7*('Tabuľka 3'!$F$12)/100</f>
        <v>138477.248</v>
      </c>
      <c r="K20" s="1115"/>
      <c r="L20" s="1114">
        <f>L9*0.7*('Tabuľka 3'!$F$12)/100</f>
        <v>160498.2015</v>
      </c>
      <c r="M20" s="1115"/>
      <c r="N20" s="1114">
        <f>N9*0.7*('Tabuľka 3'!$F$12)/100</f>
        <v>183147.32799999998</v>
      </c>
      <c r="O20" s="1115"/>
      <c r="P20" s="1114">
        <f>P9*0.7*('Tabuľka 3'!$F$12)/100</f>
        <v>204156.225</v>
      </c>
      <c r="Q20" s="1115"/>
    </row>
    <row r="21" spans="2:17" ht="15" customHeight="1" thickBot="1">
      <c r="B21" s="707"/>
      <c r="C21" s="708"/>
      <c r="D21" s="1081"/>
      <c r="E21" s="1104"/>
      <c r="F21" s="1101">
        <v>137617</v>
      </c>
      <c r="G21" s="1102"/>
      <c r="H21" s="1101">
        <v>138794</v>
      </c>
      <c r="I21" s="1102"/>
      <c r="J21" s="1110">
        <v>137819</v>
      </c>
      <c r="K21" s="1111"/>
      <c r="L21" s="1110">
        <v>159957</v>
      </c>
      <c r="M21" s="1111"/>
      <c r="N21" s="1110">
        <v>183147</v>
      </c>
      <c r="O21" s="1111"/>
      <c r="P21" s="1110">
        <v>204156</v>
      </c>
      <c r="Q21" s="1111"/>
    </row>
    <row r="22" spans="2:17" ht="15" customHeight="1">
      <c r="B22" s="707"/>
      <c r="C22" s="708"/>
      <c r="D22" s="1081"/>
      <c r="E22" s="1109" t="s">
        <v>102</v>
      </c>
      <c r="F22" s="1112">
        <f>F9*0.7*('Tabuľka 3'!$F$14)/100</f>
        <v>26389.454616</v>
      </c>
      <c r="G22" s="1113"/>
      <c r="H22" s="1112">
        <f>H9*0.7*('Tabuľka 3'!$F$14)/100</f>
        <v>31552.608779999995</v>
      </c>
      <c r="I22" s="1113"/>
      <c r="J22" s="1112">
        <f>J9*0.7*('Tabuľka 3'!$F$14)/100</f>
        <v>36978.1888</v>
      </c>
      <c r="K22" s="1113"/>
      <c r="L22" s="1112">
        <f>L9*0.7*('Tabuľka 3'!$F$14)/100</f>
        <v>42858.5409</v>
      </c>
      <c r="M22" s="1113"/>
      <c r="N22" s="1112">
        <f>N9*0.7*('Tabuľka 3'!$F$14)/100</f>
        <v>48906.63680000001</v>
      </c>
      <c r="O22" s="1113"/>
      <c r="P22" s="1112">
        <f>P9*0.7*('Tabuľka 3'!$F$14)/100</f>
        <v>54516.735</v>
      </c>
      <c r="Q22" s="1113"/>
    </row>
    <row r="23" spans="2:17" ht="15" customHeight="1" thickBot="1">
      <c r="B23" s="747"/>
      <c r="C23" s="803"/>
      <c r="D23" s="1095"/>
      <c r="E23" s="1135"/>
      <c r="F23" s="1099">
        <v>0</v>
      </c>
      <c r="G23" s="1100"/>
      <c r="H23" s="1099">
        <v>10918</v>
      </c>
      <c r="I23" s="1100"/>
      <c r="J23" s="1136">
        <v>26000</v>
      </c>
      <c r="K23" s="1137"/>
      <c r="L23" s="1136">
        <v>42859</v>
      </c>
      <c r="M23" s="1137"/>
      <c r="N23" s="1136">
        <v>48907</v>
      </c>
      <c r="O23" s="1137"/>
      <c r="P23" s="1136">
        <v>54517</v>
      </c>
      <c r="Q23" s="1137"/>
    </row>
    <row r="24" spans="2:17" ht="13.5" thickTop="1">
      <c r="B24" s="1106" t="s">
        <v>136</v>
      </c>
      <c r="C24" s="1107"/>
      <c r="D24" s="1108"/>
      <c r="E24" s="1109" t="s">
        <v>130</v>
      </c>
      <c r="F24" s="1138" t="s">
        <v>137</v>
      </c>
      <c r="G24" s="1139"/>
      <c r="H24" s="1138" t="s">
        <v>138</v>
      </c>
      <c r="I24" s="1139"/>
      <c r="J24" s="1144">
        <f>J15-H15</f>
        <v>-0.04999999998835847</v>
      </c>
      <c r="K24" s="1145"/>
      <c r="L24" s="1144">
        <f>L15-J15</f>
        <v>6294</v>
      </c>
      <c r="M24" s="1145"/>
      <c r="N24" s="1144">
        <f>N15-L15</f>
        <v>19470</v>
      </c>
      <c r="O24" s="1145"/>
      <c r="P24" s="1144">
        <f>P15-N15</f>
        <v>18060</v>
      </c>
      <c r="Q24" s="1145"/>
    </row>
    <row r="25" spans="2:17" ht="13.5" thickBot="1">
      <c r="B25" s="707"/>
      <c r="C25" s="708"/>
      <c r="D25" s="1081"/>
      <c r="E25" s="1104"/>
      <c r="F25" s="1101">
        <v>11900</v>
      </c>
      <c r="G25" s="1102"/>
      <c r="H25" s="1140" t="s">
        <v>139</v>
      </c>
      <c r="I25" s="1141"/>
      <c r="J25" s="1146">
        <v>0</v>
      </c>
      <c r="K25" s="1147"/>
      <c r="L25" s="1146">
        <f>L24*F25*1.05*1.05</f>
        <v>82575706.5</v>
      </c>
      <c r="M25" s="1147"/>
      <c r="N25" s="1146">
        <f>N24*F25*1.05*1.05*1.05</f>
        <v>268213609.125</v>
      </c>
      <c r="O25" s="1147"/>
      <c r="P25" s="1146">
        <f>P24*F25*1.05*1.05*1.05*1.05</f>
        <v>261229310.2125</v>
      </c>
      <c r="Q25" s="1147"/>
    </row>
    <row r="26" spans="2:17" ht="12.75">
      <c r="B26" s="707"/>
      <c r="C26" s="708"/>
      <c r="D26" s="1081"/>
      <c r="E26" s="1109" t="s">
        <v>100</v>
      </c>
      <c r="F26" s="1142" t="s">
        <v>137</v>
      </c>
      <c r="G26" s="1143"/>
      <c r="H26" s="1138" t="s">
        <v>138</v>
      </c>
      <c r="I26" s="1139"/>
      <c r="J26" s="1144">
        <f>J17-H17</f>
        <v>37044</v>
      </c>
      <c r="K26" s="1145"/>
      <c r="L26" s="1144">
        <f>L17-J17</f>
        <v>25273</v>
      </c>
      <c r="M26" s="1145"/>
      <c r="N26" s="1144">
        <f>N17-L17</f>
        <v>15709</v>
      </c>
      <c r="O26" s="1145"/>
      <c r="P26" s="1144">
        <f>P17-N17</f>
        <v>14571</v>
      </c>
      <c r="Q26" s="1145"/>
    </row>
    <row r="27" spans="2:17" ht="13.5" thickBot="1">
      <c r="B27" s="707"/>
      <c r="C27" s="708"/>
      <c r="D27" s="1081"/>
      <c r="E27" s="1104"/>
      <c r="F27" s="1101">
        <f>14613/0.75</f>
        <v>19484</v>
      </c>
      <c r="G27" s="1102"/>
      <c r="H27" s="1140" t="s">
        <v>139</v>
      </c>
      <c r="I27" s="1141"/>
      <c r="J27" s="1146">
        <f>J26*F27*1.05</f>
        <v>757853560.8000001</v>
      </c>
      <c r="K27" s="1147"/>
      <c r="L27" s="1146">
        <f>L26*F27*1.05*1.05</f>
        <v>542892093.0300001</v>
      </c>
      <c r="M27" s="1147"/>
      <c r="N27" s="1146">
        <f>N26*F27*1.05*1.05*1.05</f>
        <v>354319094.8395</v>
      </c>
      <c r="O27" s="1147"/>
      <c r="P27" s="1146">
        <f>P26*F27*1.05*1.05*1.05*1.05</f>
        <v>345083882.32552505</v>
      </c>
      <c r="Q27" s="1147"/>
    </row>
    <row r="28" spans="2:17" ht="12.75">
      <c r="B28" s="707"/>
      <c r="C28" s="708"/>
      <c r="D28" s="1081"/>
      <c r="E28" s="1103" t="s">
        <v>101</v>
      </c>
      <c r="F28" s="1142" t="s">
        <v>137</v>
      </c>
      <c r="G28" s="1143"/>
      <c r="H28" s="1138" t="s">
        <v>138</v>
      </c>
      <c r="I28" s="1139"/>
      <c r="J28" s="1148">
        <f>J19-H19</f>
        <v>0</v>
      </c>
      <c r="K28" s="1149"/>
      <c r="L28" s="1148">
        <f>L19-J19</f>
        <v>0</v>
      </c>
      <c r="M28" s="1149"/>
      <c r="N28" s="1148">
        <f>N19-L19</f>
        <v>482</v>
      </c>
      <c r="O28" s="1149"/>
      <c r="P28" s="1148">
        <f>P19-N19</f>
        <v>948</v>
      </c>
      <c r="Q28" s="1149"/>
    </row>
    <row r="29" spans="2:17" ht="13.5" thickBot="1">
      <c r="B29" s="707"/>
      <c r="C29" s="708"/>
      <c r="D29" s="1081"/>
      <c r="E29" s="1104"/>
      <c r="F29" s="1101">
        <f>14922/0.8</f>
        <v>18652.5</v>
      </c>
      <c r="G29" s="1102"/>
      <c r="H29" s="1140" t="s">
        <v>139</v>
      </c>
      <c r="I29" s="1141"/>
      <c r="J29" s="1146">
        <f>J28*F29*1.05</f>
        <v>0</v>
      </c>
      <c r="K29" s="1147"/>
      <c r="L29" s="1146">
        <f>L28*F29*1.05*1.05</f>
        <v>0</v>
      </c>
      <c r="M29" s="1147"/>
      <c r="N29" s="1146">
        <f>N28*F29*1.05*1.05*1.05</f>
        <v>10407633.350625</v>
      </c>
      <c r="O29" s="1147"/>
      <c r="P29" s="1146">
        <f>P28*F29*1.05*1.05*1.05*1.05</f>
        <v>21493274.351062503</v>
      </c>
      <c r="Q29" s="1147"/>
    </row>
    <row r="30" spans="2:17" ht="12.75">
      <c r="B30" s="707"/>
      <c r="C30" s="708"/>
      <c r="D30" s="1081"/>
      <c r="E30" s="1103" t="s">
        <v>98</v>
      </c>
      <c r="F30" s="1142" t="s">
        <v>137</v>
      </c>
      <c r="G30" s="1143"/>
      <c r="H30" s="1138" t="s">
        <v>138</v>
      </c>
      <c r="I30" s="1139"/>
      <c r="J30" s="1148">
        <f>J20-H20</f>
        <v>20317.90670000002</v>
      </c>
      <c r="K30" s="1149"/>
      <c r="L30" s="1148">
        <f>L20-J20</f>
        <v>22020.953500000003</v>
      </c>
      <c r="M30" s="1149"/>
      <c r="N30" s="1148">
        <f>N20-L20</f>
        <v>22649.126499999984</v>
      </c>
      <c r="O30" s="1149"/>
      <c r="P30" s="1148">
        <f>P20-N20</f>
        <v>21008.897000000026</v>
      </c>
      <c r="Q30" s="1149"/>
    </row>
    <row r="31" spans="2:17" ht="13.5" thickBot="1">
      <c r="B31" s="707"/>
      <c r="C31" s="708"/>
      <c r="D31" s="1081"/>
      <c r="E31" s="1104"/>
      <c r="F31" s="1101">
        <f>16719/0.84</f>
        <v>19903.571428571428</v>
      </c>
      <c r="G31" s="1102"/>
      <c r="H31" s="1140" t="s">
        <v>139</v>
      </c>
      <c r="I31" s="1141"/>
      <c r="J31" s="1146">
        <f>J30*F31*1.05</f>
        <v>424618852.6466254</v>
      </c>
      <c r="K31" s="1147"/>
      <c r="L31" s="1146">
        <f>L30*F31*1.05*1.05</f>
        <v>483220922.05603135</v>
      </c>
      <c r="M31" s="1147"/>
      <c r="N31" s="1146">
        <f>N30*F31*1.05*1.05*1.05</f>
        <v>521855621.76716685</v>
      </c>
      <c r="O31" s="1147"/>
      <c r="P31" s="1146">
        <f>P30*F31*1.05*1.05*1.05*1.05</f>
        <v>508266469.2126762</v>
      </c>
      <c r="Q31" s="1147"/>
    </row>
    <row r="32" spans="2:17" ht="12.75">
      <c r="B32" s="707"/>
      <c r="C32" s="708"/>
      <c r="D32" s="1081"/>
      <c r="E32" s="1109" t="s">
        <v>102</v>
      </c>
      <c r="F32" s="1152" t="s">
        <v>140</v>
      </c>
      <c r="G32" s="1153"/>
      <c r="H32" s="1138" t="s">
        <v>138</v>
      </c>
      <c r="I32" s="1139"/>
      <c r="J32" s="1144">
        <f>J23-H23</f>
        <v>15082</v>
      </c>
      <c r="K32" s="1145"/>
      <c r="L32" s="1144">
        <f>L23-J23</f>
        <v>16859</v>
      </c>
      <c r="M32" s="1145"/>
      <c r="N32" s="1144">
        <f>N23-L23</f>
        <v>6048</v>
      </c>
      <c r="O32" s="1145"/>
      <c r="P32" s="1144">
        <f>P23-N23</f>
        <v>5610</v>
      </c>
      <c r="Q32" s="1145"/>
    </row>
    <row r="33" spans="2:17" ht="13.5" thickBot="1">
      <c r="B33" s="747"/>
      <c r="C33" s="803"/>
      <c r="D33" s="1095"/>
      <c r="E33" s="1135"/>
      <c r="F33" s="1154">
        <v>11410</v>
      </c>
      <c r="G33" s="1155"/>
      <c r="H33" s="1156" t="s">
        <v>139</v>
      </c>
      <c r="I33" s="1157"/>
      <c r="J33" s="1150">
        <f>J32*F33*1.05</f>
        <v>180689901</v>
      </c>
      <c r="K33" s="1151"/>
      <c r="L33" s="1150">
        <f>L32*F33*1.05*1.05</f>
        <v>212078211.97500002</v>
      </c>
      <c r="M33" s="1151"/>
      <c r="N33" s="1150">
        <f>N32*F33*1.05*1.05*1.05</f>
        <v>79885015.56</v>
      </c>
      <c r="O33" s="1151"/>
      <c r="P33" s="1150">
        <f>P32*F33*1.05*1.05*1.05*1.05</f>
        <v>77804676.61312501</v>
      </c>
      <c r="Q33" s="1151"/>
    </row>
    <row r="34" spans="2:17" ht="13.5" thickTop="1">
      <c r="B34" s="705" t="s">
        <v>141</v>
      </c>
      <c r="C34" s="706"/>
      <c r="D34" s="1094"/>
      <c r="E34" s="201"/>
      <c r="F34" s="201"/>
      <c r="G34" s="201"/>
      <c r="H34" s="201"/>
      <c r="I34" s="201"/>
      <c r="J34" s="1158">
        <f>J25+J27+J31+J33</f>
        <v>1363162314.4466255</v>
      </c>
      <c r="K34" s="1159"/>
      <c r="L34" s="1158">
        <f>L25+L27+L29+L31+L33</f>
        <v>1320766933.5610313</v>
      </c>
      <c r="M34" s="1159"/>
      <c r="N34" s="1158">
        <f>N25+N27+N29+N31+N33</f>
        <v>1234680974.6422918</v>
      </c>
      <c r="O34" s="1159"/>
      <c r="P34" s="1158">
        <f>P25+P27+P29+P31+P33</f>
        <v>1213877612.7148888</v>
      </c>
      <c r="Q34" s="1162"/>
    </row>
    <row r="35" spans="2:17" ht="13.5" thickBot="1">
      <c r="B35" s="747"/>
      <c r="C35" s="803"/>
      <c r="D35" s="1095"/>
      <c r="E35" s="83"/>
      <c r="F35" s="83"/>
      <c r="G35" s="83"/>
      <c r="H35" s="83"/>
      <c r="I35" s="83"/>
      <c r="J35" s="1160"/>
      <c r="K35" s="1161"/>
      <c r="L35" s="1160"/>
      <c r="M35" s="1161"/>
      <c r="N35" s="1160"/>
      <c r="O35" s="1161"/>
      <c r="P35" s="1160"/>
      <c r="Q35" s="1163"/>
    </row>
    <row r="36" ht="13.5" thickTop="1"/>
  </sheetData>
  <mergeCells count="197">
    <mergeCell ref="A1:R1"/>
    <mergeCell ref="A2:R2"/>
    <mergeCell ref="O3:Q3"/>
    <mergeCell ref="F4:G4"/>
    <mergeCell ref="H4:I4"/>
    <mergeCell ref="J4:K4"/>
    <mergeCell ref="L4:M4"/>
    <mergeCell ref="N4:O4"/>
    <mergeCell ref="P4:Q4"/>
    <mergeCell ref="B5:D7"/>
    <mergeCell ref="E5:E7"/>
    <mergeCell ref="F5:G7"/>
    <mergeCell ref="H5:I7"/>
    <mergeCell ref="J5:K7"/>
    <mergeCell ref="L5:M7"/>
    <mergeCell ref="N5:O7"/>
    <mergeCell ref="P5:Q7"/>
    <mergeCell ref="L16:M16"/>
    <mergeCell ref="N16:O16"/>
    <mergeCell ref="P16:Q16"/>
    <mergeCell ref="E16:E17"/>
    <mergeCell ref="F16:G16"/>
    <mergeCell ref="H16:I16"/>
    <mergeCell ref="F17:G17"/>
    <mergeCell ref="H17:I17"/>
    <mergeCell ref="P18:Q18"/>
    <mergeCell ref="J17:K17"/>
    <mergeCell ref="L17:M17"/>
    <mergeCell ref="N17:O17"/>
    <mergeCell ref="P17:Q17"/>
    <mergeCell ref="N19:O19"/>
    <mergeCell ref="J18:K18"/>
    <mergeCell ref="L18:M18"/>
    <mergeCell ref="N18:O18"/>
    <mergeCell ref="P19:Q19"/>
    <mergeCell ref="E20:E21"/>
    <mergeCell ref="F20:G20"/>
    <mergeCell ref="H20:I20"/>
    <mergeCell ref="J20:K20"/>
    <mergeCell ref="L20:M20"/>
    <mergeCell ref="N20:O20"/>
    <mergeCell ref="P20:Q20"/>
    <mergeCell ref="F21:G21"/>
    <mergeCell ref="H21:I21"/>
    <mergeCell ref="P34:Q35"/>
    <mergeCell ref="J21:K21"/>
    <mergeCell ref="L21:M21"/>
    <mergeCell ref="N21:O21"/>
    <mergeCell ref="P21:Q21"/>
    <mergeCell ref="L32:M32"/>
    <mergeCell ref="N32:O32"/>
    <mergeCell ref="P32:Q32"/>
    <mergeCell ref="L33:M33"/>
    <mergeCell ref="N33:O33"/>
    <mergeCell ref="B34:D35"/>
    <mergeCell ref="J34:K35"/>
    <mergeCell ref="L34:M35"/>
    <mergeCell ref="N34:O35"/>
    <mergeCell ref="P33:Q33"/>
    <mergeCell ref="E32:E33"/>
    <mergeCell ref="F32:G32"/>
    <mergeCell ref="H32:I32"/>
    <mergeCell ref="J32:K32"/>
    <mergeCell ref="F33:G33"/>
    <mergeCell ref="H33:I33"/>
    <mergeCell ref="J33:K33"/>
    <mergeCell ref="L30:M30"/>
    <mergeCell ref="N30:O30"/>
    <mergeCell ref="P30:Q30"/>
    <mergeCell ref="L31:M31"/>
    <mergeCell ref="N31:O31"/>
    <mergeCell ref="P31:Q31"/>
    <mergeCell ref="E30:E31"/>
    <mergeCell ref="F30:G30"/>
    <mergeCell ref="H30:I30"/>
    <mergeCell ref="J30:K30"/>
    <mergeCell ref="F31:G31"/>
    <mergeCell ref="H31:I31"/>
    <mergeCell ref="J31:K31"/>
    <mergeCell ref="J29:K29"/>
    <mergeCell ref="L29:M29"/>
    <mergeCell ref="N29:O29"/>
    <mergeCell ref="P29:Q29"/>
    <mergeCell ref="P27:Q27"/>
    <mergeCell ref="E28:E29"/>
    <mergeCell ref="F28:G28"/>
    <mergeCell ref="H28:I28"/>
    <mergeCell ref="J28:K28"/>
    <mergeCell ref="L28:M28"/>
    <mergeCell ref="N28:O28"/>
    <mergeCell ref="P28:Q28"/>
    <mergeCell ref="F29:G29"/>
    <mergeCell ref="H29:I29"/>
    <mergeCell ref="H27:I27"/>
    <mergeCell ref="J27:K27"/>
    <mergeCell ref="L27:M27"/>
    <mergeCell ref="N27:O27"/>
    <mergeCell ref="J26:K26"/>
    <mergeCell ref="L26:M26"/>
    <mergeCell ref="N26:O26"/>
    <mergeCell ref="P26:Q26"/>
    <mergeCell ref="J25:K25"/>
    <mergeCell ref="L25:M25"/>
    <mergeCell ref="N25:O25"/>
    <mergeCell ref="P25:Q25"/>
    <mergeCell ref="J24:K24"/>
    <mergeCell ref="L24:M24"/>
    <mergeCell ref="N24:O24"/>
    <mergeCell ref="P24:Q24"/>
    <mergeCell ref="B24:D33"/>
    <mergeCell ref="E24:E25"/>
    <mergeCell ref="F24:G24"/>
    <mergeCell ref="H24:I24"/>
    <mergeCell ref="F25:G25"/>
    <mergeCell ref="H25:I25"/>
    <mergeCell ref="E26:E27"/>
    <mergeCell ref="F26:G26"/>
    <mergeCell ref="H26:I26"/>
    <mergeCell ref="F27:G27"/>
    <mergeCell ref="N22:O22"/>
    <mergeCell ref="P22:Q22"/>
    <mergeCell ref="F23:G23"/>
    <mergeCell ref="H23:I23"/>
    <mergeCell ref="J23:K23"/>
    <mergeCell ref="L23:M23"/>
    <mergeCell ref="N23:O23"/>
    <mergeCell ref="P23:Q23"/>
    <mergeCell ref="F22:G22"/>
    <mergeCell ref="H22:I22"/>
    <mergeCell ref="H8:I8"/>
    <mergeCell ref="J8:K8"/>
    <mergeCell ref="B8:D9"/>
    <mergeCell ref="L22:M22"/>
    <mergeCell ref="E22:E23"/>
    <mergeCell ref="J22:K22"/>
    <mergeCell ref="H19:I19"/>
    <mergeCell ref="J19:K19"/>
    <mergeCell ref="L19:M19"/>
    <mergeCell ref="J16:K16"/>
    <mergeCell ref="L8:M8"/>
    <mergeCell ref="N8:O8"/>
    <mergeCell ref="P8:Q8"/>
    <mergeCell ref="F9:G9"/>
    <mergeCell ref="H9:I9"/>
    <mergeCell ref="J9:K9"/>
    <mergeCell ref="L9:M9"/>
    <mergeCell ref="N9:O9"/>
    <mergeCell ref="P9:Q9"/>
    <mergeCell ref="F8:G8"/>
    <mergeCell ref="N10:O10"/>
    <mergeCell ref="B10:B11"/>
    <mergeCell ref="C10:D10"/>
    <mergeCell ref="C11:D11"/>
    <mergeCell ref="F10:G10"/>
    <mergeCell ref="P10:Q10"/>
    <mergeCell ref="F11:G11"/>
    <mergeCell ref="H11:I11"/>
    <mergeCell ref="J11:K11"/>
    <mergeCell ref="L11:M11"/>
    <mergeCell ref="N11:O11"/>
    <mergeCell ref="P11:Q11"/>
    <mergeCell ref="H10:I10"/>
    <mergeCell ref="J10:K10"/>
    <mergeCell ref="L10:M10"/>
    <mergeCell ref="N12:O12"/>
    <mergeCell ref="E12:E13"/>
    <mergeCell ref="B12:D12"/>
    <mergeCell ref="B13:D13"/>
    <mergeCell ref="F12:G12"/>
    <mergeCell ref="P12:Q12"/>
    <mergeCell ref="F13:G13"/>
    <mergeCell ref="H13:I13"/>
    <mergeCell ref="J13:K13"/>
    <mergeCell ref="L13:M13"/>
    <mergeCell ref="N13:O13"/>
    <mergeCell ref="P13:Q13"/>
    <mergeCell ref="H12:I12"/>
    <mergeCell ref="J12:K12"/>
    <mergeCell ref="L12:M12"/>
    <mergeCell ref="B14:D23"/>
    <mergeCell ref="E14:E15"/>
    <mergeCell ref="F14:G14"/>
    <mergeCell ref="H14:I14"/>
    <mergeCell ref="F15:G15"/>
    <mergeCell ref="H15:I15"/>
    <mergeCell ref="E18:E19"/>
    <mergeCell ref="F18:G18"/>
    <mergeCell ref="H18:I18"/>
    <mergeCell ref="F19:G19"/>
    <mergeCell ref="J14:K14"/>
    <mergeCell ref="L14:M14"/>
    <mergeCell ref="N14:O14"/>
    <mergeCell ref="P14:Q14"/>
    <mergeCell ref="J15:K15"/>
    <mergeCell ref="L15:M15"/>
    <mergeCell ref="N15:O15"/>
    <mergeCell ref="P15:Q1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Q29"/>
  <sheetViews>
    <sheetView workbookViewId="0" topLeftCell="A1">
      <selection activeCell="A1" sqref="A1:Q1"/>
    </sheetView>
  </sheetViews>
  <sheetFormatPr defaultColWidth="9.00390625" defaultRowHeight="12.75"/>
  <cols>
    <col min="4" max="4" width="11.75390625" style="0" customWidth="1"/>
  </cols>
  <sheetData>
    <row r="1" spans="1:17" ht="26.25" customHeight="1">
      <c r="A1" s="743" t="s">
        <v>124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</row>
    <row r="2" spans="2:13" ht="18">
      <c r="B2" s="59"/>
      <c r="C2" s="58"/>
      <c r="D2" s="58"/>
      <c r="E2" s="58"/>
      <c r="F2" s="58"/>
      <c r="G2" s="58"/>
      <c r="H2" s="58"/>
      <c r="I2" s="58"/>
      <c r="J2" s="58"/>
      <c r="K2" s="733"/>
      <c r="L2" s="733"/>
      <c r="M2" s="733"/>
    </row>
    <row r="3" spans="15:17" ht="15" customHeight="1" thickBot="1">
      <c r="O3" s="731" t="s">
        <v>104</v>
      </c>
      <c r="P3" s="731"/>
      <c r="Q3" s="731"/>
    </row>
    <row r="4" spans="6:17" ht="14.25" thickBot="1" thickTop="1">
      <c r="F4" s="734">
        <v>2005</v>
      </c>
      <c r="G4" s="712"/>
      <c r="H4" s="734">
        <v>2006</v>
      </c>
      <c r="I4" s="735"/>
      <c r="J4" s="734">
        <v>2007</v>
      </c>
      <c r="K4" s="735"/>
      <c r="L4" s="734">
        <v>2008</v>
      </c>
      <c r="M4" s="735"/>
      <c r="N4" s="734">
        <v>2009</v>
      </c>
      <c r="O4" s="735"/>
      <c r="P4" s="734">
        <v>2010</v>
      </c>
      <c r="Q4" s="735"/>
    </row>
    <row r="5" spans="2:17" ht="13.5" thickTop="1">
      <c r="B5" s="705" t="s">
        <v>41</v>
      </c>
      <c r="C5" s="706"/>
      <c r="D5" s="706"/>
      <c r="E5" s="711" t="s">
        <v>42</v>
      </c>
      <c r="F5" s="700">
        <v>6200</v>
      </c>
      <c r="G5" s="701"/>
      <c r="H5" s="700">
        <v>6300</v>
      </c>
      <c r="I5" s="701"/>
      <c r="J5" s="700">
        <v>6400</v>
      </c>
      <c r="K5" s="701"/>
      <c r="L5" s="700">
        <v>6500</v>
      </c>
      <c r="M5" s="701"/>
      <c r="N5" s="700">
        <v>6600</v>
      </c>
      <c r="O5" s="701"/>
      <c r="P5" s="700">
        <v>6700</v>
      </c>
      <c r="Q5" s="701"/>
    </row>
    <row r="6" spans="2:17" ht="12.75">
      <c r="B6" s="707"/>
      <c r="C6" s="708"/>
      <c r="D6" s="708"/>
      <c r="E6" s="698"/>
      <c r="F6" s="702"/>
      <c r="G6" s="703"/>
      <c r="H6" s="702"/>
      <c r="I6" s="703"/>
      <c r="J6" s="702"/>
      <c r="K6" s="703"/>
      <c r="L6" s="702"/>
      <c r="M6" s="703"/>
      <c r="N6" s="702"/>
      <c r="O6" s="703"/>
      <c r="P6" s="702"/>
      <c r="Q6" s="703"/>
    </row>
    <row r="7" spans="2:17" ht="13.5" thickBot="1">
      <c r="B7" s="709"/>
      <c r="C7" s="710"/>
      <c r="D7" s="710"/>
      <c r="E7" s="699"/>
      <c r="F7" s="695"/>
      <c r="G7" s="696"/>
      <c r="H7" s="695"/>
      <c r="I7" s="696"/>
      <c r="J7" s="695"/>
      <c r="K7" s="696"/>
      <c r="L7" s="695"/>
      <c r="M7" s="696"/>
      <c r="N7" s="695"/>
      <c r="O7" s="696"/>
      <c r="P7" s="695"/>
      <c r="Q7" s="696"/>
    </row>
    <row r="8" spans="2:17" ht="15" customHeight="1">
      <c r="B8" s="1106" t="s">
        <v>122</v>
      </c>
      <c r="C8" s="1107"/>
      <c r="D8" s="1108"/>
      <c r="E8" s="1109" t="s">
        <v>100</v>
      </c>
      <c r="F8" s="1097">
        <v>34.578</v>
      </c>
      <c r="G8" s="1105"/>
      <c r="H8" s="1097">
        <v>34.578</v>
      </c>
      <c r="I8" s="1105"/>
      <c r="J8" s="1097">
        <v>34.578</v>
      </c>
      <c r="K8" s="1105"/>
      <c r="L8" s="1097">
        <v>34.578</v>
      </c>
      <c r="M8" s="1105"/>
      <c r="N8" s="1097">
        <v>34.578</v>
      </c>
      <c r="O8" s="1105"/>
      <c r="P8" s="1097">
        <v>34.578</v>
      </c>
      <c r="Q8" s="1105"/>
    </row>
    <row r="9" spans="2:17" ht="15" customHeight="1" thickBot="1">
      <c r="B9" s="707"/>
      <c r="C9" s="708"/>
      <c r="D9" s="1081"/>
      <c r="E9" s="1104"/>
      <c r="F9" s="1101">
        <f>365*$F$5*F8/100</f>
        <v>782500.14</v>
      </c>
      <c r="G9" s="1102"/>
      <c r="H9" s="1101">
        <f>365*$H$5*H8/100</f>
        <v>795121.11</v>
      </c>
      <c r="I9" s="1102"/>
      <c r="J9" s="1101">
        <f>365*$J$5*J8/100</f>
        <v>807742.08</v>
      </c>
      <c r="K9" s="1102"/>
      <c r="L9" s="1101">
        <f>365*$L$5*L8/100</f>
        <v>820363.05</v>
      </c>
      <c r="M9" s="1102"/>
      <c r="N9" s="1101">
        <f>365*$N$5*N8/100</f>
        <v>832984.02</v>
      </c>
      <c r="O9" s="1102"/>
      <c r="P9" s="1101">
        <f>365*$P$5*P8/100</f>
        <v>845604.99</v>
      </c>
      <c r="Q9" s="1102"/>
    </row>
    <row r="10" spans="2:17" ht="15" customHeight="1">
      <c r="B10" s="707"/>
      <c r="C10" s="708"/>
      <c r="D10" s="1081"/>
      <c r="E10" s="1103" t="s">
        <v>101</v>
      </c>
      <c r="F10" s="1083">
        <v>2.25</v>
      </c>
      <c r="G10" s="1084"/>
      <c r="H10" s="1083">
        <v>2.25</v>
      </c>
      <c r="I10" s="1084"/>
      <c r="J10" s="1083">
        <v>2.25</v>
      </c>
      <c r="K10" s="1084"/>
      <c r="L10" s="1083">
        <v>2.25</v>
      </c>
      <c r="M10" s="1084"/>
      <c r="N10" s="1083">
        <v>2.25</v>
      </c>
      <c r="O10" s="1084"/>
      <c r="P10" s="1083">
        <v>2.25</v>
      </c>
      <c r="Q10" s="1084"/>
    </row>
    <row r="11" spans="2:17" ht="15" customHeight="1" thickBot="1">
      <c r="B11" s="707"/>
      <c r="C11" s="708"/>
      <c r="D11" s="1081"/>
      <c r="E11" s="1104"/>
      <c r="F11" s="1101">
        <f>365*$F$5*F10/100</f>
        <v>50917.5</v>
      </c>
      <c r="G11" s="1102"/>
      <c r="H11" s="1101">
        <f>365*$H$5*H10/100</f>
        <v>51738.75</v>
      </c>
      <c r="I11" s="1102"/>
      <c r="J11" s="1101">
        <f>365*$J$5*J10/100</f>
        <v>52560</v>
      </c>
      <c r="K11" s="1102"/>
      <c r="L11" s="1101">
        <f>365*$L$5*L10/100</f>
        <v>53381.25</v>
      </c>
      <c r="M11" s="1102"/>
      <c r="N11" s="1101">
        <f>365*$N$5*N10/100</f>
        <v>54202.5</v>
      </c>
      <c r="O11" s="1102"/>
      <c r="P11" s="1101">
        <f>365*$P$5*P10/100</f>
        <v>55023.75</v>
      </c>
      <c r="Q11" s="1102"/>
    </row>
    <row r="12" spans="2:17" ht="15" customHeight="1">
      <c r="B12" s="707"/>
      <c r="C12" s="708"/>
      <c r="D12" s="1081"/>
      <c r="E12" s="1103" t="s">
        <v>98</v>
      </c>
      <c r="F12" s="1083">
        <v>49.855</v>
      </c>
      <c r="G12" s="1084"/>
      <c r="H12" s="1083">
        <v>49.855</v>
      </c>
      <c r="I12" s="1084"/>
      <c r="J12" s="1083">
        <v>49.855</v>
      </c>
      <c r="K12" s="1084"/>
      <c r="L12" s="1083">
        <v>49.855</v>
      </c>
      <c r="M12" s="1084"/>
      <c r="N12" s="1083">
        <v>49.855</v>
      </c>
      <c r="O12" s="1084"/>
      <c r="P12" s="1083">
        <v>49.855</v>
      </c>
      <c r="Q12" s="1084"/>
    </row>
    <row r="13" spans="2:17" ht="15" customHeight="1" thickBot="1">
      <c r="B13" s="707"/>
      <c r="C13" s="708"/>
      <c r="D13" s="1081"/>
      <c r="E13" s="1104"/>
      <c r="F13" s="1101">
        <f>365*$F$5*F12/100</f>
        <v>1128218.65</v>
      </c>
      <c r="G13" s="1102"/>
      <c r="H13" s="1101">
        <f>365*$H$5*H12/100</f>
        <v>1146415.725</v>
      </c>
      <c r="I13" s="1102"/>
      <c r="J13" s="1101">
        <f>365*$J$5*J12/100</f>
        <v>1164612.8</v>
      </c>
      <c r="K13" s="1102"/>
      <c r="L13" s="1101">
        <f>365*$L$5*L12/100</f>
        <v>1182809.875</v>
      </c>
      <c r="M13" s="1102"/>
      <c r="N13" s="1101">
        <f>365*$N$5*N12/100</f>
        <v>1201006.95</v>
      </c>
      <c r="O13" s="1102"/>
      <c r="P13" s="1101">
        <f>365*$P$5*P12/100</f>
        <v>1219204.025</v>
      </c>
      <c r="Q13" s="1102"/>
    </row>
    <row r="14" spans="2:17" ht="15" customHeight="1">
      <c r="B14" s="707"/>
      <c r="C14" s="708"/>
      <c r="D14" s="1081"/>
      <c r="E14" s="800" t="s">
        <v>102</v>
      </c>
      <c r="F14" s="1097">
        <v>13.313</v>
      </c>
      <c r="G14" s="1098"/>
      <c r="H14" s="1097">
        <v>13.313</v>
      </c>
      <c r="I14" s="1098"/>
      <c r="J14" s="1097">
        <v>13.313</v>
      </c>
      <c r="K14" s="1098"/>
      <c r="L14" s="1097">
        <v>13.313</v>
      </c>
      <c r="M14" s="1098"/>
      <c r="N14" s="1097">
        <v>13.313</v>
      </c>
      <c r="O14" s="1098"/>
      <c r="P14" s="1097">
        <v>13.313</v>
      </c>
      <c r="Q14" s="1098"/>
    </row>
    <row r="15" spans="2:17" ht="15" customHeight="1" thickBot="1">
      <c r="B15" s="747"/>
      <c r="C15" s="803"/>
      <c r="D15" s="1095"/>
      <c r="E15" s="748"/>
      <c r="F15" s="1099">
        <f>365*$F$5*F14/100</f>
        <v>301273.19</v>
      </c>
      <c r="G15" s="1100"/>
      <c r="H15" s="1099">
        <f>365*$H$5*H14/100</f>
        <v>306132.435</v>
      </c>
      <c r="I15" s="1100"/>
      <c r="J15" s="1099">
        <f>365*$J$5*J14/100</f>
        <v>310991.68</v>
      </c>
      <c r="K15" s="1100"/>
      <c r="L15" s="1099">
        <f>365*$L$5*L14/100</f>
        <v>315850.925</v>
      </c>
      <c r="M15" s="1100"/>
      <c r="N15" s="1099">
        <f>365*$N$5*N14/100</f>
        <v>320710.17</v>
      </c>
      <c r="O15" s="1100"/>
      <c r="P15" s="1099">
        <f>365*$P$5*P14/100</f>
        <v>325569.415</v>
      </c>
      <c r="Q15" s="1100"/>
    </row>
    <row r="16" spans="2:17" ht="15" customHeight="1" hidden="1" thickTop="1">
      <c r="B16" s="705" t="s">
        <v>110</v>
      </c>
      <c r="C16" s="706"/>
      <c r="D16" s="1094"/>
      <c r="E16" s="1096" t="s">
        <v>100</v>
      </c>
      <c r="F16" s="1092">
        <v>15500</v>
      </c>
      <c r="G16" s="1093"/>
      <c r="H16" s="1092">
        <v>15500</v>
      </c>
      <c r="I16" s="1093"/>
      <c r="J16" s="1092">
        <v>15500</v>
      </c>
      <c r="K16" s="1093"/>
      <c r="L16" s="1092">
        <v>15500</v>
      </c>
      <c r="M16" s="1093"/>
      <c r="N16" s="1092">
        <v>15500</v>
      </c>
      <c r="O16" s="1093"/>
      <c r="P16" s="1092">
        <v>15500</v>
      </c>
      <c r="Q16" s="1093"/>
    </row>
    <row r="17" spans="2:17" ht="15" customHeight="1" hidden="1" thickBot="1">
      <c r="B17" s="707"/>
      <c r="C17" s="708"/>
      <c r="D17" s="1081"/>
      <c r="E17" s="1091"/>
      <c r="F17" s="1089">
        <v>0.48</v>
      </c>
      <c r="G17" s="1090"/>
      <c r="H17" s="1089">
        <v>0.48</v>
      </c>
      <c r="I17" s="1090"/>
      <c r="J17" s="1089">
        <v>0.48</v>
      </c>
      <c r="K17" s="1090"/>
      <c r="L17" s="1089">
        <v>0.48</v>
      </c>
      <c r="M17" s="1090"/>
      <c r="N17" s="1089">
        <v>0.27</v>
      </c>
      <c r="O17" s="1090"/>
      <c r="P17" s="1089">
        <v>0.27</v>
      </c>
      <c r="Q17" s="1090"/>
    </row>
    <row r="18" spans="2:17" ht="15" customHeight="1" hidden="1">
      <c r="B18" s="707"/>
      <c r="C18" s="708"/>
      <c r="D18" s="1081"/>
      <c r="E18" s="1087" t="s">
        <v>101</v>
      </c>
      <c r="F18" s="1083">
        <v>14500</v>
      </c>
      <c r="G18" s="1084"/>
      <c r="H18" s="1083">
        <v>14500</v>
      </c>
      <c r="I18" s="1084"/>
      <c r="J18" s="1083">
        <v>14500</v>
      </c>
      <c r="K18" s="1084"/>
      <c r="L18" s="1083">
        <v>14500</v>
      </c>
      <c r="M18" s="1084"/>
      <c r="N18" s="1083">
        <v>14500</v>
      </c>
      <c r="O18" s="1084"/>
      <c r="P18" s="1083">
        <v>14500</v>
      </c>
      <c r="Q18" s="1084"/>
    </row>
    <row r="19" spans="2:17" ht="15" customHeight="1" hidden="1" thickBot="1">
      <c r="B19" s="707"/>
      <c r="C19" s="708"/>
      <c r="D19" s="1081"/>
      <c r="E19" s="1091"/>
      <c r="F19" s="1089">
        <v>0.47</v>
      </c>
      <c r="G19" s="1090"/>
      <c r="H19" s="1089">
        <v>0.47</v>
      </c>
      <c r="I19" s="1090"/>
      <c r="J19" s="1089">
        <v>0.47</v>
      </c>
      <c r="K19" s="1090"/>
      <c r="L19" s="1089">
        <v>0.47</v>
      </c>
      <c r="M19" s="1090"/>
      <c r="N19" s="1089">
        <v>0.27</v>
      </c>
      <c r="O19" s="1090"/>
      <c r="P19" s="1089">
        <v>0.27</v>
      </c>
      <c r="Q19" s="1090"/>
    </row>
    <row r="20" spans="2:17" ht="15" customHeight="1" hidden="1">
      <c r="B20" s="707"/>
      <c r="C20" s="708"/>
      <c r="D20" s="1081"/>
      <c r="E20" s="1087" t="s">
        <v>98</v>
      </c>
      <c r="F20" s="1083">
        <v>14500</v>
      </c>
      <c r="G20" s="1084"/>
      <c r="H20" s="1083">
        <v>14500</v>
      </c>
      <c r="I20" s="1084"/>
      <c r="J20" s="1083">
        <v>14500</v>
      </c>
      <c r="K20" s="1084"/>
      <c r="L20" s="1083">
        <v>14500</v>
      </c>
      <c r="M20" s="1084"/>
      <c r="N20" s="1083">
        <v>14500</v>
      </c>
      <c r="O20" s="1084"/>
      <c r="P20" s="1083">
        <v>14500</v>
      </c>
      <c r="Q20" s="1084"/>
    </row>
    <row r="21" spans="2:17" ht="15" customHeight="1" hidden="1" thickBot="1">
      <c r="B21" s="707"/>
      <c r="C21" s="708"/>
      <c r="D21" s="1081"/>
      <c r="E21" s="1091"/>
      <c r="F21" s="1089">
        <v>0.47</v>
      </c>
      <c r="G21" s="1090"/>
      <c r="H21" s="1089">
        <v>0.47</v>
      </c>
      <c r="I21" s="1090"/>
      <c r="J21" s="1089">
        <v>0.47</v>
      </c>
      <c r="K21" s="1090"/>
      <c r="L21" s="1089">
        <v>0.47</v>
      </c>
      <c r="M21" s="1090"/>
      <c r="N21" s="1089">
        <v>0.27</v>
      </c>
      <c r="O21" s="1090"/>
      <c r="P21" s="1089">
        <v>0.27</v>
      </c>
      <c r="Q21" s="1090"/>
    </row>
    <row r="22" spans="2:17" ht="15" customHeight="1" hidden="1">
      <c r="B22" s="707"/>
      <c r="C22" s="708"/>
      <c r="D22" s="1081"/>
      <c r="E22" s="1087" t="s">
        <v>102</v>
      </c>
      <c r="F22" s="1083">
        <v>800</v>
      </c>
      <c r="G22" s="1084"/>
      <c r="H22" s="1083">
        <v>800</v>
      </c>
      <c r="I22" s="1084"/>
      <c r="J22" s="1083">
        <v>800</v>
      </c>
      <c r="K22" s="1084"/>
      <c r="L22" s="1083">
        <v>800</v>
      </c>
      <c r="M22" s="1084"/>
      <c r="N22" s="1083">
        <v>800</v>
      </c>
      <c r="O22" s="1084"/>
      <c r="P22" s="1083">
        <v>800</v>
      </c>
      <c r="Q22" s="1084"/>
    </row>
    <row r="23" spans="2:17" ht="15" customHeight="1" hidden="1" thickBot="1">
      <c r="B23" s="747"/>
      <c r="C23" s="803"/>
      <c r="D23" s="1095"/>
      <c r="E23" s="1088"/>
      <c r="F23" s="1085">
        <v>0.03</v>
      </c>
      <c r="G23" s="1086"/>
      <c r="H23" s="1085">
        <v>0.03</v>
      </c>
      <c r="I23" s="1086"/>
      <c r="J23" s="1085">
        <v>0.03</v>
      </c>
      <c r="K23" s="1086"/>
      <c r="L23" s="1085">
        <v>0.03</v>
      </c>
      <c r="M23" s="1086"/>
      <c r="N23" s="1085">
        <v>0.02</v>
      </c>
      <c r="O23" s="1086"/>
      <c r="P23" s="1085">
        <v>0.02</v>
      </c>
      <c r="Q23" s="1086"/>
    </row>
    <row r="24" spans="2:17" ht="26.25" customHeight="1" hidden="1" thickBot="1" thickTop="1">
      <c r="B24" s="707" t="s">
        <v>105</v>
      </c>
      <c r="C24" s="708"/>
      <c r="D24" s="1081"/>
      <c r="E24" s="68" t="s">
        <v>100</v>
      </c>
      <c r="F24" s="1072">
        <f>F17*F9/0.75</f>
        <v>500800.0896</v>
      </c>
      <c r="G24" s="1073"/>
      <c r="H24" s="1072">
        <f>H17*H9/0.75</f>
        <v>508877.51039999997</v>
      </c>
      <c r="I24" s="1073"/>
      <c r="J24" s="1072">
        <f>J17*J9/0.75</f>
        <v>516954.9312</v>
      </c>
      <c r="K24" s="1073"/>
      <c r="L24" s="1072">
        <f>L17*L9/0.75</f>
        <v>525032.3520000001</v>
      </c>
      <c r="M24" s="1073"/>
      <c r="N24" s="1072">
        <f>N17*N9/0.75</f>
        <v>299874.24720000004</v>
      </c>
      <c r="O24" s="1073"/>
      <c r="P24" s="1072">
        <f>P17*P9/0.75</f>
        <v>304417.79640000005</v>
      </c>
      <c r="Q24" s="1073"/>
    </row>
    <row r="25" spans="2:17" ht="26.25" customHeight="1" hidden="1" thickBot="1">
      <c r="B25" s="707"/>
      <c r="C25" s="708"/>
      <c r="D25" s="1081"/>
      <c r="E25" s="68" t="s">
        <v>101</v>
      </c>
      <c r="F25" s="1072">
        <f>F19*F11/0.8</f>
        <v>29914.031249999996</v>
      </c>
      <c r="G25" s="1073"/>
      <c r="H25" s="1072">
        <f>H19*H11/0.8</f>
        <v>30396.515624999996</v>
      </c>
      <c r="I25" s="1073"/>
      <c r="J25" s="1072">
        <f>J19*J11/0.8</f>
        <v>30878.999999999996</v>
      </c>
      <c r="K25" s="1073"/>
      <c r="L25" s="1072">
        <f>L19*L11/0.8</f>
        <v>31361.484375</v>
      </c>
      <c r="M25" s="1073"/>
      <c r="N25" s="1072">
        <f>N19*N11/0.8</f>
        <v>18293.34375</v>
      </c>
      <c r="O25" s="1073"/>
      <c r="P25" s="1072">
        <f>P19*P11/0.8</f>
        <v>18570.515625</v>
      </c>
      <c r="Q25" s="1073"/>
    </row>
    <row r="26" spans="2:17" ht="26.25" customHeight="1" hidden="1" thickBot="1">
      <c r="B26" s="707"/>
      <c r="C26" s="708"/>
      <c r="D26" s="1081"/>
      <c r="E26" s="180" t="s">
        <v>98</v>
      </c>
      <c r="F26" s="1072">
        <f>F21*F13/0.83</f>
        <v>638870.8018072289</v>
      </c>
      <c r="G26" s="1073"/>
      <c r="H26" s="1072">
        <f>H21*H13/0.83</f>
        <v>649175.1695783134</v>
      </c>
      <c r="I26" s="1073"/>
      <c r="J26" s="1072">
        <f>J21*J13/0.83</f>
        <v>659479.5373493975</v>
      </c>
      <c r="K26" s="1073"/>
      <c r="L26" s="1072">
        <f>L21*L13/0.83</f>
        <v>669783.905120482</v>
      </c>
      <c r="M26" s="1073"/>
      <c r="N26" s="1072">
        <f>N21*N13/0.83</f>
        <v>390689.00783132535</v>
      </c>
      <c r="O26" s="1073"/>
      <c r="P26" s="1072">
        <f>P21*P13/0.83</f>
        <v>396608.5382530121</v>
      </c>
      <c r="Q26" s="1073"/>
    </row>
    <row r="27" spans="2:17" ht="26.25" customHeight="1" hidden="1" thickBot="1">
      <c r="B27" s="709"/>
      <c r="C27" s="710"/>
      <c r="D27" s="1082"/>
      <c r="E27" s="180" t="s">
        <v>102</v>
      </c>
      <c r="F27" s="1070">
        <f>F23*F15</f>
        <v>9038.1957</v>
      </c>
      <c r="G27" s="1071"/>
      <c r="H27" s="1070">
        <f>H23*H15</f>
        <v>9183.973049999999</v>
      </c>
      <c r="I27" s="1071"/>
      <c r="J27" s="1070">
        <f>J23*J15</f>
        <v>9329.750399999999</v>
      </c>
      <c r="K27" s="1071"/>
      <c r="L27" s="1070">
        <f>L23*L15</f>
        <v>9475.52775</v>
      </c>
      <c r="M27" s="1071"/>
      <c r="N27" s="1070">
        <f>N23*N15</f>
        <v>6414.203399999999</v>
      </c>
      <c r="O27" s="1071"/>
      <c r="P27" s="1070">
        <f>P23*P15</f>
        <v>6511.3883</v>
      </c>
      <c r="Q27" s="1071"/>
    </row>
    <row r="28" spans="2:17" ht="13.5" customHeight="1" hidden="1">
      <c r="B28" s="1079" t="s">
        <v>53</v>
      </c>
      <c r="C28" s="770"/>
      <c r="D28" s="1080"/>
      <c r="E28" s="79" t="s">
        <v>42</v>
      </c>
      <c r="F28" s="769">
        <f>SUM(F24:F27)</f>
        <v>1178623.118357229</v>
      </c>
      <c r="G28" s="693"/>
      <c r="H28" s="769">
        <f>SUM(H24:H27)</f>
        <v>1197633.1686533133</v>
      </c>
      <c r="I28" s="693"/>
      <c r="J28" s="769">
        <f>SUM(J24:J27)</f>
        <v>1216643.2189493976</v>
      </c>
      <c r="K28" s="693"/>
      <c r="L28" s="769">
        <f>SUM(L24:L27)</f>
        <v>1235653.269245482</v>
      </c>
      <c r="M28" s="693"/>
      <c r="N28" s="769">
        <f>SUM(N24:N27)</f>
        <v>715270.8021813254</v>
      </c>
      <c r="O28" s="693"/>
      <c r="P28" s="769">
        <f>SUM(P24:P27)</f>
        <v>726108.2385780122</v>
      </c>
      <c r="Q28" s="693"/>
    </row>
    <row r="29" spans="2:17" ht="26.25" customHeight="1" hidden="1" thickBot="1" thickTop="1">
      <c r="B29" s="1076" t="s">
        <v>111</v>
      </c>
      <c r="C29" s="1077"/>
      <c r="D29" s="1078"/>
      <c r="E29" s="183" t="s">
        <v>112</v>
      </c>
      <c r="F29" s="1074">
        <f>SUM(F24:G27)</f>
        <v>1178623.118357229</v>
      </c>
      <c r="G29" s="1075"/>
      <c r="H29" s="1074">
        <f>SUM(H24:I27)</f>
        <v>1197633.1686533133</v>
      </c>
      <c r="I29" s="1075"/>
      <c r="J29" s="1074">
        <f>SUM(J24:K27)</f>
        <v>1216643.2189493976</v>
      </c>
      <c r="K29" s="1075"/>
      <c r="L29" s="1074">
        <f>SUM(L24:M27)</f>
        <v>1235653.269245482</v>
      </c>
      <c r="M29" s="1075"/>
      <c r="N29" s="1074">
        <f>SUM(N24:O27)</f>
        <v>715270.8021813254</v>
      </c>
      <c r="O29" s="1075"/>
      <c r="P29" s="1074">
        <f>SUM(P24:Q27)</f>
        <v>726108.2385780122</v>
      </c>
      <c r="Q29" s="1075"/>
    </row>
    <row r="30" ht="13.5" hidden="1" thickTop="1"/>
    <row r="31" ht="13.5" thickTop="1"/>
  </sheetData>
  <mergeCells count="162">
    <mergeCell ref="F23:G23"/>
    <mergeCell ref="H23:I23"/>
    <mergeCell ref="J23:K23"/>
    <mergeCell ref="L23:M23"/>
    <mergeCell ref="L19:M19"/>
    <mergeCell ref="F21:G21"/>
    <mergeCell ref="H21:I21"/>
    <mergeCell ref="J21:K21"/>
    <mergeCell ref="L21:M21"/>
    <mergeCell ref="L20:M20"/>
    <mergeCell ref="E8:E9"/>
    <mergeCell ref="B16:D23"/>
    <mergeCell ref="E16:E17"/>
    <mergeCell ref="E18:E19"/>
    <mergeCell ref="E20:E21"/>
    <mergeCell ref="E22:E23"/>
    <mergeCell ref="B8:D15"/>
    <mergeCell ref="E14:E15"/>
    <mergeCell ref="E12:E13"/>
    <mergeCell ref="E10:E11"/>
    <mergeCell ref="L13:M13"/>
    <mergeCell ref="F15:G15"/>
    <mergeCell ref="H15:I15"/>
    <mergeCell ref="J15:K15"/>
    <mergeCell ref="L15:M15"/>
    <mergeCell ref="F13:G13"/>
    <mergeCell ref="H13:I13"/>
    <mergeCell ref="J13:K13"/>
    <mergeCell ref="F14:G14"/>
    <mergeCell ref="H14:I14"/>
    <mergeCell ref="L9:M9"/>
    <mergeCell ref="F11:G11"/>
    <mergeCell ref="H11:I11"/>
    <mergeCell ref="J11:K11"/>
    <mergeCell ref="L11:M11"/>
    <mergeCell ref="F9:G9"/>
    <mergeCell ref="H9:I9"/>
    <mergeCell ref="J9:K9"/>
    <mergeCell ref="L28:M28"/>
    <mergeCell ref="B29:D29"/>
    <mergeCell ref="F29:G29"/>
    <mergeCell ref="H29:I29"/>
    <mergeCell ref="J29:K29"/>
    <mergeCell ref="L29:M29"/>
    <mergeCell ref="B28:D28"/>
    <mergeCell ref="F28:G28"/>
    <mergeCell ref="H28:I28"/>
    <mergeCell ref="J28:K28"/>
    <mergeCell ref="H26:I26"/>
    <mergeCell ref="J26:K26"/>
    <mergeCell ref="L26:M26"/>
    <mergeCell ref="F27:G27"/>
    <mergeCell ref="H27:I27"/>
    <mergeCell ref="J27:K27"/>
    <mergeCell ref="L27:M27"/>
    <mergeCell ref="L24:M24"/>
    <mergeCell ref="B24:D27"/>
    <mergeCell ref="F24:G24"/>
    <mergeCell ref="H24:I24"/>
    <mergeCell ref="J24:K24"/>
    <mergeCell ref="F25:G25"/>
    <mergeCell ref="H25:I25"/>
    <mergeCell ref="J25:K25"/>
    <mergeCell ref="L25:M25"/>
    <mergeCell ref="F26:G26"/>
    <mergeCell ref="F22:G22"/>
    <mergeCell ref="H22:I22"/>
    <mergeCell ref="J22:K22"/>
    <mergeCell ref="L22:M22"/>
    <mergeCell ref="L16:M16"/>
    <mergeCell ref="F18:G18"/>
    <mergeCell ref="H18:I18"/>
    <mergeCell ref="J18:K18"/>
    <mergeCell ref="L18:M18"/>
    <mergeCell ref="F17:G17"/>
    <mergeCell ref="H17:I17"/>
    <mergeCell ref="J17:K17"/>
    <mergeCell ref="L17:M17"/>
    <mergeCell ref="F16:G16"/>
    <mergeCell ref="H16:I16"/>
    <mergeCell ref="J16:K16"/>
    <mergeCell ref="F20:G20"/>
    <mergeCell ref="H20:I20"/>
    <mergeCell ref="J20:K20"/>
    <mergeCell ref="F19:G19"/>
    <mergeCell ref="H19:I19"/>
    <mergeCell ref="J19:K19"/>
    <mergeCell ref="J14:K14"/>
    <mergeCell ref="L14:M14"/>
    <mergeCell ref="L10:M10"/>
    <mergeCell ref="F12:G12"/>
    <mergeCell ref="H12:I12"/>
    <mergeCell ref="J12:K12"/>
    <mergeCell ref="L12:M12"/>
    <mergeCell ref="F10:G10"/>
    <mergeCell ref="H10:I10"/>
    <mergeCell ref="J10:K10"/>
    <mergeCell ref="J5:K7"/>
    <mergeCell ref="L5:M7"/>
    <mergeCell ref="F8:G8"/>
    <mergeCell ref="H8:I8"/>
    <mergeCell ref="J8:K8"/>
    <mergeCell ref="L8:M8"/>
    <mergeCell ref="B5:D7"/>
    <mergeCell ref="E5:E7"/>
    <mergeCell ref="F5:G7"/>
    <mergeCell ref="H5:I7"/>
    <mergeCell ref="K2:M2"/>
    <mergeCell ref="O3:Q3"/>
    <mergeCell ref="F4:G4"/>
    <mergeCell ref="H4:I4"/>
    <mergeCell ref="J4:K4"/>
    <mergeCell ref="L4:M4"/>
    <mergeCell ref="N4:O4"/>
    <mergeCell ref="P4:Q4"/>
    <mergeCell ref="N5:O7"/>
    <mergeCell ref="P5:Q7"/>
    <mergeCell ref="N8:O8"/>
    <mergeCell ref="P8:Q8"/>
    <mergeCell ref="N9:O9"/>
    <mergeCell ref="P9:Q9"/>
    <mergeCell ref="N10:O10"/>
    <mergeCell ref="P10:Q10"/>
    <mergeCell ref="N11:O11"/>
    <mergeCell ref="P11:Q11"/>
    <mergeCell ref="N12:O12"/>
    <mergeCell ref="P12:Q12"/>
    <mergeCell ref="N13:O13"/>
    <mergeCell ref="P13:Q13"/>
    <mergeCell ref="N14:O14"/>
    <mergeCell ref="P14:Q14"/>
    <mergeCell ref="N15:O15"/>
    <mergeCell ref="P15:Q15"/>
    <mergeCell ref="N16:O16"/>
    <mergeCell ref="P16:Q16"/>
    <mergeCell ref="N17:O17"/>
    <mergeCell ref="P17:Q17"/>
    <mergeCell ref="N18:O18"/>
    <mergeCell ref="P18:Q18"/>
    <mergeCell ref="N19:O19"/>
    <mergeCell ref="P19:Q19"/>
    <mergeCell ref="N20:O20"/>
    <mergeCell ref="P20:Q20"/>
    <mergeCell ref="N21:O21"/>
    <mergeCell ref="P21:Q21"/>
    <mergeCell ref="N22:O22"/>
    <mergeCell ref="P22:Q22"/>
    <mergeCell ref="P26:Q26"/>
    <mergeCell ref="N23:O23"/>
    <mergeCell ref="P23:Q23"/>
    <mergeCell ref="N24:O24"/>
    <mergeCell ref="P24:Q24"/>
    <mergeCell ref="N29:O29"/>
    <mergeCell ref="P29:Q29"/>
    <mergeCell ref="A1:Q1"/>
    <mergeCell ref="N27:O27"/>
    <mergeCell ref="P27:Q27"/>
    <mergeCell ref="N28:O28"/>
    <mergeCell ref="P28:Q28"/>
    <mergeCell ref="N25:O25"/>
    <mergeCell ref="P25:Q25"/>
    <mergeCell ref="N26:O26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O22"/>
  <sheetViews>
    <sheetView workbookViewId="0" topLeftCell="A1">
      <selection activeCell="A1" sqref="A1:N1"/>
    </sheetView>
  </sheetViews>
  <sheetFormatPr defaultColWidth="9.00390625" defaultRowHeight="12.75"/>
  <cols>
    <col min="4" max="4" width="11.75390625" style="0" customWidth="1"/>
  </cols>
  <sheetData>
    <row r="1" spans="1:15" ht="26.25" customHeight="1">
      <c r="A1" s="743" t="s">
        <v>109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58"/>
    </row>
    <row r="2" spans="2:13" ht="18">
      <c r="B2" s="59"/>
      <c r="C2" s="58"/>
      <c r="D2" s="58"/>
      <c r="E2" s="58"/>
      <c r="F2" s="58"/>
      <c r="G2" s="58"/>
      <c r="H2" s="58"/>
      <c r="I2" s="58"/>
      <c r="J2" s="58"/>
      <c r="K2" s="733"/>
      <c r="L2" s="733"/>
      <c r="M2" s="733"/>
    </row>
    <row r="3" spans="11:13" ht="15.75" thickBot="1">
      <c r="K3" s="731" t="s">
        <v>104</v>
      </c>
      <c r="L3" s="731"/>
      <c r="M3" s="731"/>
    </row>
    <row r="4" spans="6:13" ht="14.25" thickBot="1" thickTop="1">
      <c r="F4" s="734">
        <v>2005</v>
      </c>
      <c r="G4" s="712"/>
      <c r="H4" s="734">
        <v>2006</v>
      </c>
      <c r="I4" s="735"/>
      <c r="J4" s="734">
        <v>2007</v>
      </c>
      <c r="K4" s="735"/>
      <c r="L4" s="734">
        <v>2008</v>
      </c>
      <c r="M4" s="735"/>
    </row>
    <row r="5" spans="2:13" ht="13.5" thickTop="1">
      <c r="B5" s="705" t="s">
        <v>41</v>
      </c>
      <c r="C5" s="706"/>
      <c r="D5" s="706"/>
      <c r="E5" s="711" t="s">
        <v>42</v>
      </c>
      <c r="F5" s="700">
        <v>6250</v>
      </c>
      <c r="G5" s="701"/>
      <c r="H5" s="700">
        <v>6300</v>
      </c>
      <c r="I5" s="701"/>
      <c r="J5" s="700">
        <v>6400</v>
      </c>
      <c r="K5" s="701"/>
      <c r="L5" s="700">
        <v>6500</v>
      </c>
      <c r="M5" s="701"/>
    </row>
    <row r="6" spans="2:13" ht="12.75">
      <c r="B6" s="707"/>
      <c r="C6" s="708"/>
      <c r="D6" s="708"/>
      <c r="E6" s="698"/>
      <c r="F6" s="702"/>
      <c r="G6" s="703"/>
      <c r="H6" s="702"/>
      <c r="I6" s="703"/>
      <c r="J6" s="702"/>
      <c r="K6" s="703"/>
      <c r="L6" s="702"/>
      <c r="M6" s="703"/>
    </row>
    <row r="7" spans="2:13" ht="13.5" thickBot="1">
      <c r="B7" s="709"/>
      <c r="C7" s="710"/>
      <c r="D7" s="710"/>
      <c r="E7" s="699"/>
      <c r="F7" s="695"/>
      <c r="G7" s="696"/>
      <c r="H7" s="695"/>
      <c r="I7" s="696"/>
      <c r="J7" s="695"/>
      <c r="K7" s="696"/>
      <c r="L7" s="695"/>
      <c r="M7" s="696"/>
    </row>
    <row r="8" spans="2:14" ht="26.25" customHeight="1">
      <c r="B8" s="707" t="s">
        <v>99</v>
      </c>
      <c r="C8" s="708"/>
      <c r="D8" s="708"/>
      <c r="E8" s="74" t="s">
        <v>100</v>
      </c>
      <c r="F8" s="687">
        <v>32.31</v>
      </c>
      <c r="G8" s="688"/>
      <c r="H8" s="687">
        <v>32.31</v>
      </c>
      <c r="I8" s="688"/>
      <c r="J8" s="687">
        <v>32.31</v>
      </c>
      <c r="K8" s="688"/>
      <c r="L8" s="687">
        <v>32.31</v>
      </c>
      <c r="M8" s="688"/>
      <c r="N8" s="66"/>
    </row>
    <row r="9" spans="2:14" ht="26.25" customHeight="1">
      <c r="B9" s="707"/>
      <c r="C9" s="708"/>
      <c r="D9" s="708"/>
      <c r="E9" s="74" t="s">
        <v>101</v>
      </c>
      <c r="F9" s="687">
        <v>2.1</v>
      </c>
      <c r="G9" s="688"/>
      <c r="H9" s="687">
        <v>2.1</v>
      </c>
      <c r="I9" s="688"/>
      <c r="J9" s="687">
        <v>2.1</v>
      </c>
      <c r="K9" s="688"/>
      <c r="L9" s="687">
        <v>2.1</v>
      </c>
      <c r="M9" s="688"/>
      <c r="N9" s="66"/>
    </row>
    <row r="10" spans="2:14" ht="26.25" customHeight="1">
      <c r="B10" s="707"/>
      <c r="C10" s="708"/>
      <c r="D10" s="708"/>
      <c r="E10" s="179" t="s">
        <v>98</v>
      </c>
      <c r="F10" s="687">
        <v>44.81</v>
      </c>
      <c r="G10" s="688"/>
      <c r="H10" s="687">
        <v>44.81</v>
      </c>
      <c r="I10" s="688"/>
      <c r="J10" s="687">
        <v>44.81</v>
      </c>
      <c r="K10" s="688"/>
      <c r="L10" s="687">
        <v>44.81</v>
      </c>
      <c r="M10" s="688"/>
      <c r="N10" s="75"/>
    </row>
    <row r="11" spans="2:13" ht="26.25" customHeight="1" thickBot="1">
      <c r="B11" s="709"/>
      <c r="C11" s="710"/>
      <c r="D11" s="710"/>
      <c r="E11" s="180" t="s">
        <v>102</v>
      </c>
      <c r="F11" s="689">
        <v>20.78</v>
      </c>
      <c r="G11" s="690"/>
      <c r="H11" s="689">
        <v>20.78</v>
      </c>
      <c r="I11" s="690"/>
      <c r="J11" s="689">
        <v>20.78</v>
      </c>
      <c r="K11" s="690"/>
      <c r="L11" s="689">
        <v>20.78</v>
      </c>
      <c r="M11" s="690"/>
    </row>
    <row r="12" spans="2:13" ht="26.25" customHeight="1">
      <c r="B12" s="707" t="s">
        <v>103</v>
      </c>
      <c r="C12" s="708"/>
      <c r="D12" s="708"/>
      <c r="E12" s="74" t="s">
        <v>100</v>
      </c>
      <c r="F12" s="1170">
        <v>15500</v>
      </c>
      <c r="G12" s="1171"/>
      <c r="H12" s="1170">
        <v>15500</v>
      </c>
      <c r="I12" s="1171"/>
      <c r="J12" s="1170">
        <v>15500</v>
      </c>
      <c r="K12" s="1171"/>
      <c r="L12" s="1170">
        <v>15500</v>
      </c>
      <c r="M12" s="1171"/>
    </row>
    <row r="13" spans="2:13" ht="26.25" customHeight="1">
      <c r="B13" s="707"/>
      <c r="C13" s="708"/>
      <c r="D13" s="708"/>
      <c r="E13" s="74" t="s">
        <v>101</v>
      </c>
      <c r="F13" s="687">
        <v>14500</v>
      </c>
      <c r="G13" s="1172"/>
      <c r="H13" s="687">
        <v>14500</v>
      </c>
      <c r="I13" s="1172"/>
      <c r="J13" s="687">
        <v>14500</v>
      </c>
      <c r="K13" s="1172"/>
      <c r="L13" s="687">
        <v>14500</v>
      </c>
      <c r="M13" s="1172"/>
    </row>
    <row r="14" spans="2:13" ht="26.25" customHeight="1">
      <c r="B14" s="707"/>
      <c r="C14" s="708"/>
      <c r="D14" s="708"/>
      <c r="E14" s="179" t="s">
        <v>98</v>
      </c>
      <c r="F14" s="687">
        <v>14500</v>
      </c>
      <c r="G14" s="1172"/>
      <c r="H14" s="687">
        <v>14500</v>
      </c>
      <c r="I14" s="1172"/>
      <c r="J14" s="687">
        <v>14500</v>
      </c>
      <c r="K14" s="1172"/>
      <c r="L14" s="687">
        <v>14500</v>
      </c>
      <c r="M14" s="1172"/>
    </row>
    <row r="15" spans="2:13" ht="26.25" customHeight="1" thickBot="1">
      <c r="B15" s="709"/>
      <c r="C15" s="710"/>
      <c r="D15" s="710"/>
      <c r="E15" s="180" t="s">
        <v>102</v>
      </c>
      <c r="F15" s="689">
        <v>800</v>
      </c>
      <c r="G15" s="1164"/>
      <c r="H15" s="689">
        <v>800</v>
      </c>
      <c r="I15" s="1164"/>
      <c r="J15" s="689">
        <v>800</v>
      </c>
      <c r="K15" s="1164"/>
      <c r="L15" s="689">
        <v>800</v>
      </c>
      <c r="M15" s="1164"/>
    </row>
    <row r="16" spans="2:13" ht="26.25" customHeight="1" thickBot="1">
      <c r="B16" s="1167" t="s">
        <v>108</v>
      </c>
      <c r="C16" s="1168"/>
      <c r="D16" s="1169"/>
      <c r="E16" s="81" t="s">
        <v>44</v>
      </c>
      <c r="F16" s="1165">
        <v>3</v>
      </c>
      <c r="G16" s="1166"/>
      <c r="H16" s="1165">
        <v>3</v>
      </c>
      <c r="I16" s="1166"/>
      <c r="J16" s="1165">
        <v>3</v>
      </c>
      <c r="K16" s="1166"/>
      <c r="L16" s="1165">
        <v>3</v>
      </c>
      <c r="M16" s="1166"/>
    </row>
    <row r="17" spans="2:13" ht="26.25" customHeight="1">
      <c r="B17" s="1106" t="s">
        <v>105</v>
      </c>
      <c r="C17" s="1107"/>
      <c r="D17" s="1108"/>
      <c r="E17" s="74" t="s">
        <v>100</v>
      </c>
      <c r="F17" s="1070">
        <f>($F$5*365*(F8/100)*(F12/1000))/0.76*($F$16/100)</f>
        <v>450971.60773026315</v>
      </c>
      <c r="G17" s="1071"/>
      <c r="H17" s="1070">
        <f>($H$5*365*(H8/100)*(H12/1000))/0.76*($H$16/100)</f>
        <v>454579.3805921052</v>
      </c>
      <c r="I17" s="1071"/>
      <c r="J17" s="1070">
        <f>($J$5*365*(J8/100)*(J12/1000))/0.76*($J$16/100)</f>
        <v>461794.9263157894</v>
      </c>
      <c r="K17" s="1071"/>
      <c r="L17" s="1070">
        <f>($L$5*365*(L8/100)*(L12/1000))/0.76*($L$16/100)</f>
        <v>469010.47203947365</v>
      </c>
      <c r="M17" s="1071"/>
    </row>
    <row r="18" spans="2:13" ht="26.25" customHeight="1">
      <c r="B18" s="707"/>
      <c r="C18" s="708"/>
      <c r="D18" s="1081"/>
      <c r="E18" s="74" t="s">
        <v>101</v>
      </c>
      <c r="F18" s="1070">
        <f>($F$5*365*(F9/100)*(F13/1000))/0.8*$F$16/100</f>
        <v>26049.0234375</v>
      </c>
      <c r="G18" s="1071"/>
      <c r="H18" s="1070">
        <f>($H$5*365*(H9/100)*(H13/1000))/0.76*($H$16/100)</f>
        <v>27639.384868421053</v>
      </c>
      <c r="I18" s="1071"/>
      <c r="J18" s="1070">
        <f>($J$5*365*(J9/100)*(J13/1000))/0.76*($J$16/100)</f>
        <v>28078.105263157893</v>
      </c>
      <c r="K18" s="1071"/>
      <c r="L18" s="1070">
        <f>($L$5*365*(L9/100)*(L13/1000))/0.76*($L$16/100)</f>
        <v>28516.825657894737</v>
      </c>
      <c r="M18" s="1071"/>
    </row>
    <row r="19" spans="2:13" ht="26.25" customHeight="1">
      <c r="B19" s="707"/>
      <c r="C19" s="708"/>
      <c r="D19" s="1081"/>
      <c r="E19" s="179" t="s">
        <v>98</v>
      </c>
      <c r="F19" s="1070">
        <f>($F$5*365*(F10/100)*(F14/1000))/0.84*($F$16/100)</f>
        <v>529368.1361607143</v>
      </c>
      <c r="G19" s="1071"/>
      <c r="H19" s="1070">
        <f>($H$5*365*(H10/100)*(H14/1000))/0.76*($H$16/100)</f>
        <v>589771.8266447368</v>
      </c>
      <c r="I19" s="1071"/>
      <c r="J19" s="1070">
        <f>($J$5*365*(J10/100)*(J14/1000))/0.76*($J$16/100)</f>
        <v>599133.2842105263</v>
      </c>
      <c r="K19" s="1071"/>
      <c r="L19" s="1070">
        <f>($L$5*365*(L10/100)*(L14/1000))/0.76*($L$16/100)</f>
        <v>608494.7417763158</v>
      </c>
      <c r="M19" s="1071"/>
    </row>
    <row r="20" spans="2:13" ht="26.25" customHeight="1" thickBot="1">
      <c r="B20" s="709"/>
      <c r="C20" s="710"/>
      <c r="D20" s="1082"/>
      <c r="E20" s="180" t="s">
        <v>102</v>
      </c>
      <c r="F20" s="1070">
        <f>($F$5*365*(F11/100)*(F15/1000))/0.92*($F$16/100)</f>
        <v>12366.358695652174</v>
      </c>
      <c r="G20" s="1071"/>
      <c r="H20" s="1070">
        <f>($H$5*365*(H11/100)*(H15/1000))/0.76*($H$16/100)</f>
        <v>15089.56105263158</v>
      </c>
      <c r="I20" s="1071"/>
      <c r="J20" s="1070">
        <f>($J$5*365*(J11/100)*(J15/1000))/0.76*($J$16/100)</f>
        <v>15329.077894736845</v>
      </c>
      <c r="K20" s="1071"/>
      <c r="L20" s="1070">
        <f>($L$5*365*(L11/100)*(L15/1000))/0.76*($L$16/100)</f>
        <v>15568.59473684211</v>
      </c>
      <c r="M20" s="1071"/>
    </row>
    <row r="21" spans="2:13" ht="13.5" customHeight="1" hidden="1">
      <c r="B21" s="1079" t="s">
        <v>53</v>
      </c>
      <c r="C21" s="770"/>
      <c r="D21" s="1080"/>
      <c r="E21" s="79" t="s">
        <v>42</v>
      </c>
      <c r="F21" s="769">
        <f>SUM(F17:F20)</f>
        <v>1018755.1260241297</v>
      </c>
      <c r="G21" s="693"/>
      <c r="H21" s="769">
        <f>SUM(H17:H20)</f>
        <v>1087080.1531578947</v>
      </c>
      <c r="I21" s="693"/>
      <c r="J21" s="769">
        <f>SUM(J17:J20)</f>
        <v>1104335.3936842105</v>
      </c>
      <c r="K21" s="693"/>
      <c r="L21" s="769">
        <f>SUM(L17:L20)</f>
        <v>1121590.6342105265</v>
      </c>
      <c r="M21" s="693"/>
    </row>
    <row r="22" spans="2:13" ht="26.25" customHeight="1" thickBot="1" thickTop="1">
      <c r="B22" s="1076" t="s">
        <v>107</v>
      </c>
      <c r="C22" s="1077"/>
      <c r="D22" s="1078"/>
      <c r="E22" s="181" t="s">
        <v>106</v>
      </c>
      <c r="F22" s="1074">
        <f>SUM(F17:G20)</f>
        <v>1018755.1260241297</v>
      </c>
      <c r="G22" s="1075"/>
      <c r="H22" s="1074">
        <f>SUM(H17:I20)</f>
        <v>1087080.1531578947</v>
      </c>
      <c r="I22" s="1075"/>
      <c r="J22" s="1074">
        <f>SUM(J17:K20)</f>
        <v>1104335.3936842105</v>
      </c>
      <c r="K22" s="1075"/>
      <c r="L22" s="1074">
        <f>SUM(L17:M20)</f>
        <v>1121590.6342105265</v>
      </c>
      <c r="M22" s="1075"/>
    </row>
    <row r="23" ht="13.5" thickTop="1"/>
  </sheetData>
  <mergeCells count="79">
    <mergeCell ref="F15:G15"/>
    <mergeCell ref="H15:I15"/>
    <mergeCell ref="J15:K15"/>
    <mergeCell ref="A1:N1"/>
    <mergeCell ref="K2:M2"/>
    <mergeCell ref="K3:M3"/>
    <mergeCell ref="L4:M4"/>
    <mergeCell ref="B5:D7"/>
    <mergeCell ref="E5:E7"/>
    <mergeCell ref="F5:G7"/>
    <mergeCell ref="H5:I7"/>
    <mergeCell ref="J5:K7"/>
    <mergeCell ref="L5:M7"/>
    <mergeCell ref="F4:G4"/>
    <mergeCell ref="H4:I4"/>
    <mergeCell ref="J4:K4"/>
    <mergeCell ref="L12:M12"/>
    <mergeCell ref="J13:K13"/>
    <mergeCell ref="L13:M13"/>
    <mergeCell ref="J14:K14"/>
    <mergeCell ref="L14:M14"/>
    <mergeCell ref="B8:D11"/>
    <mergeCell ref="F10:G10"/>
    <mergeCell ref="H10:I10"/>
    <mergeCell ref="J12:K12"/>
    <mergeCell ref="F8:G8"/>
    <mergeCell ref="H8:I8"/>
    <mergeCell ref="J8:K8"/>
    <mergeCell ref="L10:M10"/>
    <mergeCell ref="F11:G11"/>
    <mergeCell ref="H11:I11"/>
    <mergeCell ref="J11:K11"/>
    <mergeCell ref="L11:M11"/>
    <mergeCell ref="J10:K10"/>
    <mergeCell ref="B16:D16"/>
    <mergeCell ref="F16:G16"/>
    <mergeCell ref="H16:I16"/>
    <mergeCell ref="B12:D15"/>
    <mergeCell ref="F12:G12"/>
    <mergeCell ref="H12:I12"/>
    <mergeCell ref="F13:G13"/>
    <mergeCell ref="H13:I13"/>
    <mergeCell ref="F14:G14"/>
    <mergeCell ref="H14:I14"/>
    <mergeCell ref="L21:M21"/>
    <mergeCell ref="F20:G20"/>
    <mergeCell ref="H20:I20"/>
    <mergeCell ref="J16:K16"/>
    <mergeCell ref="L16:M16"/>
    <mergeCell ref="F17:G17"/>
    <mergeCell ref="H17:I17"/>
    <mergeCell ref="J17:K17"/>
    <mergeCell ref="L17:M17"/>
    <mergeCell ref="B22:D22"/>
    <mergeCell ref="L8:M8"/>
    <mergeCell ref="F9:G9"/>
    <mergeCell ref="H9:I9"/>
    <mergeCell ref="J9:K9"/>
    <mergeCell ref="L9:M9"/>
    <mergeCell ref="L22:M22"/>
    <mergeCell ref="J20:K20"/>
    <mergeCell ref="L20:M20"/>
    <mergeCell ref="B21:D21"/>
    <mergeCell ref="F22:G22"/>
    <mergeCell ref="H22:I22"/>
    <mergeCell ref="J22:K22"/>
    <mergeCell ref="F21:G21"/>
    <mergeCell ref="H21:I21"/>
    <mergeCell ref="J21:K21"/>
    <mergeCell ref="L15:M15"/>
    <mergeCell ref="B17:D20"/>
    <mergeCell ref="F18:G18"/>
    <mergeCell ref="H18:I18"/>
    <mergeCell ref="J18:K18"/>
    <mergeCell ref="L18:M18"/>
    <mergeCell ref="F19:G19"/>
    <mergeCell ref="H19:I19"/>
    <mergeCell ref="J19:K19"/>
    <mergeCell ref="L19:M19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35"/>
  <sheetViews>
    <sheetView workbookViewId="0" topLeftCell="A1">
      <selection activeCell="A1" sqref="A1:K1"/>
    </sheetView>
  </sheetViews>
  <sheetFormatPr defaultColWidth="9.00390625" defaultRowHeight="12.75"/>
  <cols>
    <col min="1" max="1" width="9.25390625" style="0" customWidth="1"/>
    <col min="3" max="3" width="10.75390625" style="0" customWidth="1"/>
  </cols>
  <sheetData>
    <row r="1" spans="1:16" ht="18">
      <c r="A1" s="732" t="s">
        <v>38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</row>
    <row r="2" spans="1:16" ht="18">
      <c r="A2" s="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">
      <c r="A3" s="5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733"/>
      <c r="O3" s="733"/>
      <c r="P3" s="733"/>
    </row>
    <row r="4" spans="15:16" ht="13.5" thickBot="1">
      <c r="O4" s="704" t="s">
        <v>89</v>
      </c>
      <c r="P4" s="704"/>
    </row>
    <row r="5" spans="5:16" ht="14.25" thickBot="1" thickTop="1">
      <c r="E5" s="734">
        <v>2003</v>
      </c>
      <c r="F5" s="735"/>
      <c r="G5" s="734">
        <v>2004</v>
      </c>
      <c r="H5" s="735"/>
      <c r="I5" s="734">
        <v>2005</v>
      </c>
      <c r="J5" s="712"/>
      <c r="K5" s="734">
        <v>2006</v>
      </c>
      <c r="L5" s="735"/>
      <c r="M5" s="734">
        <v>2007</v>
      </c>
      <c r="N5" s="735"/>
      <c r="O5" s="734">
        <v>2008</v>
      </c>
      <c r="P5" s="735"/>
    </row>
    <row r="6" spans="5:16" ht="15.75" thickBot="1" thickTop="1">
      <c r="E6" s="63" t="s">
        <v>39</v>
      </c>
      <c r="F6" s="61" t="s">
        <v>40</v>
      </c>
      <c r="G6" s="63" t="s">
        <v>39</v>
      </c>
      <c r="H6" s="61" t="s">
        <v>40</v>
      </c>
      <c r="I6" s="63" t="s">
        <v>39</v>
      </c>
      <c r="J6" s="62" t="s">
        <v>40</v>
      </c>
      <c r="K6" s="63" t="s">
        <v>39</v>
      </c>
      <c r="L6" s="61" t="s">
        <v>40</v>
      </c>
      <c r="M6" s="63" t="s">
        <v>39</v>
      </c>
      <c r="N6" s="61" t="s">
        <v>40</v>
      </c>
      <c r="O6" s="60" t="s">
        <v>39</v>
      </c>
      <c r="P6" s="64" t="s">
        <v>40</v>
      </c>
    </row>
    <row r="7" spans="1:16" ht="13.5" thickTop="1">
      <c r="A7" s="705" t="s">
        <v>41</v>
      </c>
      <c r="B7" s="706"/>
      <c r="C7" s="706"/>
      <c r="D7" s="711" t="s">
        <v>42</v>
      </c>
      <c r="E7" s="700">
        <v>6156</v>
      </c>
      <c r="F7" s="701"/>
      <c r="G7" s="700">
        <v>6200</v>
      </c>
      <c r="H7" s="701"/>
      <c r="I7" s="700">
        <v>6250</v>
      </c>
      <c r="J7" s="701"/>
      <c r="K7" s="700">
        <v>6300</v>
      </c>
      <c r="L7" s="701"/>
      <c r="M7" s="700">
        <v>6400</v>
      </c>
      <c r="N7" s="701"/>
      <c r="O7" s="700">
        <v>6500</v>
      </c>
      <c r="P7" s="701"/>
    </row>
    <row r="8" spans="1:16" ht="12.75">
      <c r="A8" s="707"/>
      <c r="B8" s="708"/>
      <c r="C8" s="708"/>
      <c r="D8" s="698"/>
      <c r="E8" s="702"/>
      <c r="F8" s="703"/>
      <c r="G8" s="702"/>
      <c r="H8" s="703"/>
      <c r="I8" s="702"/>
      <c r="J8" s="703"/>
      <c r="K8" s="702"/>
      <c r="L8" s="703"/>
      <c r="M8" s="702"/>
      <c r="N8" s="703"/>
      <c r="O8" s="702"/>
      <c r="P8" s="703"/>
    </row>
    <row r="9" spans="1:16" ht="13.5" thickBot="1">
      <c r="A9" s="709"/>
      <c r="B9" s="710"/>
      <c r="C9" s="710"/>
      <c r="D9" s="699"/>
      <c r="E9" s="695"/>
      <c r="F9" s="696"/>
      <c r="G9" s="695"/>
      <c r="H9" s="696"/>
      <c r="I9" s="695"/>
      <c r="J9" s="696"/>
      <c r="K9" s="695"/>
      <c r="L9" s="696"/>
      <c r="M9" s="695"/>
      <c r="N9" s="696"/>
      <c r="O9" s="695"/>
      <c r="P9" s="696"/>
    </row>
    <row r="10" spans="1:16" ht="12.75">
      <c r="A10" s="707" t="s">
        <v>43</v>
      </c>
      <c r="B10" s="708"/>
      <c r="C10" s="708"/>
      <c r="D10" s="698" t="s">
        <v>44</v>
      </c>
      <c r="E10" s="697">
        <v>85</v>
      </c>
      <c r="F10" s="693"/>
      <c r="G10" s="697">
        <v>85</v>
      </c>
      <c r="H10" s="693"/>
      <c r="I10" s="697">
        <v>85</v>
      </c>
      <c r="J10" s="693"/>
      <c r="K10" s="697">
        <v>85</v>
      </c>
      <c r="L10" s="693"/>
      <c r="M10" s="697">
        <v>85</v>
      </c>
      <c r="N10" s="693"/>
      <c r="O10" s="697">
        <v>85</v>
      </c>
      <c r="P10" s="693"/>
    </row>
    <row r="11" spans="1:16" ht="13.5" thickBot="1">
      <c r="A11" s="709"/>
      <c r="B11" s="710"/>
      <c r="C11" s="710"/>
      <c r="D11" s="699"/>
      <c r="E11" s="695"/>
      <c r="F11" s="696"/>
      <c r="G11" s="695"/>
      <c r="H11" s="696"/>
      <c r="I11" s="695"/>
      <c r="J11" s="696"/>
      <c r="K11" s="695"/>
      <c r="L11" s="696"/>
      <c r="M11" s="695"/>
      <c r="N11" s="696"/>
      <c r="O11" s="695"/>
      <c r="P11" s="696"/>
    </row>
    <row r="12" spans="1:16" ht="15.75" customHeight="1" thickBot="1">
      <c r="A12" s="709" t="s">
        <v>45</v>
      </c>
      <c r="B12" s="710"/>
      <c r="C12" s="710"/>
      <c r="D12" s="68" t="s">
        <v>46</v>
      </c>
      <c r="E12" s="694">
        <v>47</v>
      </c>
      <c r="F12" s="692"/>
      <c r="G12" s="694">
        <v>55</v>
      </c>
      <c r="H12" s="692"/>
      <c r="I12" s="694">
        <v>64</v>
      </c>
      <c r="J12" s="692"/>
      <c r="K12" s="694">
        <v>73</v>
      </c>
      <c r="L12" s="692"/>
      <c r="M12" s="694">
        <v>82</v>
      </c>
      <c r="N12" s="692"/>
      <c r="O12" s="694">
        <v>90</v>
      </c>
      <c r="P12" s="692"/>
    </row>
    <row r="13" spans="1:16" ht="12.75">
      <c r="A13" s="707" t="s">
        <v>47</v>
      </c>
      <c r="B13" s="708"/>
      <c r="C13" s="708"/>
      <c r="D13" s="65"/>
      <c r="E13" s="69"/>
      <c r="F13" s="70"/>
      <c r="G13" s="69"/>
      <c r="H13" s="71"/>
      <c r="I13" s="69"/>
      <c r="J13" s="72"/>
      <c r="K13" s="69"/>
      <c r="L13" s="71"/>
      <c r="M13" s="69"/>
      <c r="N13" s="71"/>
      <c r="O13" s="73"/>
      <c r="P13" s="71"/>
    </row>
    <row r="14" spans="1:16" ht="12.75">
      <c r="A14" s="707"/>
      <c r="B14" s="708"/>
      <c r="C14" s="708"/>
      <c r="D14" s="74" t="s">
        <v>48</v>
      </c>
      <c r="E14" s="687">
        <v>30</v>
      </c>
      <c r="F14" s="688"/>
      <c r="G14" s="687">
        <v>30</v>
      </c>
      <c r="H14" s="688"/>
      <c r="I14" s="687">
        <v>30</v>
      </c>
      <c r="J14" s="688"/>
      <c r="K14" s="687">
        <v>30</v>
      </c>
      <c r="L14" s="688"/>
      <c r="M14" s="687">
        <v>30</v>
      </c>
      <c r="N14" s="688"/>
      <c r="O14" s="687">
        <v>30</v>
      </c>
      <c r="P14" s="688"/>
    </row>
    <row r="15" spans="1:16" ht="13.5" thickBot="1">
      <c r="A15" s="709"/>
      <c r="B15" s="710"/>
      <c r="C15" s="710"/>
      <c r="D15" s="68" t="s">
        <v>49</v>
      </c>
      <c r="E15" s="689">
        <v>70</v>
      </c>
      <c r="F15" s="690"/>
      <c r="G15" s="689">
        <v>70</v>
      </c>
      <c r="H15" s="690"/>
      <c r="I15" s="689">
        <v>70</v>
      </c>
      <c r="J15" s="690"/>
      <c r="K15" s="689">
        <v>70</v>
      </c>
      <c r="L15" s="690"/>
      <c r="M15" s="689">
        <v>70</v>
      </c>
      <c r="N15" s="690"/>
      <c r="O15" s="689">
        <v>70</v>
      </c>
      <c r="P15" s="690"/>
    </row>
    <row r="16" spans="1:16" ht="13.5" thickBot="1">
      <c r="A16" s="75"/>
      <c r="B16" s="76"/>
      <c r="C16" s="76"/>
      <c r="D16" s="65"/>
      <c r="E16" s="77"/>
      <c r="F16" s="67"/>
      <c r="G16" s="77"/>
      <c r="H16" s="78"/>
      <c r="I16" s="77"/>
      <c r="J16" s="65"/>
      <c r="K16" s="77"/>
      <c r="L16" s="78"/>
      <c r="M16" s="77"/>
      <c r="N16" s="78"/>
      <c r="O16" s="66"/>
      <c r="P16" s="78"/>
    </row>
    <row r="17" spans="1:16" ht="12.75">
      <c r="A17" s="691" t="s">
        <v>50</v>
      </c>
      <c r="B17" s="683"/>
      <c r="C17" s="684"/>
      <c r="D17" s="79" t="s">
        <v>42</v>
      </c>
      <c r="E17" s="685">
        <f>E7*E12</f>
        <v>289332</v>
      </c>
      <c r="F17" s="686"/>
      <c r="G17" s="685">
        <f>G7*G12</f>
        <v>341000</v>
      </c>
      <c r="H17" s="686"/>
      <c r="I17" s="685">
        <f>I7*I12</f>
        <v>400000</v>
      </c>
      <c r="J17" s="686"/>
      <c r="K17" s="685">
        <f>K7*K12</f>
        <v>459900</v>
      </c>
      <c r="L17" s="686"/>
      <c r="M17" s="685">
        <f>M7*M12</f>
        <v>524800</v>
      </c>
      <c r="N17" s="686"/>
      <c r="O17" s="685">
        <f>O7*O12</f>
        <v>585000</v>
      </c>
      <c r="P17" s="686"/>
    </row>
    <row r="18" spans="1:16" ht="12.75">
      <c r="A18" s="75"/>
      <c r="B18" s="664" t="s">
        <v>51</v>
      </c>
      <c r="C18" s="665"/>
      <c r="D18" s="74" t="s">
        <v>42</v>
      </c>
      <c r="E18" s="666">
        <f>(E17*E14)/E10</f>
        <v>102117.17647058824</v>
      </c>
      <c r="F18" s="688"/>
      <c r="G18" s="666">
        <f>(G17*G14)/G10</f>
        <v>120352.94117647059</v>
      </c>
      <c r="H18" s="688"/>
      <c r="I18" s="666">
        <f>(I17*I14)/I10</f>
        <v>141176.4705882353</v>
      </c>
      <c r="J18" s="688"/>
      <c r="K18" s="666">
        <f>(K17*K14)/K10</f>
        <v>162317.64705882352</v>
      </c>
      <c r="L18" s="688"/>
      <c r="M18" s="666">
        <f>(M17*M14)/M10</f>
        <v>185223.5294117647</v>
      </c>
      <c r="N18" s="688"/>
      <c r="O18" s="666">
        <f>(O17*O14)/O10</f>
        <v>206470.58823529413</v>
      </c>
      <c r="P18" s="688"/>
    </row>
    <row r="19" spans="1:16" ht="13.5" thickBot="1">
      <c r="A19" s="80"/>
      <c r="B19" s="667" t="s">
        <v>52</v>
      </c>
      <c r="C19" s="668"/>
      <c r="D19" s="68" t="s">
        <v>42</v>
      </c>
      <c r="E19" s="669">
        <f>(E17*E15)/100</f>
        <v>202532.4</v>
      </c>
      <c r="F19" s="690"/>
      <c r="G19" s="669">
        <f>(G17*G15)/100</f>
        <v>238700</v>
      </c>
      <c r="H19" s="690"/>
      <c r="I19" s="669">
        <f>(I17*I15)/100</f>
        <v>280000</v>
      </c>
      <c r="J19" s="690"/>
      <c r="K19" s="669">
        <f>(K17*K15)/100</f>
        <v>321930</v>
      </c>
      <c r="L19" s="690"/>
      <c r="M19" s="669">
        <f>(M17*M15)/100</f>
        <v>367360</v>
      </c>
      <c r="N19" s="690"/>
      <c r="O19" s="669">
        <f>(O17*O15)/100</f>
        <v>409500</v>
      </c>
      <c r="P19" s="690"/>
    </row>
    <row r="20" spans="1:16" ht="13.5" thickBot="1">
      <c r="A20" s="670" t="s">
        <v>53</v>
      </c>
      <c r="B20" s="671"/>
      <c r="C20" s="672"/>
      <c r="D20" s="81" t="s">
        <v>42</v>
      </c>
      <c r="E20" s="694">
        <f>SUM(E18:E19)</f>
        <v>304649.5764705882</v>
      </c>
      <c r="F20" s="692"/>
      <c r="G20" s="694">
        <f>SUM(G18:G19)</f>
        <v>359052.9411764706</v>
      </c>
      <c r="H20" s="692"/>
      <c r="I20" s="694">
        <f>SUM(I18:I19)</f>
        <v>421176.4705882353</v>
      </c>
      <c r="J20" s="692"/>
      <c r="K20" s="694">
        <f>SUM(K18:K19)</f>
        <v>484247.6470588235</v>
      </c>
      <c r="L20" s="692"/>
      <c r="M20" s="694">
        <f>SUM(M18:M19)</f>
        <v>552583.5294117647</v>
      </c>
      <c r="N20" s="692"/>
      <c r="O20" s="694">
        <f>SUM(O18:O19)</f>
        <v>615970.5882352941</v>
      </c>
      <c r="P20" s="692"/>
    </row>
    <row r="21" spans="1:16" ht="13.5" thickBot="1">
      <c r="A21" s="75"/>
      <c r="B21" s="76"/>
      <c r="C21" s="76"/>
      <c r="D21" s="65"/>
      <c r="E21" s="77"/>
      <c r="F21" s="67"/>
      <c r="G21" s="77"/>
      <c r="H21" s="78"/>
      <c r="I21" s="77"/>
      <c r="J21" s="65"/>
      <c r="K21" s="77"/>
      <c r="L21" s="78"/>
      <c r="M21" s="77"/>
      <c r="N21" s="78"/>
      <c r="O21" s="66"/>
      <c r="P21" s="78"/>
    </row>
    <row r="22" spans="1:16" ht="12.75">
      <c r="A22" s="691" t="s">
        <v>54</v>
      </c>
      <c r="B22" s="683"/>
      <c r="C22" s="684"/>
      <c r="D22" s="79" t="s">
        <v>42</v>
      </c>
      <c r="E22" s="685">
        <f>SUM(E23:E24)</f>
        <v>25860</v>
      </c>
      <c r="F22" s="686"/>
      <c r="G22" s="685">
        <f>SUM(G23:G24)</f>
        <v>25860</v>
      </c>
      <c r="H22" s="686"/>
      <c r="I22" s="685">
        <f>SUM(I23:I24)</f>
        <v>25860</v>
      </c>
      <c r="J22" s="686"/>
      <c r="K22" s="685">
        <f>SUM(K23:K24)</f>
        <v>25860</v>
      </c>
      <c r="L22" s="686"/>
      <c r="M22" s="685">
        <f>SUM(M23:M24)</f>
        <v>25860</v>
      </c>
      <c r="N22" s="686"/>
      <c r="O22" s="685">
        <f>SUM(O23:O24)</f>
        <v>25860</v>
      </c>
      <c r="P22" s="686"/>
    </row>
    <row r="23" spans="1:16" ht="12.75">
      <c r="A23" s="75"/>
      <c r="B23" s="664" t="s">
        <v>55</v>
      </c>
      <c r="C23" s="665"/>
      <c r="D23" s="74" t="s">
        <v>42</v>
      </c>
      <c r="E23" s="666">
        <v>25712</v>
      </c>
      <c r="F23" s="688"/>
      <c r="G23" s="666">
        <v>25712</v>
      </c>
      <c r="H23" s="688"/>
      <c r="I23" s="666">
        <v>25712</v>
      </c>
      <c r="J23" s="688"/>
      <c r="K23" s="666">
        <v>25712</v>
      </c>
      <c r="L23" s="688"/>
      <c r="M23" s="666">
        <v>25712</v>
      </c>
      <c r="N23" s="688"/>
      <c r="O23" s="666">
        <v>25712</v>
      </c>
      <c r="P23" s="688"/>
    </row>
    <row r="24" spans="1:16" ht="13.5" thickBot="1">
      <c r="A24" s="80"/>
      <c r="B24" s="667" t="s">
        <v>56</v>
      </c>
      <c r="C24" s="668"/>
      <c r="D24" s="68" t="s">
        <v>42</v>
      </c>
      <c r="E24" s="669">
        <v>148</v>
      </c>
      <c r="F24" s="690"/>
      <c r="G24" s="669">
        <v>148</v>
      </c>
      <c r="H24" s="690"/>
      <c r="I24" s="669">
        <v>148</v>
      </c>
      <c r="J24" s="690"/>
      <c r="K24" s="669">
        <v>148</v>
      </c>
      <c r="L24" s="690"/>
      <c r="M24" s="669">
        <v>148</v>
      </c>
      <c r="N24" s="690"/>
      <c r="O24" s="669">
        <v>148</v>
      </c>
      <c r="P24" s="690"/>
    </row>
    <row r="25" spans="1:16" ht="13.5" thickBot="1">
      <c r="A25" s="82"/>
      <c r="B25" s="83"/>
      <c r="C25" s="83"/>
      <c r="D25" s="84"/>
      <c r="E25" s="85"/>
      <c r="F25" s="86"/>
      <c r="G25" s="85"/>
      <c r="H25" s="87"/>
      <c r="I25" s="85"/>
      <c r="J25" s="88"/>
      <c r="K25" s="85"/>
      <c r="L25" s="87"/>
      <c r="M25" s="85"/>
      <c r="N25" s="87"/>
      <c r="O25" s="82"/>
      <c r="P25" s="87"/>
    </row>
    <row r="26" spans="1:16" ht="14.25" thickBot="1" thickTop="1">
      <c r="A26" s="675" t="s">
        <v>57</v>
      </c>
      <c r="B26" s="676"/>
      <c r="C26" s="677"/>
      <c r="D26" s="89" t="s">
        <v>42</v>
      </c>
      <c r="E26" s="700">
        <f>E17+E22</f>
        <v>315192</v>
      </c>
      <c r="F26" s="701"/>
      <c r="G26" s="700">
        <f>G17+G22</f>
        <v>366860</v>
      </c>
      <c r="H26" s="701"/>
      <c r="I26" s="700">
        <f>I17+I22</f>
        <v>425860</v>
      </c>
      <c r="J26" s="701"/>
      <c r="K26" s="700">
        <f>K17+K22</f>
        <v>485760</v>
      </c>
      <c r="L26" s="701"/>
      <c r="M26" s="700">
        <f>M17+M22</f>
        <v>550660</v>
      </c>
      <c r="N26" s="701"/>
      <c r="O26" s="700">
        <f>O17+O22</f>
        <v>610860</v>
      </c>
      <c r="P26" s="701"/>
    </row>
    <row r="27" spans="1:16" ht="13.5">
      <c r="A27" s="660" t="s">
        <v>91</v>
      </c>
      <c r="B27" s="673" t="s">
        <v>92</v>
      </c>
      <c r="C27" s="674"/>
      <c r="D27" s="151" t="s">
        <v>58</v>
      </c>
      <c r="E27" s="152">
        <f>E18</f>
        <v>102117.17647058824</v>
      </c>
      <c r="F27" s="153">
        <f>E27/0.865</f>
        <v>118054.53927235634</v>
      </c>
      <c r="G27" s="152">
        <f>G18</f>
        <v>120352.94117647059</v>
      </c>
      <c r="H27" s="153">
        <f>G27/0.865</f>
        <v>139136.34818089084</v>
      </c>
      <c r="I27" s="152">
        <f>I18</f>
        <v>141176.4705882353</v>
      </c>
      <c r="J27" s="153">
        <f>I27/0.865</f>
        <v>163209.79258755528</v>
      </c>
      <c r="K27" s="152">
        <f>K18</f>
        <v>162317.64705882352</v>
      </c>
      <c r="L27" s="153">
        <f>K27/0.865</f>
        <v>187650.45902754166</v>
      </c>
      <c r="M27" s="152">
        <f>M18</f>
        <v>185223.5294117647</v>
      </c>
      <c r="N27" s="153">
        <f>M27/0.865</f>
        <v>214131.2478748725</v>
      </c>
      <c r="O27" s="152">
        <f>O18</f>
        <v>206470.58823529413</v>
      </c>
      <c r="P27" s="153">
        <f>O27/0.865</f>
        <v>238694.32165929957</v>
      </c>
    </row>
    <row r="28" spans="1:16" ht="14.25" thickBot="1">
      <c r="A28" s="661"/>
      <c r="B28" s="678" t="s">
        <v>52</v>
      </c>
      <c r="C28" s="679"/>
      <c r="D28" s="154" t="s">
        <v>58</v>
      </c>
      <c r="E28" s="92">
        <f>E19+E22</f>
        <v>228392.4</v>
      </c>
      <c r="F28" s="93">
        <f>E28/0.807</f>
        <v>283014.126394052</v>
      </c>
      <c r="G28" s="92">
        <f>G19+G22</f>
        <v>264560</v>
      </c>
      <c r="H28" s="93">
        <f>G28/0.807</f>
        <v>327831.47459727386</v>
      </c>
      <c r="I28" s="92">
        <f>I19+I22</f>
        <v>305860</v>
      </c>
      <c r="J28" s="93">
        <f>I28/0.807</f>
        <v>379008.6741016109</v>
      </c>
      <c r="K28" s="92">
        <f>K19+K22</f>
        <v>347790</v>
      </c>
      <c r="L28" s="93">
        <f>K28/0.807</f>
        <v>430966.54275092937</v>
      </c>
      <c r="M28" s="92">
        <f>M19+M22</f>
        <v>393220</v>
      </c>
      <c r="N28" s="93">
        <f>M28/0.807</f>
        <v>487261.4622057001</v>
      </c>
      <c r="O28" s="92">
        <f>O19+O22</f>
        <v>435360</v>
      </c>
      <c r="P28" s="93">
        <f>O28/0.807</f>
        <v>539479.5539033457</v>
      </c>
    </row>
    <row r="29" spans="1:16" ht="14.25" thickBot="1">
      <c r="A29" s="680" t="s">
        <v>53</v>
      </c>
      <c r="B29" s="681"/>
      <c r="C29" s="682"/>
      <c r="D29" s="94" t="s">
        <v>58</v>
      </c>
      <c r="E29" s="95">
        <f aca="true" t="shared" si="0" ref="E29:P29">SUM(E27:E28)</f>
        <v>330509.5764705882</v>
      </c>
      <c r="F29" s="96">
        <f t="shared" si="0"/>
        <v>401068.6656664084</v>
      </c>
      <c r="G29" s="95">
        <f t="shared" si="0"/>
        <v>384912.9411764706</v>
      </c>
      <c r="H29" s="96">
        <f t="shared" si="0"/>
        <v>466967.8227781647</v>
      </c>
      <c r="I29" s="95">
        <f t="shared" si="0"/>
        <v>447036.4705882353</v>
      </c>
      <c r="J29" s="96">
        <f t="shared" si="0"/>
        <v>542218.4666891661</v>
      </c>
      <c r="K29" s="95">
        <f t="shared" si="0"/>
        <v>510107.6470588235</v>
      </c>
      <c r="L29" s="96">
        <f>SUM(L27:L28)</f>
        <v>618617.001778471</v>
      </c>
      <c r="M29" s="95">
        <f t="shared" si="0"/>
        <v>578443.5294117647</v>
      </c>
      <c r="N29" s="96">
        <f>SUM(N27:N28)</f>
        <v>701392.7100805726</v>
      </c>
      <c r="O29" s="97">
        <f t="shared" si="0"/>
        <v>641830.5882352941</v>
      </c>
      <c r="P29" s="96">
        <f t="shared" si="0"/>
        <v>778173.8755626453</v>
      </c>
    </row>
    <row r="30" spans="1:16" ht="15" thickBot="1" thickTop="1">
      <c r="A30" s="675" t="s">
        <v>59</v>
      </c>
      <c r="B30" s="676"/>
      <c r="C30" s="677"/>
      <c r="D30" s="155" t="s">
        <v>58</v>
      </c>
      <c r="E30" s="99">
        <f aca="true" t="shared" si="1" ref="E30:P30">SUM(E31:E32)</f>
        <v>432335</v>
      </c>
      <c r="F30" s="100">
        <f t="shared" si="1"/>
        <v>520800</v>
      </c>
      <c r="G30" s="99">
        <f t="shared" si="1"/>
        <v>432335</v>
      </c>
      <c r="H30" s="100">
        <f t="shared" si="1"/>
        <v>520800</v>
      </c>
      <c r="I30" s="99">
        <f t="shared" si="1"/>
        <v>392335</v>
      </c>
      <c r="J30" s="100">
        <f t="shared" si="1"/>
        <v>474600</v>
      </c>
      <c r="K30" s="99">
        <f t="shared" si="1"/>
        <v>392335</v>
      </c>
      <c r="L30" s="100">
        <f t="shared" si="1"/>
        <v>474600</v>
      </c>
      <c r="M30" s="99">
        <f t="shared" si="1"/>
        <v>392335</v>
      </c>
      <c r="N30" s="100">
        <f t="shared" si="1"/>
        <v>474600</v>
      </c>
      <c r="O30" s="101">
        <f>SUM(O31:O32)</f>
        <v>392335</v>
      </c>
      <c r="P30" s="100">
        <f t="shared" si="1"/>
        <v>474600</v>
      </c>
    </row>
    <row r="31" spans="1:16" ht="13.5">
      <c r="A31" s="662" t="s">
        <v>93</v>
      </c>
      <c r="B31" s="673" t="s">
        <v>92</v>
      </c>
      <c r="C31" s="674"/>
      <c r="D31" s="151" t="s">
        <v>58</v>
      </c>
      <c r="E31" s="152">
        <v>150000</v>
      </c>
      <c r="F31" s="153">
        <v>173400</v>
      </c>
      <c r="G31" s="152">
        <v>150000</v>
      </c>
      <c r="H31" s="159">
        <v>173400</v>
      </c>
      <c r="I31" s="152">
        <v>110000</v>
      </c>
      <c r="J31" s="160">
        <v>127200</v>
      </c>
      <c r="K31" s="152">
        <v>110000</v>
      </c>
      <c r="L31" s="159">
        <v>127200</v>
      </c>
      <c r="M31" s="152">
        <v>110000</v>
      </c>
      <c r="N31" s="159">
        <v>127200</v>
      </c>
      <c r="O31" s="161">
        <v>110000</v>
      </c>
      <c r="P31" s="159">
        <v>127200</v>
      </c>
    </row>
    <row r="32" spans="1:16" ht="14.25" thickBot="1">
      <c r="A32" s="663"/>
      <c r="B32" s="678" t="s">
        <v>52</v>
      </c>
      <c r="C32" s="679"/>
      <c r="D32" s="154" t="s">
        <v>58</v>
      </c>
      <c r="E32" s="92">
        <v>282335</v>
      </c>
      <c r="F32" s="93">
        <v>347400</v>
      </c>
      <c r="G32" s="92">
        <v>282335</v>
      </c>
      <c r="H32" s="123">
        <v>347400</v>
      </c>
      <c r="I32" s="92">
        <v>282335</v>
      </c>
      <c r="J32" s="162">
        <v>347400</v>
      </c>
      <c r="K32" s="92">
        <v>282335</v>
      </c>
      <c r="L32" s="123">
        <v>347400</v>
      </c>
      <c r="M32" s="92">
        <v>282335</v>
      </c>
      <c r="N32" s="123">
        <v>347400</v>
      </c>
      <c r="O32" s="163">
        <v>282335</v>
      </c>
      <c r="P32" s="123">
        <v>347400</v>
      </c>
    </row>
    <row r="33" spans="1:16" ht="15" hidden="1" thickBot="1" thickTop="1">
      <c r="A33" s="738" t="s">
        <v>60</v>
      </c>
      <c r="B33" s="739"/>
      <c r="C33" s="740"/>
      <c r="D33" s="156" t="s">
        <v>58</v>
      </c>
      <c r="E33" s="157">
        <f aca="true" t="shared" si="2" ref="E33:P33">E30-E29</f>
        <v>101825.42352941178</v>
      </c>
      <c r="F33" s="158">
        <f t="shared" si="2"/>
        <v>119731.33433359163</v>
      </c>
      <c r="G33" s="157">
        <f t="shared" si="2"/>
        <v>47422.0588235294</v>
      </c>
      <c r="H33" s="158">
        <f t="shared" si="2"/>
        <v>53832.1772218353</v>
      </c>
      <c r="I33" s="157">
        <f t="shared" si="2"/>
        <v>-54701.4705882353</v>
      </c>
      <c r="J33" s="158">
        <f t="shared" si="2"/>
        <v>-67618.46668916615</v>
      </c>
      <c r="K33" s="157">
        <f t="shared" si="2"/>
        <v>-117772.6470588235</v>
      </c>
      <c r="L33" s="158">
        <f t="shared" si="2"/>
        <v>-144017.00177847105</v>
      </c>
      <c r="M33" s="157">
        <f t="shared" si="2"/>
        <v>-186108.5294117647</v>
      </c>
      <c r="N33" s="158">
        <f t="shared" si="2"/>
        <v>-226792.71008057264</v>
      </c>
      <c r="O33" s="157">
        <f t="shared" si="2"/>
        <v>-249495.5882352941</v>
      </c>
      <c r="P33" s="158">
        <f t="shared" si="2"/>
        <v>-303573.87556264526</v>
      </c>
    </row>
    <row r="34" spans="1:16" ht="13.5">
      <c r="A34" s="736" t="s">
        <v>94</v>
      </c>
      <c r="B34" s="673" t="s">
        <v>92</v>
      </c>
      <c r="C34" s="674"/>
      <c r="D34" s="98" t="s">
        <v>58</v>
      </c>
      <c r="E34" s="110">
        <f aca="true" t="shared" si="3" ref="E34:P35">E31-E27</f>
        <v>47882.82352941176</v>
      </c>
      <c r="F34" s="111">
        <f t="shared" si="3"/>
        <v>55345.46072764366</v>
      </c>
      <c r="G34" s="110">
        <f t="shared" si="3"/>
        <v>29647.058823529413</v>
      </c>
      <c r="H34" s="111">
        <f t="shared" si="3"/>
        <v>34263.65181910916</v>
      </c>
      <c r="I34" s="110">
        <f t="shared" si="3"/>
        <v>-31176.4705882353</v>
      </c>
      <c r="J34" s="111">
        <f t="shared" si="3"/>
        <v>-36009.792587555276</v>
      </c>
      <c r="K34" s="110">
        <f t="shared" si="3"/>
        <v>-52317.647058823524</v>
      </c>
      <c r="L34" s="111">
        <f t="shared" si="3"/>
        <v>-60450.459027541656</v>
      </c>
      <c r="M34" s="110">
        <f t="shared" si="3"/>
        <v>-75223.5294117647</v>
      </c>
      <c r="N34" s="111">
        <f t="shared" si="3"/>
        <v>-86931.2478748725</v>
      </c>
      <c r="O34" s="110">
        <f t="shared" si="3"/>
        <v>-96470.58823529413</v>
      </c>
      <c r="P34" s="111">
        <f t="shared" si="3"/>
        <v>-111494.32165929957</v>
      </c>
    </row>
    <row r="35" spans="1:16" ht="14.25" thickBot="1">
      <c r="A35" s="737"/>
      <c r="B35" s="741" t="s">
        <v>52</v>
      </c>
      <c r="C35" s="742"/>
      <c r="D35" s="112" t="s">
        <v>58</v>
      </c>
      <c r="E35" s="113">
        <f t="shared" si="3"/>
        <v>53942.600000000006</v>
      </c>
      <c r="F35" s="114">
        <f t="shared" si="3"/>
        <v>64385.873605948</v>
      </c>
      <c r="G35" s="113">
        <f t="shared" si="3"/>
        <v>17775</v>
      </c>
      <c r="H35" s="114">
        <f t="shared" si="3"/>
        <v>19568.52540272614</v>
      </c>
      <c r="I35" s="113">
        <f t="shared" si="3"/>
        <v>-23525</v>
      </c>
      <c r="J35" s="114">
        <f t="shared" si="3"/>
        <v>-31608.6741016109</v>
      </c>
      <c r="K35" s="113">
        <f t="shared" si="3"/>
        <v>-65455</v>
      </c>
      <c r="L35" s="114">
        <f t="shared" si="3"/>
        <v>-83566.54275092937</v>
      </c>
      <c r="M35" s="113">
        <f t="shared" si="3"/>
        <v>-110885</v>
      </c>
      <c r="N35" s="114">
        <f t="shared" si="3"/>
        <v>-139861.4622057001</v>
      </c>
      <c r="O35" s="113">
        <f t="shared" si="3"/>
        <v>-153025</v>
      </c>
      <c r="P35" s="114">
        <f t="shared" si="3"/>
        <v>-192079.55390334572</v>
      </c>
    </row>
    <row r="36" ht="13.5" thickTop="1"/>
  </sheetData>
  <mergeCells count="113">
    <mergeCell ref="A34:A35"/>
    <mergeCell ref="A33:C33"/>
    <mergeCell ref="B34:C34"/>
    <mergeCell ref="B35:C35"/>
    <mergeCell ref="B28:C28"/>
    <mergeCell ref="A29:C29"/>
    <mergeCell ref="A30:C30"/>
    <mergeCell ref="A31:A32"/>
    <mergeCell ref="B31:C31"/>
    <mergeCell ref="B32:C32"/>
    <mergeCell ref="A27:A28"/>
    <mergeCell ref="K26:L26"/>
    <mergeCell ref="M26:N26"/>
    <mergeCell ref="O26:P26"/>
    <mergeCell ref="B27:C27"/>
    <mergeCell ref="A26:C26"/>
    <mergeCell ref="E26:F26"/>
    <mergeCell ref="G26:H26"/>
    <mergeCell ref="I26:J26"/>
    <mergeCell ref="K23:L23"/>
    <mergeCell ref="M23:N23"/>
    <mergeCell ref="O23:P23"/>
    <mergeCell ref="B24:C24"/>
    <mergeCell ref="E24:F24"/>
    <mergeCell ref="G24:H24"/>
    <mergeCell ref="I24:J24"/>
    <mergeCell ref="K24:L24"/>
    <mergeCell ref="M24:N24"/>
    <mergeCell ref="O24:P24"/>
    <mergeCell ref="B23:C23"/>
    <mergeCell ref="E23:F23"/>
    <mergeCell ref="G23:H23"/>
    <mergeCell ref="I23:J23"/>
    <mergeCell ref="K20:L20"/>
    <mergeCell ref="M20:N20"/>
    <mergeCell ref="O20:P20"/>
    <mergeCell ref="A22:C22"/>
    <mergeCell ref="E22:F22"/>
    <mergeCell ref="G22:H22"/>
    <mergeCell ref="I22:J22"/>
    <mergeCell ref="K22:L22"/>
    <mergeCell ref="M22:N22"/>
    <mergeCell ref="O22:P22"/>
    <mergeCell ref="A20:C20"/>
    <mergeCell ref="E20:F20"/>
    <mergeCell ref="G20:H20"/>
    <mergeCell ref="I20:J20"/>
    <mergeCell ref="K18:L18"/>
    <mergeCell ref="M18:N18"/>
    <mergeCell ref="O18:P18"/>
    <mergeCell ref="B19:C19"/>
    <mergeCell ref="E19:F19"/>
    <mergeCell ref="G19:H19"/>
    <mergeCell ref="I19:J19"/>
    <mergeCell ref="K19:L19"/>
    <mergeCell ref="M19:N19"/>
    <mergeCell ref="O19:P19"/>
    <mergeCell ref="B18:C18"/>
    <mergeCell ref="E18:F18"/>
    <mergeCell ref="G18:H18"/>
    <mergeCell ref="I18:J18"/>
    <mergeCell ref="M15:N15"/>
    <mergeCell ref="O15:P15"/>
    <mergeCell ref="A17:C17"/>
    <mergeCell ref="E17:F17"/>
    <mergeCell ref="G17:H17"/>
    <mergeCell ref="I17:J17"/>
    <mergeCell ref="K17:L17"/>
    <mergeCell ref="M17:N17"/>
    <mergeCell ref="O17:P17"/>
    <mergeCell ref="E15:F15"/>
    <mergeCell ref="G15:H15"/>
    <mergeCell ref="I15:J15"/>
    <mergeCell ref="K15:L15"/>
    <mergeCell ref="K12:L12"/>
    <mergeCell ref="M12:N12"/>
    <mergeCell ref="O12:P12"/>
    <mergeCell ref="A13:C15"/>
    <mergeCell ref="E14:F14"/>
    <mergeCell ref="G14:H14"/>
    <mergeCell ref="I14:J14"/>
    <mergeCell ref="K14:L14"/>
    <mergeCell ref="M14:N14"/>
    <mergeCell ref="O14:P14"/>
    <mergeCell ref="A12:C12"/>
    <mergeCell ref="E12:F12"/>
    <mergeCell ref="G12:H12"/>
    <mergeCell ref="I12:J12"/>
    <mergeCell ref="I10:J11"/>
    <mergeCell ref="K10:L11"/>
    <mergeCell ref="M10:N11"/>
    <mergeCell ref="O10:P11"/>
    <mergeCell ref="A10:C11"/>
    <mergeCell ref="D10:D11"/>
    <mergeCell ref="E10:F11"/>
    <mergeCell ref="G10:H11"/>
    <mergeCell ref="I7:J9"/>
    <mergeCell ref="K7:L9"/>
    <mergeCell ref="M7:N9"/>
    <mergeCell ref="O7:P9"/>
    <mergeCell ref="A7:C9"/>
    <mergeCell ref="D7:D9"/>
    <mergeCell ref="E7:F9"/>
    <mergeCell ref="G7:H9"/>
    <mergeCell ref="A1:P1"/>
    <mergeCell ref="N3:P3"/>
    <mergeCell ref="E5:F5"/>
    <mergeCell ref="G5:H5"/>
    <mergeCell ref="I5:J5"/>
    <mergeCell ref="K5:L5"/>
    <mergeCell ref="M5:N5"/>
    <mergeCell ref="O5:P5"/>
    <mergeCell ref="O4:P4"/>
  </mergeCells>
  <printOptions horizontalCentered="1" vertic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Footer>&amp;C12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39"/>
  <sheetViews>
    <sheetView workbookViewId="0" topLeftCell="A1">
      <selection activeCell="A1" sqref="A1:K1"/>
    </sheetView>
  </sheetViews>
  <sheetFormatPr defaultColWidth="9.00390625" defaultRowHeight="12.75"/>
  <cols>
    <col min="2" max="2" width="11.625" style="0" customWidth="1"/>
    <col min="5" max="5" width="10.125" style="0" bestFit="1" customWidth="1"/>
    <col min="12" max="12" width="10.25390625" style="0" customWidth="1"/>
    <col min="14" max="14" width="10.00390625" style="0" customWidth="1"/>
    <col min="16" max="16" width="10.375" style="0" customWidth="1"/>
  </cols>
  <sheetData>
    <row r="1" spans="1:16" ht="19.5" customHeight="1">
      <c r="A1" s="743" t="s">
        <v>61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</row>
    <row r="2" spans="1:16" ht="19.5" customHeight="1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</row>
    <row r="3" spans="1:16" ht="19.5" customHeight="1" thickBot="1">
      <c r="A3" s="115"/>
      <c r="B3" s="164">
        <v>28950</v>
      </c>
      <c r="C3" s="115"/>
      <c r="D3" s="115"/>
      <c r="E3" s="164">
        <v>6800</v>
      </c>
      <c r="F3" s="164">
        <v>9920</v>
      </c>
      <c r="G3" s="164">
        <f aca="true" t="shared" si="0" ref="G3:P3">E3*1.05</f>
        <v>7140</v>
      </c>
      <c r="H3" s="164">
        <f t="shared" si="0"/>
        <v>10416</v>
      </c>
      <c r="I3" s="164">
        <v>7511</v>
      </c>
      <c r="J3" s="164">
        <v>12000</v>
      </c>
      <c r="K3" s="164">
        <f t="shared" si="0"/>
        <v>7886.55</v>
      </c>
      <c r="L3" s="164">
        <f t="shared" si="0"/>
        <v>12600</v>
      </c>
      <c r="M3" s="164">
        <f t="shared" si="0"/>
        <v>8280.8775</v>
      </c>
      <c r="N3" s="164">
        <f t="shared" si="0"/>
        <v>13230</v>
      </c>
      <c r="O3" s="164">
        <f t="shared" si="0"/>
        <v>8694.921375000002</v>
      </c>
      <c r="P3" s="164">
        <f t="shared" si="0"/>
        <v>13891.5</v>
      </c>
    </row>
    <row r="4" spans="1:16" ht="19.5" customHeight="1" thickBot="1" thickTop="1">
      <c r="A4" s="705" t="s">
        <v>62</v>
      </c>
      <c r="B4" s="746"/>
      <c r="C4" s="734" t="s">
        <v>63</v>
      </c>
      <c r="D4" s="735"/>
      <c r="E4" s="734" t="s">
        <v>64</v>
      </c>
      <c r="F4" s="735"/>
      <c r="G4" s="734">
        <v>2004</v>
      </c>
      <c r="H4" s="735"/>
      <c r="I4" s="734">
        <v>2005</v>
      </c>
      <c r="J4" s="712"/>
      <c r="K4" s="734">
        <v>2006</v>
      </c>
      <c r="L4" s="735"/>
      <c r="M4" s="734">
        <v>2007</v>
      </c>
      <c r="N4" s="735"/>
      <c r="O4" s="734">
        <v>2008</v>
      </c>
      <c r="P4" s="735"/>
    </row>
    <row r="5" spans="1:16" ht="15.75" thickBot="1" thickTop="1">
      <c r="A5" s="747"/>
      <c r="B5" s="748"/>
      <c r="C5" s="63" t="s">
        <v>39</v>
      </c>
      <c r="D5" s="61" t="s">
        <v>40</v>
      </c>
      <c r="E5" s="63" t="s">
        <v>39</v>
      </c>
      <c r="F5" s="61" t="s">
        <v>40</v>
      </c>
      <c r="G5" s="63" t="s">
        <v>39</v>
      </c>
      <c r="H5" s="61" t="s">
        <v>40</v>
      </c>
      <c r="I5" s="63" t="s">
        <v>39</v>
      </c>
      <c r="J5" s="62" t="s">
        <v>40</v>
      </c>
      <c r="K5" s="63" t="s">
        <v>39</v>
      </c>
      <c r="L5" s="61" t="s">
        <v>40</v>
      </c>
      <c r="M5" s="63" t="s">
        <v>39</v>
      </c>
      <c r="N5" s="61" t="s">
        <v>40</v>
      </c>
      <c r="O5" s="60" t="s">
        <v>39</v>
      </c>
      <c r="P5" s="64" t="s">
        <v>40</v>
      </c>
    </row>
    <row r="6" spans="1:16" ht="14.25" thickBot="1" thickTop="1">
      <c r="A6" s="749" t="s">
        <v>65</v>
      </c>
      <c r="B6" s="750"/>
      <c r="C6" s="116">
        <v>75303</v>
      </c>
      <c r="D6" s="117">
        <f>C6/0.865</f>
        <v>87055.49132947977</v>
      </c>
      <c r="E6" s="116">
        <v>109913</v>
      </c>
      <c r="F6" s="117">
        <f>E6/0.865</f>
        <v>127067.05202312139</v>
      </c>
      <c r="G6" s="116">
        <f>Hárok1!G18</f>
        <v>120352.94117647059</v>
      </c>
      <c r="H6" s="117">
        <f>G6/0.865</f>
        <v>139136.34818089084</v>
      </c>
      <c r="I6" s="116">
        <f>Hárok1!I18</f>
        <v>141176.4705882353</v>
      </c>
      <c r="J6" s="117">
        <f>I6/0.865</f>
        <v>163209.79258755528</v>
      </c>
      <c r="K6" s="116">
        <f>Hárok1!K18</f>
        <v>162317.64705882352</v>
      </c>
      <c r="L6" s="117">
        <f>K6/0.865</f>
        <v>187650.45902754166</v>
      </c>
      <c r="M6" s="116">
        <f>Hárok1!M18</f>
        <v>185223.5294117647</v>
      </c>
      <c r="N6" s="117">
        <f>M6/0.865</f>
        <v>214131.2478748725</v>
      </c>
      <c r="O6" s="116">
        <f>Hárok1!O18</f>
        <v>206470.58823529413</v>
      </c>
      <c r="P6" s="117">
        <f>O6/0.865</f>
        <v>238694.32165929957</v>
      </c>
    </row>
    <row r="7" spans="1:16" ht="12.75">
      <c r="A7" s="751" t="s">
        <v>66</v>
      </c>
      <c r="B7" s="118" t="s">
        <v>67</v>
      </c>
      <c r="C7" s="119"/>
      <c r="D7" s="120"/>
      <c r="E7" s="119"/>
      <c r="F7" s="121"/>
      <c r="G7" s="119">
        <f aca="true" t="shared" si="1" ref="G7:P7">G6-E6</f>
        <v>10439.941176470587</v>
      </c>
      <c r="H7" s="120">
        <f t="shared" si="1"/>
        <v>12069.296157769451</v>
      </c>
      <c r="I7" s="119" t="e">
        <f>#REF!</f>
        <v>#REF!</v>
      </c>
      <c r="J7" s="120">
        <f t="shared" si="1"/>
        <v>24073.444406664436</v>
      </c>
      <c r="K7" s="119">
        <f t="shared" si="1"/>
        <v>21141.176470588223</v>
      </c>
      <c r="L7" s="120">
        <f t="shared" si="1"/>
        <v>24440.66643998638</v>
      </c>
      <c r="M7" s="119">
        <f t="shared" si="1"/>
        <v>22905.882352941175</v>
      </c>
      <c r="N7" s="120">
        <f t="shared" si="1"/>
        <v>26480.78884733084</v>
      </c>
      <c r="O7" s="119">
        <f t="shared" si="1"/>
        <v>21247.058823529427</v>
      </c>
      <c r="P7" s="120">
        <f t="shared" si="1"/>
        <v>24563.073784427077</v>
      </c>
    </row>
    <row r="8" spans="1:16" ht="13.5" thickBot="1">
      <c r="A8" s="752"/>
      <c r="B8" s="122" t="s">
        <v>68</v>
      </c>
      <c r="C8" s="92"/>
      <c r="D8" s="93"/>
      <c r="E8" s="92"/>
      <c r="F8" s="123"/>
      <c r="G8" s="92">
        <f>G3*1.19</f>
        <v>8496.6</v>
      </c>
      <c r="H8" s="123"/>
      <c r="I8" s="92">
        <f>I3*1.19</f>
        <v>8938.09</v>
      </c>
      <c r="J8" s="123"/>
      <c r="K8" s="92">
        <f>K3*1.19</f>
        <v>9384.9945</v>
      </c>
      <c r="L8" s="123"/>
      <c r="M8" s="92">
        <f>M3*1.19</f>
        <v>9854.244225</v>
      </c>
      <c r="N8" s="123"/>
      <c r="O8" s="92">
        <f>O3*1.19</f>
        <v>10346.956436250002</v>
      </c>
      <c r="P8" s="123"/>
    </row>
    <row r="9" spans="1:16" ht="13.5" thickBot="1">
      <c r="A9" s="753" t="s">
        <v>27</v>
      </c>
      <c r="B9" s="754"/>
      <c r="C9" s="95"/>
      <c r="D9" s="96"/>
      <c r="E9" s="95">
        <v>287609</v>
      </c>
      <c r="F9" s="96"/>
      <c r="G9" s="95">
        <f>(G7*G8)/1000</f>
        <v>88704.0042</v>
      </c>
      <c r="H9" s="96"/>
      <c r="I9" s="95" t="e">
        <f>(I7*I8)/1000</f>
        <v>#REF!</v>
      </c>
      <c r="J9" s="96"/>
      <c r="K9" s="95">
        <f>(K7*K8)/1000</f>
        <v>198409.82489999992</v>
      </c>
      <c r="L9" s="96"/>
      <c r="M9" s="95">
        <f>(M7*M8)/1000</f>
        <v>225720.15889499997</v>
      </c>
      <c r="N9" s="96"/>
      <c r="O9" s="95">
        <f>(O7*O8)/1000</f>
        <v>219842.39204550022</v>
      </c>
      <c r="P9" s="96"/>
    </row>
    <row r="10" spans="1:16" ht="14.25" thickBot="1" thickTop="1">
      <c r="A10" s="755" t="s">
        <v>69</v>
      </c>
      <c r="B10" s="692"/>
      <c r="C10" s="116">
        <v>201624</v>
      </c>
      <c r="D10" s="117">
        <f>C10/0.808</f>
        <v>249534.65346534652</v>
      </c>
      <c r="E10" s="116">
        <f>C10</f>
        <v>201624</v>
      </c>
      <c r="F10" s="117">
        <f>D10</f>
        <v>249534.65346534652</v>
      </c>
      <c r="G10" s="116">
        <f>G11+B3</f>
        <v>267650</v>
      </c>
      <c r="H10" s="117">
        <f>G10/0.808</f>
        <v>331250</v>
      </c>
      <c r="I10" s="116">
        <f>I11+B3</f>
        <v>308950</v>
      </c>
      <c r="J10" s="117">
        <f>I10/0.808</f>
        <v>382363.8613861386</v>
      </c>
      <c r="K10" s="116">
        <f>K11+B3</f>
        <v>350880</v>
      </c>
      <c r="L10" s="117">
        <f>K10/0.808</f>
        <v>434257.4257425742</v>
      </c>
      <c r="M10" s="116">
        <f>M11+B3</f>
        <v>396310</v>
      </c>
      <c r="N10" s="117">
        <f>M10/0.808</f>
        <v>490482.6732673267</v>
      </c>
      <c r="O10" s="116">
        <f>O11+B3</f>
        <v>438450</v>
      </c>
      <c r="P10" s="117">
        <f>O10/0.808</f>
        <v>542636.1386138614</v>
      </c>
    </row>
    <row r="11" spans="1:16" ht="14.25" thickBot="1" thickTop="1">
      <c r="A11" s="755" t="s">
        <v>70</v>
      </c>
      <c r="B11" s="692"/>
      <c r="C11" s="165">
        <v>193000</v>
      </c>
      <c r="D11" s="117">
        <f>C11/0.808</f>
        <v>238861.38613861386</v>
      </c>
      <c r="E11" s="116">
        <f>C11</f>
        <v>193000</v>
      </c>
      <c r="F11" s="117">
        <f>D11</f>
        <v>238861.38613861386</v>
      </c>
      <c r="G11" s="116">
        <f>Hárok1!G19</f>
        <v>238700</v>
      </c>
      <c r="H11" s="117">
        <f>G11/0.808</f>
        <v>295420.7920792079</v>
      </c>
      <c r="I11" s="116">
        <f>Hárok1!I19</f>
        <v>280000</v>
      </c>
      <c r="J11" s="117">
        <f>I11/0.808</f>
        <v>346534.6534653465</v>
      </c>
      <c r="K11" s="116">
        <f>Hárok1!K19</f>
        <v>321930</v>
      </c>
      <c r="L11" s="117">
        <f>K11/0.808</f>
        <v>398428.21782178216</v>
      </c>
      <c r="M11" s="116">
        <f>Hárok1!M19</f>
        <v>367360</v>
      </c>
      <c r="N11" s="117">
        <f>M11/0.808</f>
        <v>454653.4653465346</v>
      </c>
      <c r="O11" s="116">
        <f>Hárok1!O19</f>
        <v>409500</v>
      </c>
      <c r="P11" s="117">
        <f>O11/0.808</f>
        <v>506806.9306930693</v>
      </c>
    </row>
    <row r="12" spans="1:16" ht="12.75">
      <c r="A12" s="751" t="s">
        <v>71</v>
      </c>
      <c r="B12" s="118" t="s">
        <v>67</v>
      </c>
      <c r="C12" s="119"/>
      <c r="D12" s="120"/>
      <c r="E12" s="119"/>
      <c r="F12" s="120"/>
      <c r="G12" s="119">
        <f>G11-E11</f>
        <v>45700</v>
      </c>
      <c r="H12" s="120">
        <f>H11-F11</f>
        <v>56559.405940594035</v>
      </c>
      <c r="I12" s="119">
        <f>I11-G11</f>
        <v>41300</v>
      </c>
      <c r="J12" s="120">
        <f>J11-H11</f>
        <v>51113.8613861386</v>
      </c>
      <c r="K12" s="119">
        <f aca="true" t="shared" si="2" ref="K12:P12">K10-I10</f>
        <v>41930</v>
      </c>
      <c r="L12" s="120">
        <f t="shared" si="2"/>
        <v>51893.564356435614</v>
      </c>
      <c r="M12" s="119">
        <f t="shared" si="2"/>
        <v>45430</v>
      </c>
      <c r="N12" s="120">
        <f t="shared" si="2"/>
        <v>56225.247524752514</v>
      </c>
      <c r="O12" s="119">
        <f t="shared" si="2"/>
        <v>42140</v>
      </c>
      <c r="P12" s="120">
        <f t="shared" si="2"/>
        <v>52153.46534653468</v>
      </c>
    </row>
    <row r="13" spans="1:16" ht="15" thickBot="1">
      <c r="A13" s="752"/>
      <c r="B13" s="122" t="s">
        <v>72</v>
      </c>
      <c r="C13" s="92"/>
      <c r="D13" s="93"/>
      <c r="E13" s="92"/>
      <c r="F13" s="124"/>
      <c r="G13" s="92"/>
      <c r="H13" s="124">
        <f>H3*1.19</f>
        <v>12395.039999999999</v>
      </c>
      <c r="I13" s="92"/>
      <c r="J13" s="124">
        <f>J3*1.19</f>
        <v>14280</v>
      </c>
      <c r="K13" s="92"/>
      <c r="L13" s="124">
        <f>L3*1.19</f>
        <v>14994</v>
      </c>
      <c r="M13" s="92"/>
      <c r="N13" s="124">
        <f>N3*1.19</f>
        <v>15743.699999999999</v>
      </c>
      <c r="O13" s="92"/>
      <c r="P13" s="124">
        <f>P3*1.19</f>
        <v>16530.885</v>
      </c>
    </row>
    <row r="14" spans="1:16" ht="13.5" thickBot="1">
      <c r="A14" s="753" t="s">
        <v>73</v>
      </c>
      <c r="B14" s="754"/>
      <c r="C14" s="95"/>
      <c r="D14" s="96"/>
      <c r="E14" s="95"/>
      <c r="F14" s="96">
        <f>(F12*F13)/1000</f>
        <v>0</v>
      </c>
      <c r="G14" s="95"/>
      <c r="H14" s="96">
        <f>(H12*H13)/1000</f>
        <v>701056.0990099007</v>
      </c>
      <c r="I14" s="95"/>
      <c r="J14" s="96">
        <f>(J12*J13)/1000</f>
        <v>729905.9405940591</v>
      </c>
      <c r="K14" s="95"/>
      <c r="L14" s="96">
        <f>(L12*L13)/1000</f>
        <v>778092.1039603956</v>
      </c>
      <c r="M14" s="95"/>
      <c r="N14" s="96">
        <f>(N12*N13)/1000</f>
        <v>885193.4294554461</v>
      </c>
      <c r="O14" s="95"/>
      <c r="P14" s="96">
        <f>(P12*P13)/1000</f>
        <v>862142.9379950499</v>
      </c>
    </row>
    <row r="15" spans="1:16" ht="13.5" thickTop="1">
      <c r="A15" s="756" t="s">
        <v>74</v>
      </c>
      <c r="B15" s="746"/>
      <c r="C15" s="107"/>
      <c r="D15" s="105"/>
      <c r="E15" s="758">
        <f>E9+F14</f>
        <v>287609</v>
      </c>
      <c r="F15" s="759"/>
      <c r="G15" s="758">
        <f>G9+H14</f>
        <v>789760.1032099007</v>
      </c>
      <c r="H15" s="759"/>
      <c r="I15" s="758" t="e">
        <f>I9+J14</f>
        <v>#REF!</v>
      </c>
      <c r="J15" s="759"/>
      <c r="K15" s="758">
        <f>K9+L14</f>
        <v>976501.9288603954</v>
      </c>
      <c r="L15" s="759"/>
      <c r="M15" s="758">
        <f>M9+N14</f>
        <v>1110913.588350446</v>
      </c>
      <c r="N15" s="759"/>
      <c r="O15" s="758">
        <f>O9+P14</f>
        <v>1081985.33004055</v>
      </c>
      <c r="P15" s="759"/>
    </row>
    <row r="16" spans="1:16" ht="13.5" thickBot="1">
      <c r="A16" s="757"/>
      <c r="B16" s="748"/>
      <c r="C16" s="125"/>
      <c r="D16" s="126"/>
      <c r="E16" s="760"/>
      <c r="F16" s="761"/>
      <c r="G16" s="760"/>
      <c r="H16" s="761"/>
      <c r="I16" s="760"/>
      <c r="J16" s="761"/>
      <c r="K16" s="760"/>
      <c r="L16" s="761"/>
      <c r="M16" s="760"/>
      <c r="N16" s="761"/>
      <c r="O16" s="760"/>
      <c r="P16" s="761"/>
    </row>
    <row r="17" spans="1:16" ht="14.25" thickBot="1" thickTop="1">
      <c r="A17" s="756" t="s">
        <v>75</v>
      </c>
      <c r="B17" s="762"/>
      <c r="C17" s="700" t="s">
        <v>76</v>
      </c>
      <c r="D17" s="701"/>
      <c r="E17" s="767">
        <v>125000</v>
      </c>
      <c r="F17" s="768"/>
      <c r="G17" s="758">
        <f>35000*1.05+(G6*288*1.19+H10*276*1.19)/1000</f>
        <v>186793.11</v>
      </c>
      <c r="H17" s="759"/>
      <c r="I17" s="767">
        <f>35000*1.05+(I6*288*1.19+J10*276*1.19)/1000</f>
        <v>210717.58663366336</v>
      </c>
      <c r="J17" s="768"/>
      <c r="K17" s="767">
        <f>35000*1.05*1.05+(K6*288*1.19+L10*276*1.19)/1000</f>
        <v>236844.51291089106</v>
      </c>
      <c r="L17" s="768"/>
      <c r="M17" s="767">
        <f>35000*1.05*1.05*1.05+(M6*288*1.19+N10*276*1.19)/1000</f>
        <v>265090.8122079208</v>
      </c>
      <c r="N17" s="768"/>
      <c r="O17" s="767">
        <f>35000*1.05*1.05*1.05*1.05+(O6*288*1.19+P10*276*1.19)/1000</f>
        <v>291527.73211633664</v>
      </c>
      <c r="P17" s="768"/>
    </row>
    <row r="18" spans="1:16" ht="13.5" thickBot="1">
      <c r="A18" s="763"/>
      <c r="B18" s="764"/>
      <c r="C18" s="769" t="s">
        <v>77</v>
      </c>
      <c r="D18" s="770"/>
      <c r="E18" s="770"/>
      <c r="F18" s="693"/>
      <c r="G18" s="771">
        <f>35000*1.05+(G6*400*1.19+H10*299*1.19)/1000</f>
        <v>211900.0625</v>
      </c>
      <c r="H18" s="772"/>
      <c r="I18" s="771">
        <f>35000*1.05+(I6*400*1.19+J10*299*1.19)/1000</f>
        <v>239998.885519802</v>
      </c>
      <c r="J18" s="772"/>
      <c r="K18" s="771">
        <f>35000*1.05*1.05+(K6*400*1.19+L10*299*1.19)/1000</f>
        <v>270363.8346534653</v>
      </c>
      <c r="L18" s="772"/>
      <c r="M18" s="771">
        <f>35000*1.05*1.05*1.05+(M6*400*1.19+N10*299*1.19)/1000</f>
        <v>303201.9149752475</v>
      </c>
      <c r="N18" s="772"/>
      <c r="O18" s="771">
        <f>35000*1.05*1.05*1.05*1.05+(O6*400*1.19+P10*299*1.19)/1000</f>
        <v>333898.083230198</v>
      </c>
      <c r="P18" s="772"/>
    </row>
    <row r="19" spans="1:16" ht="15.75" customHeight="1" thickBot="1">
      <c r="A19" s="763"/>
      <c r="B19" s="764"/>
      <c r="C19" s="769" t="s">
        <v>78</v>
      </c>
      <c r="D19" s="770"/>
      <c r="E19" s="770"/>
      <c r="F19" s="693"/>
      <c r="G19" s="771">
        <f>35000*1.05+(G6*500*1.19+H10*299*1.19)/1000</f>
        <v>226222.0625</v>
      </c>
      <c r="H19" s="772"/>
      <c r="I19" s="771">
        <f>35000*1.05+(I6*500*1.19+J10*299*1.19)/1000</f>
        <v>256798.885519802</v>
      </c>
      <c r="J19" s="772"/>
      <c r="K19" s="771">
        <f>35000*1.05*1.05+(K6*500*1.19+L10*299*1.19)/1000</f>
        <v>289679.63465346536</v>
      </c>
      <c r="L19" s="772"/>
      <c r="M19" s="771">
        <f>35000*1.05*1.05*1.05+(M6*500*1.19+N10*299*1.19)/1000</f>
        <v>325243.5149752475</v>
      </c>
      <c r="N19" s="772"/>
      <c r="O19" s="771">
        <f>35000*1.05*1.05*1.05*1.05+(O6*500*1.19+P10*299*1.19)/1000</f>
        <v>358468.083230198</v>
      </c>
      <c r="P19" s="772"/>
    </row>
    <row r="20" spans="1:16" ht="13.5" thickBot="1">
      <c r="A20" s="765"/>
      <c r="B20" s="766"/>
      <c r="C20" s="769" t="s">
        <v>79</v>
      </c>
      <c r="D20" s="770"/>
      <c r="E20" s="770"/>
      <c r="F20" s="693"/>
      <c r="G20" s="771">
        <f>35000*1.05+(G6*500*1.19+H10*500*1.19)/1000</f>
        <v>305453.75</v>
      </c>
      <c r="H20" s="772"/>
      <c r="I20" s="771">
        <f>35000*1.05+(I6*500*1.19+J10*500*1.19)/1000</f>
        <v>348256.4975247525</v>
      </c>
      <c r="J20" s="772"/>
      <c r="K20" s="771">
        <f>35000*1.05*1.05+(K6*500*1.19+L10*500*1.19)/1000</f>
        <v>393549.66831683164</v>
      </c>
      <c r="L20" s="772"/>
      <c r="M20" s="771">
        <f>35000*1.05*1.05*1.05+(M6*500*1.19+N10*500*1.19)/1000</f>
        <v>442562.0655940594</v>
      </c>
      <c r="N20" s="772"/>
      <c r="O20" s="771">
        <f>35000*1.05*1.05*1.05*1.05+(O6*500*1.19+P10*500*1.19)/1000</f>
        <v>488261.22122524754</v>
      </c>
      <c r="P20" s="772"/>
    </row>
    <row r="21" spans="1:16" ht="14.25" thickBot="1" thickTop="1">
      <c r="A21" s="756" t="s">
        <v>80</v>
      </c>
      <c r="B21" s="762"/>
      <c r="C21" s="700" t="s">
        <v>76</v>
      </c>
      <c r="D21" s="779"/>
      <c r="E21" s="780">
        <f>E9+F14+E17</f>
        <v>412609</v>
      </c>
      <c r="F21" s="768"/>
      <c r="G21" s="780">
        <f>G9+H14+G17</f>
        <v>976553.2132099007</v>
      </c>
      <c r="H21" s="768"/>
      <c r="I21" s="780" t="e">
        <f>I9+J14+I17</f>
        <v>#REF!</v>
      </c>
      <c r="J21" s="768"/>
      <c r="K21" s="780">
        <f>K9+L14+K17</f>
        <v>1213346.4417712865</v>
      </c>
      <c r="L21" s="768"/>
      <c r="M21" s="780">
        <f>M9+N14+M17</f>
        <v>1376004.400558367</v>
      </c>
      <c r="N21" s="768"/>
      <c r="O21" s="780">
        <f>O9+P14+O17</f>
        <v>1373513.0621568868</v>
      </c>
      <c r="P21" s="768"/>
    </row>
    <row r="22" spans="1:16" ht="13.5" thickBot="1">
      <c r="A22" s="763"/>
      <c r="B22" s="764"/>
      <c r="C22" s="769" t="s">
        <v>77</v>
      </c>
      <c r="D22" s="770"/>
      <c r="E22" s="770"/>
      <c r="F22" s="693"/>
      <c r="G22" s="773">
        <f>G9+H14+G18</f>
        <v>1001660.1657099007</v>
      </c>
      <c r="H22" s="772"/>
      <c r="I22" s="773" t="e">
        <f>I9+J14+I18</f>
        <v>#REF!</v>
      </c>
      <c r="J22" s="772"/>
      <c r="K22" s="773">
        <f>K9+L14+K18</f>
        <v>1246865.7635138608</v>
      </c>
      <c r="L22" s="772"/>
      <c r="M22" s="773">
        <f>M9+N14+M18</f>
        <v>1414115.5033256935</v>
      </c>
      <c r="N22" s="772"/>
      <c r="O22" s="773">
        <f>O9+P14+O18</f>
        <v>1415883.4132707482</v>
      </c>
      <c r="P22" s="772"/>
    </row>
    <row r="23" spans="1:16" ht="13.5" thickBot="1">
      <c r="A23" s="763"/>
      <c r="B23" s="764"/>
      <c r="C23" s="769" t="s">
        <v>78</v>
      </c>
      <c r="D23" s="770"/>
      <c r="E23" s="770"/>
      <c r="F23" s="693"/>
      <c r="G23" s="773">
        <f>G9+H14+G19</f>
        <v>1015982.1657099007</v>
      </c>
      <c r="H23" s="772"/>
      <c r="I23" s="773" t="e">
        <f>I9+J14+I19</f>
        <v>#REF!</v>
      </c>
      <c r="J23" s="772"/>
      <c r="K23" s="773">
        <f>K9+L14+K19</f>
        <v>1266181.5635138608</v>
      </c>
      <c r="L23" s="772"/>
      <c r="M23" s="773">
        <f>M9+N14+M19</f>
        <v>1436157.1033256934</v>
      </c>
      <c r="N23" s="772"/>
      <c r="O23" s="773">
        <f>O9+P14+O19</f>
        <v>1440453.4132707482</v>
      </c>
      <c r="P23" s="772"/>
    </row>
    <row r="24" spans="1:16" ht="13.5" thickBot="1">
      <c r="A24" s="777"/>
      <c r="B24" s="778"/>
      <c r="C24" s="774" t="s">
        <v>79</v>
      </c>
      <c r="D24" s="775"/>
      <c r="E24" s="775"/>
      <c r="F24" s="776"/>
      <c r="G24" s="773">
        <f>G9+H14+G20</f>
        <v>1095213.8532099007</v>
      </c>
      <c r="H24" s="772"/>
      <c r="I24" s="773" t="e">
        <f>I9+J14+I20</f>
        <v>#REF!</v>
      </c>
      <c r="J24" s="772"/>
      <c r="K24" s="773">
        <f>K9+L14+K20</f>
        <v>1370051.597177227</v>
      </c>
      <c r="L24" s="772"/>
      <c r="M24" s="773">
        <f>M9+N14+M20</f>
        <v>1553475.6539445054</v>
      </c>
      <c r="N24" s="772"/>
      <c r="O24" s="773">
        <f>O9+P14+O20</f>
        <v>1570246.5512657976</v>
      </c>
      <c r="P24" s="772"/>
    </row>
    <row r="25" spans="1:16" ht="14.25" thickBot="1" thickTop="1">
      <c r="A25" s="756" t="s">
        <v>81</v>
      </c>
      <c r="B25" s="781"/>
      <c r="C25" s="108"/>
      <c r="D25" s="109"/>
      <c r="E25" s="127"/>
      <c r="F25" s="109"/>
      <c r="G25" s="108"/>
      <c r="H25" s="109"/>
      <c r="I25" s="108"/>
      <c r="J25" s="109"/>
      <c r="K25" s="108"/>
      <c r="L25" s="109"/>
      <c r="M25" s="108"/>
      <c r="N25" s="109"/>
      <c r="O25" s="108"/>
      <c r="P25" s="109"/>
    </row>
    <row r="26" spans="1:16" ht="13.5" thickBot="1">
      <c r="A26" s="782"/>
      <c r="B26" s="783"/>
      <c r="C26" s="128"/>
      <c r="D26" s="129"/>
      <c r="E26" s="128"/>
      <c r="F26" s="130"/>
      <c r="G26" s="128"/>
      <c r="H26" s="131"/>
      <c r="I26" s="128"/>
      <c r="J26" s="131"/>
      <c r="K26" s="128"/>
      <c r="L26" s="131"/>
      <c r="M26" s="128"/>
      <c r="N26" s="131"/>
      <c r="O26" s="128"/>
      <c r="P26" s="131"/>
    </row>
    <row r="27" spans="1:16" ht="14.25" thickBot="1" thickTop="1">
      <c r="A27" s="782"/>
      <c r="B27" s="783"/>
      <c r="C27" s="788" t="s">
        <v>82</v>
      </c>
      <c r="D27" s="789"/>
      <c r="E27" s="790">
        <v>64000</v>
      </c>
      <c r="F27" s="791"/>
      <c r="G27" s="790">
        <v>70000</v>
      </c>
      <c r="H27" s="791"/>
      <c r="I27" s="790">
        <v>848000</v>
      </c>
      <c r="J27" s="791"/>
      <c r="K27" s="790">
        <v>848000</v>
      </c>
      <c r="L27" s="791"/>
      <c r="M27" s="790">
        <v>848000</v>
      </c>
      <c r="N27" s="791"/>
      <c r="O27" s="790">
        <v>848000</v>
      </c>
      <c r="P27" s="791"/>
    </row>
    <row r="28" spans="1:16" ht="13.5" thickTop="1">
      <c r="A28" s="784"/>
      <c r="B28" s="785"/>
      <c r="C28" s="792" t="s">
        <v>83</v>
      </c>
      <c r="D28" s="793"/>
      <c r="E28" s="132"/>
      <c r="F28" s="133">
        <v>64000</v>
      </c>
      <c r="G28" s="132"/>
      <c r="H28" s="133">
        <v>70000</v>
      </c>
      <c r="I28" s="132"/>
      <c r="J28" s="133"/>
      <c r="K28" s="132"/>
      <c r="L28" s="133"/>
      <c r="M28" s="132"/>
      <c r="N28" s="133"/>
      <c r="O28" s="132"/>
      <c r="P28" s="133"/>
    </row>
    <row r="29" spans="1:16" ht="12.75">
      <c r="A29" s="784"/>
      <c r="B29" s="785"/>
      <c r="C29" s="792" t="s">
        <v>84</v>
      </c>
      <c r="D29" s="793"/>
      <c r="E29" s="132"/>
      <c r="F29" s="133">
        <v>55090</v>
      </c>
      <c r="G29" s="132"/>
      <c r="H29" s="133">
        <v>0</v>
      </c>
      <c r="I29" s="132"/>
      <c r="J29" s="133">
        <v>0</v>
      </c>
      <c r="K29" s="132"/>
      <c r="L29" s="133">
        <v>0</v>
      </c>
      <c r="M29" s="132"/>
      <c r="N29" s="133">
        <v>0</v>
      </c>
      <c r="O29" s="132"/>
      <c r="P29" s="133">
        <v>0</v>
      </c>
    </row>
    <row r="30" spans="1:16" ht="13.5" thickBot="1">
      <c r="A30" s="786"/>
      <c r="B30" s="787"/>
      <c r="C30" s="794" t="s">
        <v>85</v>
      </c>
      <c r="D30" s="795"/>
      <c r="E30" s="134"/>
      <c r="F30" s="135">
        <v>62292</v>
      </c>
      <c r="G30" s="134"/>
      <c r="H30" s="135">
        <v>0</v>
      </c>
      <c r="I30" s="134"/>
      <c r="J30" s="135">
        <v>0</v>
      </c>
      <c r="K30" s="134"/>
      <c r="L30" s="135">
        <v>0</v>
      </c>
      <c r="M30" s="134"/>
      <c r="N30" s="135">
        <v>0</v>
      </c>
      <c r="O30" s="134"/>
      <c r="P30" s="135">
        <v>0</v>
      </c>
    </row>
    <row r="31" spans="1:6" ht="13.5" thickTop="1">
      <c r="A31" s="796" t="s">
        <v>86</v>
      </c>
      <c r="B31" s="797"/>
      <c r="C31" s="706"/>
      <c r="D31" s="746"/>
      <c r="E31" s="804" t="e">
        <f>G15+I15+K15+M15+O15</f>
        <v>#REF!</v>
      </c>
      <c r="F31" s="805"/>
    </row>
    <row r="32" spans="1:6" ht="12.75">
      <c r="A32" s="798"/>
      <c r="B32" s="799"/>
      <c r="C32" s="708"/>
      <c r="D32" s="800"/>
      <c r="E32" s="806"/>
      <c r="F32" s="807"/>
    </row>
    <row r="33" spans="1:6" ht="13.5" thickBot="1">
      <c r="A33" s="801"/>
      <c r="B33" s="802"/>
      <c r="C33" s="803"/>
      <c r="D33" s="748"/>
      <c r="E33" s="808"/>
      <c r="F33" s="809"/>
    </row>
    <row r="34" spans="1:6" ht="13.5" thickTop="1">
      <c r="A34" s="796" t="s">
        <v>87</v>
      </c>
      <c r="B34" s="797"/>
      <c r="C34" s="706"/>
      <c r="D34" s="746"/>
      <c r="E34" s="810">
        <f>G27+I27+K27+M27+O27</f>
        <v>3462000</v>
      </c>
      <c r="F34" s="805"/>
    </row>
    <row r="35" spans="1:6" ht="12.75">
      <c r="A35" s="798"/>
      <c r="B35" s="799"/>
      <c r="C35" s="708"/>
      <c r="D35" s="800"/>
      <c r="E35" s="806"/>
      <c r="F35" s="807"/>
    </row>
    <row r="36" spans="1:6" ht="13.5" thickBot="1">
      <c r="A36" s="801"/>
      <c r="B36" s="802"/>
      <c r="C36" s="803"/>
      <c r="D36" s="748"/>
      <c r="E36" s="808"/>
      <c r="F36" s="809"/>
    </row>
    <row r="37" spans="1:6" ht="13.5" thickTop="1">
      <c r="A37" s="796" t="s">
        <v>88</v>
      </c>
      <c r="B37" s="797"/>
      <c r="C37" s="706"/>
      <c r="D37" s="746"/>
      <c r="E37" s="804">
        <f>G20+I20+K20+M20+O20</f>
        <v>1978083.202660891</v>
      </c>
      <c r="F37" s="805"/>
    </row>
    <row r="38" spans="1:6" ht="12.75">
      <c r="A38" s="798"/>
      <c r="B38" s="799"/>
      <c r="C38" s="708"/>
      <c r="D38" s="800"/>
      <c r="E38" s="806"/>
      <c r="F38" s="807"/>
    </row>
    <row r="39" spans="1:6" ht="13.5" thickBot="1">
      <c r="A39" s="801"/>
      <c r="B39" s="802"/>
      <c r="C39" s="803"/>
      <c r="D39" s="748"/>
      <c r="E39" s="808"/>
      <c r="F39" s="809"/>
    </row>
    <row r="40" ht="13.5" thickTop="1"/>
  </sheetData>
  <mergeCells count="92">
    <mergeCell ref="K27:L27"/>
    <mergeCell ref="M27:N27"/>
    <mergeCell ref="O27:P27"/>
    <mergeCell ref="A37:D39"/>
    <mergeCell ref="E37:F39"/>
    <mergeCell ref="A31:D33"/>
    <mergeCell ref="E31:F33"/>
    <mergeCell ref="A34:D36"/>
    <mergeCell ref="E34:F36"/>
    <mergeCell ref="M24:N24"/>
    <mergeCell ref="O24:P24"/>
    <mergeCell ref="A25:B30"/>
    <mergeCell ref="C27:D27"/>
    <mergeCell ref="E27:F27"/>
    <mergeCell ref="G27:H27"/>
    <mergeCell ref="C28:D28"/>
    <mergeCell ref="C29:D29"/>
    <mergeCell ref="C30:D30"/>
    <mergeCell ref="I27:J27"/>
    <mergeCell ref="M22:N22"/>
    <mergeCell ref="O22:P22"/>
    <mergeCell ref="C23:F23"/>
    <mergeCell ref="G23:H23"/>
    <mergeCell ref="I23:J23"/>
    <mergeCell ref="K23:L23"/>
    <mergeCell ref="M23:N23"/>
    <mergeCell ref="O23:P23"/>
    <mergeCell ref="C22:F22"/>
    <mergeCell ref="G22:H22"/>
    <mergeCell ref="M20:N20"/>
    <mergeCell ref="O20:P20"/>
    <mergeCell ref="I21:J21"/>
    <mergeCell ref="K21:L21"/>
    <mergeCell ref="M21:N21"/>
    <mergeCell ref="O21:P21"/>
    <mergeCell ref="I20:J20"/>
    <mergeCell ref="K20:L20"/>
    <mergeCell ref="A21:B24"/>
    <mergeCell ref="C21:D21"/>
    <mergeCell ref="E21:F21"/>
    <mergeCell ref="G21:H21"/>
    <mergeCell ref="I22:J22"/>
    <mergeCell ref="K22:L22"/>
    <mergeCell ref="C24:F24"/>
    <mergeCell ref="G24:H24"/>
    <mergeCell ref="I24:J24"/>
    <mergeCell ref="K24:L24"/>
    <mergeCell ref="I19:J19"/>
    <mergeCell ref="K19:L19"/>
    <mergeCell ref="M19:N19"/>
    <mergeCell ref="O19:P19"/>
    <mergeCell ref="I18:J18"/>
    <mergeCell ref="K18:L18"/>
    <mergeCell ref="M15:N16"/>
    <mergeCell ref="O15:P16"/>
    <mergeCell ref="I17:J17"/>
    <mergeCell ref="K17:L17"/>
    <mergeCell ref="M17:N17"/>
    <mergeCell ref="O17:P17"/>
    <mergeCell ref="M18:N18"/>
    <mergeCell ref="O18:P18"/>
    <mergeCell ref="A17:B20"/>
    <mergeCell ref="C17:D17"/>
    <mergeCell ref="E17:F17"/>
    <mergeCell ref="G17:H17"/>
    <mergeCell ref="C19:F19"/>
    <mergeCell ref="G19:H19"/>
    <mergeCell ref="C18:F18"/>
    <mergeCell ref="G18:H18"/>
    <mergeCell ref="C20:F20"/>
    <mergeCell ref="G20:H20"/>
    <mergeCell ref="E15:F16"/>
    <mergeCell ref="G15:H16"/>
    <mergeCell ref="I15:J16"/>
    <mergeCell ref="K15:L16"/>
    <mergeCell ref="A11:B11"/>
    <mergeCell ref="A12:A13"/>
    <mergeCell ref="A14:B14"/>
    <mergeCell ref="A15:B16"/>
    <mergeCell ref="A6:B6"/>
    <mergeCell ref="A7:A8"/>
    <mergeCell ref="A9:B9"/>
    <mergeCell ref="A10:B10"/>
    <mergeCell ref="A1:P2"/>
    <mergeCell ref="A4:B5"/>
    <mergeCell ref="C4:D4"/>
    <mergeCell ref="E4:F4"/>
    <mergeCell ref="G4:H4"/>
    <mergeCell ref="I4:J4"/>
    <mergeCell ref="K4:L4"/>
    <mergeCell ref="M4:N4"/>
    <mergeCell ref="O4:P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T170"/>
  <sheetViews>
    <sheetView tabSelected="1" workbookViewId="0" topLeftCell="A29">
      <selection activeCell="A1" sqref="A1"/>
    </sheetView>
  </sheetViews>
  <sheetFormatPr defaultColWidth="9.00390625" defaultRowHeight="12.75"/>
  <cols>
    <col min="1" max="1" width="18.75390625" style="0" customWidth="1"/>
    <col min="2" max="2" width="16.75390625" style="0" customWidth="1"/>
    <col min="3" max="3" width="11.75390625" style="0" customWidth="1"/>
    <col min="4" max="4" width="12.75390625" style="0" customWidth="1"/>
    <col min="5" max="5" width="11.75390625" style="0" customWidth="1"/>
    <col min="6" max="6" width="12.75390625" style="0" customWidth="1"/>
    <col min="7" max="7" width="9.125" style="0" hidden="1" customWidth="1"/>
    <col min="8" max="8" width="12.75390625" style="0" customWidth="1"/>
    <col min="9" max="9" width="9.00390625" style="0" hidden="1" customWidth="1"/>
    <col min="10" max="10" width="12.75390625" style="0" customWidth="1"/>
    <col min="11" max="11" width="9.00390625" style="0" hidden="1" customWidth="1"/>
    <col min="12" max="12" width="12.75390625" style="0" customWidth="1"/>
    <col min="13" max="13" width="9.00390625" style="0" hidden="1" customWidth="1"/>
    <col min="14" max="14" width="12.75390625" style="0" hidden="1" customWidth="1"/>
    <col min="15" max="15" width="9.00390625" style="0" hidden="1" customWidth="1"/>
    <col min="16" max="16" width="12.75390625" style="0" hidden="1" customWidth="1"/>
    <col min="17" max="17" width="9.00390625" style="0" hidden="1" customWidth="1"/>
    <col min="18" max="18" width="0" style="0" hidden="1" customWidth="1"/>
  </cols>
  <sheetData>
    <row r="1" spans="2:12" ht="26.25" customHeight="1">
      <c r="B1" s="852" t="s">
        <v>113</v>
      </c>
      <c r="C1" s="852"/>
      <c r="D1" s="852"/>
      <c r="E1" s="852"/>
      <c r="F1" s="852"/>
      <c r="G1" s="852"/>
      <c r="H1" s="852"/>
      <c r="I1" s="852"/>
      <c r="J1" s="852"/>
      <c r="K1" s="852"/>
      <c r="L1" s="852"/>
    </row>
    <row r="2" spans="2:12" ht="17.25" customHeight="1">
      <c r="B2" s="852" t="s">
        <v>154</v>
      </c>
      <c r="C2" s="852"/>
      <c r="D2" s="852"/>
      <c r="E2" s="852"/>
      <c r="F2" s="852"/>
      <c r="G2" s="852"/>
      <c r="H2" s="852"/>
      <c r="I2" s="852"/>
      <c r="J2" s="852"/>
      <c r="K2" s="852"/>
      <c r="L2" s="852"/>
    </row>
    <row r="3" spans="1:20" ht="26.25" customHeight="1" hidden="1">
      <c r="A3" s="59"/>
      <c r="B3" s="852" t="s">
        <v>113</v>
      </c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58"/>
      <c r="N3" s="58"/>
      <c r="O3" s="58"/>
      <c r="P3" s="58"/>
      <c r="Q3" s="58"/>
      <c r="R3" s="58"/>
      <c r="S3" s="58"/>
      <c r="T3" s="58"/>
    </row>
    <row r="4" spans="1:20" ht="17.25" customHeight="1" hidden="1">
      <c r="A4" s="435"/>
      <c r="B4" s="852" t="s">
        <v>285</v>
      </c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435"/>
      <c r="N4" s="435"/>
      <c r="O4" s="58"/>
      <c r="P4" s="58"/>
      <c r="Q4" s="58"/>
      <c r="R4" s="58"/>
      <c r="S4" s="58"/>
      <c r="T4" s="58"/>
    </row>
    <row r="5" spans="2:13" ht="12" customHeight="1">
      <c r="B5" s="59"/>
      <c r="C5" s="58"/>
      <c r="D5" s="58"/>
      <c r="E5" s="58"/>
      <c r="F5" s="58"/>
      <c r="G5" s="58"/>
      <c r="H5" s="58"/>
      <c r="I5" s="58"/>
      <c r="J5" s="58"/>
      <c r="K5" s="250"/>
      <c r="L5" s="250"/>
      <c r="M5" s="250"/>
    </row>
    <row r="6" spans="10:17" ht="15.75" customHeight="1" thickBot="1">
      <c r="J6" s="182"/>
      <c r="L6" s="182" t="s">
        <v>89</v>
      </c>
      <c r="M6" s="182"/>
      <c r="O6" s="731"/>
      <c r="P6" s="731"/>
      <c r="Q6" s="731"/>
    </row>
    <row r="7" spans="6:19" ht="15.75" customHeight="1" thickBot="1" thickTop="1">
      <c r="F7" s="734">
        <v>2005</v>
      </c>
      <c r="G7" s="712"/>
      <c r="H7" s="734">
        <v>2006</v>
      </c>
      <c r="I7" s="735"/>
      <c r="J7" s="734">
        <v>2007</v>
      </c>
      <c r="K7" s="735"/>
      <c r="L7" s="734">
        <v>2008</v>
      </c>
      <c r="M7" s="735"/>
      <c r="N7" s="734">
        <v>2009</v>
      </c>
      <c r="O7" s="735"/>
      <c r="P7" s="734">
        <v>2010</v>
      </c>
      <c r="Q7" s="735"/>
      <c r="R7" s="75"/>
      <c r="S7" s="75"/>
    </row>
    <row r="8" spans="6:19" ht="15.75" customHeight="1" thickBot="1" thickTop="1">
      <c r="F8" s="63" t="s">
        <v>39</v>
      </c>
      <c r="G8" s="62" t="s">
        <v>40</v>
      </c>
      <c r="H8" s="63" t="s">
        <v>39</v>
      </c>
      <c r="I8" s="61" t="s">
        <v>40</v>
      </c>
      <c r="J8" s="63" t="s">
        <v>39</v>
      </c>
      <c r="K8" s="61" t="s">
        <v>40</v>
      </c>
      <c r="L8" s="60" t="s">
        <v>39</v>
      </c>
      <c r="M8" s="64" t="s">
        <v>40</v>
      </c>
      <c r="N8" s="63" t="s">
        <v>39</v>
      </c>
      <c r="O8" s="61" t="s">
        <v>40</v>
      </c>
      <c r="P8" s="60" t="s">
        <v>39</v>
      </c>
      <c r="Q8" s="64" t="s">
        <v>40</v>
      </c>
      <c r="R8" s="75"/>
      <c r="S8" s="75"/>
    </row>
    <row r="9" spans="2:19" ht="12" customHeight="1" thickTop="1">
      <c r="B9" s="705" t="s">
        <v>41</v>
      </c>
      <c r="C9" s="706"/>
      <c r="D9" s="706"/>
      <c r="E9" s="711" t="s">
        <v>42</v>
      </c>
      <c r="F9" s="700">
        <v>6200</v>
      </c>
      <c r="G9" s="701"/>
      <c r="H9" s="700">
        <v>6300</v>
      </c>
      <c r="I9" s="701"/>
      <c r="J9" s="700">
        <v>6400</v>
      </c>
      <c r="K9" s="701"/>
      <c r="L9" s="700">
        <v>6500</v>
      </c>
      <c r="M9" s="701"/>
      <c r="N9" s="700">
        <v>6600</v>
      </c>
      <c r="O9" s="701"/>
      <c r="P9" s="700">
        <v>6700</v>
      </c>
      <c r="Q9" s="701"/>
      <c r="R9" s="75"/>
      <c r="S9" s="75"/>
    </row>
    <row r="10" spans="2:19" ht="12" customHeight="1">
      <c r="B10" s="707"/>
      <c r="C10" s="708"/>
      <c r="D10" s="708"/>
      <c r="E10" s="698"/>
      <c r="F10" s="702"/>
      <c r="G10" s="703"/>
      <c r="H10" s="702"/>
      <c r="I10" s="703"/>
      <c r="J10" s="702"/>
      <c r="K10" s="703"/>
      <c r="L10" s="702"/>
      <c r="M10" s="703"/>
      <c r="N10" s="702"/>
      <c r="O10" s="703"/>
      <c r="P10" s="702"/>
      <c r="Q10" s="703"/>
      <c r="R10" s="75"/>
      <c r="S10" s="75"/>
    </row>
    <row r="11" spans="2:19" ht="12" customHeight="1" thickBot="1">
      <c r="B11" s="709"/>
      <c r="C11" s="710"/>
      <c r="D11" s="710"/>
      <c r="E11" s="699"/>
      <c r="F11" s="695"/>
      <c r="G11" s="696"/>
      <c r="H11" s="695"/>
      <c r="I11" s="696"/>
      <c r="J11" s="695"/>
      <c r="K11" s="696"/>
      <c r="L11" s="695"/>
      <c r="M11" s="696"/>
      <c r="N11" s="695"/>
      <c r="O11" s="696"/>
      <c r="P11" s="695"/>
      <c r="Q11" s="696"/>
      <c r="R11" s="75"/>
      <c r="S11" s="75"/>
    </row>
    <row r="12" spans="2:19" ht="15.75" customHeight="1" hidden="1">
      <c r="B12" s="707" t="s">
        <v>223</v>
      </c>
      <c r="C12" s="708"/>
      <c r="D12" s="708"/>
      <c r="E12" s="698" t="s">
        <v>44</v>
      </c>
      <c r="F12" s="697">
        <v>85</v>
      </c>
      <c r="G12" s="693"/>
      <c r="H12" s="697">
        <v>85</v>
      </c>
      <c r="I12" s="693"/>
      <c r="J12" s="697">
        <v>85</v>
      </c>
      <c r="K12" s="693"/>
      <c r="L12" s="697">
        <v>85</v>
      </c>
      <c r="M12" s="693"/>
      <c r="N12" s="697">
        <v>85</v>
      </c>
      <c r="O12" s="693"/>
      <c r="P12" s="697">
        <v>85</v>
      </c>
      <c r="Q12" s="693"/>
      <c r="R12" s="75"/>
      <c r="S12" s="75"/>
    </row>
    <row r="13" spans="2:19" ht="15.75" customHeight="1" hidden="1" thickBot="1">
      <c r="B13" s="709"/>
      <c r="C13" s="710"/>
      <c r="D13" s="710"/>
      <c r="E13" s="699"/>
      <c r="F13" s="695"/>
      <c r="G13" s="696"/>
      <c r="H13" s="695"/>
      <c r="I13" s="696"/>
      <c r="J13" s="695"/>
      <c r="K13" s="696"/>
      <c r="L13" s="695"/>
      <c r="M13" s="696"/>
      <c r="N13" s="695"/>
      <c r="O13" s="696"/>
      <c r="P13" s="695"/>
      <c r="Q13" s="696"/>
      <c r="R13" s="75"/>
      <c r="S13" s="75"/>
    </row>
    <row r="14" spans="2:19" ht="15.75" customHeight="1" thickBot="1">
      <c r="B14" s="709" t="s">
        <v>45</v>
      </c>
      <c r="C14" s="710"/>
      <c r="D14" s="710"/>
      <c r="E14" s="68" t="s">
        <v>46</v>
      </c>
      <c r="F14" s="694">
        <v>64</v>
      </c>
      <c r="G14" s="692"/>
      <c r="H14" s="694">
        <v>73</v>
      </c>
      <c r="I14" s="692"/>
      <c r="J14" s="694">
        <v>82</v>
      </c>
      <c r="K14" s="692"/>
      <c r="L14" s="694">
        <v>90</v>
      </c>
      <c r="M14" s="692"/>
      <c r="N14" s="694">
        <v>90</v>
      </c>
      <c r="O14" s="692"/>
      <c r="P14" s="694">
        <v>90</v>
      </c>
      <c r="Q14" s="692"/>
      <c r="R14" s="75"/>
      <c r="S14" s="75"/>
    </row>
    <row r="15" spans="1:19" ht="15.75" customHeight="1" hidden="1">
      <c r="A15" s="436"/>
      <c r="B15" s="707" t="s">
        <v>47</v>
      </c>
      <c r="C15" s="708"/>
      <c r="D15" s="708"/>
      <c r="E15" s="65"/>
      <c r="F15" s="69"/>
      <c r="G15" s="72"/>
      <c r="H15" s="69"/>
      <c r="I15" s="71"/>
      <c r="J15" s="69"/>
      <c r="K15" s="71"/>
      <c r="L15" s="73"/>
      <c r="M15" s="71"/>
      <c r="N15" s="69"/>
      <c r="O15" s="71"/>
      <c r="P15" s="73"/>
      <c r="Q15" s="71"/>
      <c r="R15" s="75"/>
      <c r="S15" s="75"/>
    </row>
    <row r="16" spans="1:19" ht="15.75" customHeight="1" hidden="1">
      <c r="A16" s="436"/>
      <c r="B16" s="707"/>
      <c r="C16" s="708"/>
      <c r="D16" s="708"/>
      <c r="E16" s="74" t="s">
        <v>48</v>
      </c>
      <c r="F16" s="687">
        <v>30</v>
      </c>
      <c r="G16" s="688"/>
      <c r="H16" s="687">
        <v>30</v>
      </c>
      <c r="I16" s="688"/>
      <c r="J16" s="687">
        <v>30</v>
      </c>
      <c r="K16" s="688"/>
      <c r="L16" s="687">
        <v>30</v>
      </c>
      <c r="M16" s="688"/>
      <c r="N16" s="687">
        <v>30</v>
      </c>
      <c r="O16" s="688"/>
      <c r="P16" s="687">
        <v>30</v>
      </c>
      <c r="Q16" s="688"/>
      <c r="R16" s="75"/>
      <c r="S16" s="75"/>
    </row>
    <row r="17" spans="1:19" ht="15.75" customHeight="1" hidden="1" thickBot="1">
      <c r="A17" s="436"/>
      <c r="B17" s="709"/>
      <c r="C17" s="710"/>
      <c r="D17" s="710"/>
      <c r="E17" s="68" t="s">
        <v>49</v>
      </c>
      <c r="F17" s="689">
        <v>70</v>
      </c>
      <c r="G17" s="690"/>
      <c r="H17" s="689">
        <v>70</v>
      </c>
      <c r="I17" s="690"/>
      <c r="J17" s="689">
        <v>70</v>
      </c>
      <c r="K17" s="690"/>
      <c r="L17" s="689">
        <v>70</v>
      </c>
      <c r="M17" s="690"/>
      <c r="N17" s="689">
        <v>70</v>
      </c>
      <c r="O17" s="690"/>
      <c r="P17" s="689">
        <v>70</v>
      </c>
      <c r="Q17" s="690"/>
      <c r="R17" s="75"/>
      <c r="S17" s="75"/>
    </row>
    <row r="18" spans="1:19" ht="15.75" customHeight="1" hidden="1" thickBot="1">
      <c r="A18" s="436"/>
      <c r="B18" s="75"/>
      <c r="C18" s="76"/>
      <c r="D18" s="76"/>
      <c r="E18" s="65"/>
      <c r="F18" s="77"/>
      <c r="G18" s="65"/>
      <c r="H18" s="77"/>
      <c r="I18" s="78"/>
      <c r="J18" s="77"/>
      <c r="K18" s="78"/>
      <c r="L18" s="66"/>
      <c r="M18" s="78"/>
      <c r="N18" s="77"/>
      <c r="O18" s="78"/>
      <c r="P18" s="66"/>
      <c r="Q18" s="78"/>
      <c r="R18" s="75"/>
      <c r="S18" s="75"/>
    </row>
    <row r="19" spans="1:19" ht="15.75" customHeight="1" hidden="1">
      <c r="A19" s="436"/>
      <c r="B19" s="691" t="s">
        <v>50</v>
      </c>
      <c r="C19" s="683"/>
      <c r="D19" s="684"/>
      <c r="E19" s="79" t="s">
        <v>42</v>
      </c>
      <c r="F19" s="685">
        <f>F9*F14</f>
        <v>396800</v>
      </c>
      <c r="G19" s="686"/>
      <c r="H19" s="685">
        <f>H9*H14</f>
        <v>459900</v>
      </c>
      <c r="I19" s="686"/>
      <c r="J19" s="685">
        <f>J9*J14</f>
        <v>524800</v>
      </c>
      <c r="K19" s="686"/>
      <c r="L19" s="685">
        <f>L9*L14</f>
        <v>585000</v>
      </c>
      <c r="M19" s="686"/>
      <c r="N19" s="685">
        <f>N9*N14</f>
        <v>594000</v>
      </c>
      <c r="O19" s="686"/>
      <c r="P19" s="685">
        <f>P9*P14</f>
        <v>603000</v>
      </c>
      <c r="Q19" s="686"/>
      <c r="R19" s="75"/>
      <c r="S19" s="75"/>
    </row>
    <row r="20" spans="1:19" ht="15.75" customHeight="1" hidden="1">
      <c r="A20" s="436"/>
      <c r="B20" s="75"/>
      <c r="C20" s="664" t="s">
        <v>51</v>
      </c>
      <c r="D20" s="665"/>
      <c r="E20" s="74" t="s">
        <v>42</v>
      </c>
      <c r="F20" s="666">
        <f>(F19*F16)/100</f>
        <v>119040</v>
      </c>
      <c r="G20" s="688"/>
      <c r="H20" s="666">
        <f>(H19*H16)/100</f>
        <v>137970</v>
      </c>
      <c r="I20" s="688"/>
      <c r="J20" s="666">
        <f>(J19*J16)/100</f>
        <v>157440</v>
      </c>
      <c r="K20" s="688"/>
      <c r="L20" s="666">
        <f>(L19*L16)/100</f>
        <v>175500</v>
      </c>
      <c r="M20" s="688"/>
      <c r="N20" s="666">
        <f>(N19*N16)/100</f>
        <v>178200</v>
      </c>
      <c r="O20" s="688"/>
      <c r="P20" s="666">
        <f>(P19*P16)/100</f>
        <v>180900</v>
      </c>
      <c r="Q20" s="688"/>
      <c r="R20" s="75"/>
      <c r="S20" s="75"/>
    </row>
    <row r="21" spans="1:19" ht="15.75" customHeight="1" hidden="1" thickBot="1">
      <c r="A21" s="436"/>
      <c r="B21" s="80"/>
      <c r="C21" s="667" t="s">
        <v>123</v>
      </c>
      <c r="D21" s="668"/>
      <c r="E21" s="68" t="s">
        <v>42</v>
      </c>
      <c r="F21" s="669">
        <f>F19-F20</f>
        <v>277760</v>
      </c>
      <c r="G21" s="690"/>
      <c r="H21" s="669">
        <f>(H19*H17)/100</f>
        <v>321930</v>
      </c>
      <c r="I21" s="690"/>
      <c r="J21" s="669">
        <f>(J19*J17)/100</f>
        <v>367360</v>
      </c>
      <c r="K21" s="690"/>
      <c r="L21" s="669">
        <f>(L19*L17)/100</f>
        <v>409500</v>
      </c>
      <c r="M21" s="690"/>
      <c r="N21" s="669">
        <f>(N19*N17)/100</f>
        <v>415800</v>
      </c>
      <c r="O21" s="690"/>
      <c r="P21" s="669">
        <f>(P19*P17)/100</f>
        <v>422100</v>
      </c>
      <c r="Q21" s="690"/>
      <c r="R21" s="75"/>
      <c r="S21" s="75"/>
    </row>
    <row r="22" spans="1:19" ht="15.75" customHeight="1" hidden="1" thickBot="1">
      <c r="A22" s="436"/>
      <c r="B22" s="670" t="s">
        <v>53</v>
      </c>
      <c r="C22" s="671"/>
      <c r="D22" s="672"/>
      <c r="E22" s="81" t="s">
        <v>42</v>
      </c>
      <c r="F22" s="694">
        <f>SUM(F20:F21)</f>
        <v>396800</v>
      </c>
      <c r="G22" s="692"/>
      <c r="H22" s="694">
        <f>SUM(H20:H21)</f>
        <v>459900</v>
      </c>
      <c r="I22" s="692"/>
      <c r="J22" s="694">
        <f>SUM(J20:J21)</f>
        <v>524800</v>
      </c>
      <c r="K22" s="692"/>
      <c r="L22" s="694">
        <f>SUM(L20:L21)</f>
        <v>585000</v>
      </c>
      <c r="M22" s="692"/>
      <c r="N22" s="694">
        <f>SUM(N20:N21)</f>
        <v>594000</v>
      </c>
      <c r="O22" s="692"/>
      <c r="P22" s="694">
        <f>SUM(P20:P21)</f>
        <v>603000</v>
      </c>
      <c r="Q22" s="692"/>
      <c r="R22" s="75"/>
      <c r="S22" s="75"/>
    </row>
    <row r="23" spans="1:19" ht="15.75" customHeight="1" hidden="1" thickBot="1">
      <c r="A23" s="436"/>
      <c r="B23" s="75"/>
      <c r="C23" s="76"/>
      <c r="D23" s="76"/>
      <c r="E23" s="65"/>
      <c r="F23" s="77"/>
      <c r="G23" s="65"/>
      <c r="H23" s="77"/>
      <c r="I23" s="78"/>
      <c r="J23" s="77"/>
      <c r="K23" s="78"/>
      <c r="L23" s="66"/>
      <c r="M23" s="78"/>
      <c r="N23" s="77"/>
      <c r="O23" s="78"/>
      <c r="P23" s="66"/>
      <c r="Q23" s="78"/>
      <c r="R23" s="75"/>
      <c r="S23" s="75"/>
    </row>
    <row r="24" spans="1:19" ht="15.75" customHeight="1" hidden="1">
      <c r="A24" s="436"/>
      <c r="B24" s="691" t="s">
        <v>54</v>
      </c>
      <c r="C24" s="683"/>
      <c r="D24" s="684"/>
      <c r="E24" s="79" t="s">
        <v>42</v>
      </c>
      <c r="F24" s="685">
        <f>SUM(F25:F26)</f>
        <v>24727</v>
      </c>
      <c r="G24" s="686"/>
      <c r="H24" s="685">
        <f>SUM(H25:H26)</f>
        <v>24727</v>
      </c>
      <c r="I24" s="686"/>
      <c r="J24" s="685">
        <f>SUM(J25:J26)</f>
        <v>24727</v>
      </c>
      <c r="K24" s="686"/>
      <c r="L24" s="685">
        <f>SUM(L25:L26)</f>
        <v>24727</v>
      </c>
      <c r="M24" s="686"/>
      <c r="N24" s="685">
        <f>SUM(N25:N26)</f>
        <v>24727</v>
      </c>
      <c r="O24" s="686"/>
      <c r="P24" s="685">
        <f>SUM(P25:P26)</f>
        <v>24727</v>
      </c>
      <c r="Q24" s="686"/>
      <c r="R24" s="75"/>
      <c r="S24" s="75"/>
    </row>
    <row r="25" spans="1:19" ht="15.75" customHeight="1" hidden="1">
      <c r="A25" s="436"/>
      <c r="B25" s="75"/>
      <c r="C25" s="664" t="s">
        <v>55</v>
      </c>
      <c r="D25" s="665"/>
      <c r="E25" s="74" t="s">
        <v>42</v>
      </c>
      <c r="F25" s="666">
        <v>24555</v>
      </c>
      <c r="G25" s="688"/>
      <c r="H25" s="666">
        <f>F25</f>
        <v>24555</v>
      </c>
      <c r="I25" s="688"/>
      <c r="J25" s="666">
        <f>H25</f>
        <v>24555</v>
      </c>
      <c r="K25" s="688"/>
      <c r="L25" s="666">
        <f>J25</f>
        <v>24555</v>
      </c>
      <c r="M25" s="688"/>
      <c r="N25" s="666">
        <f>L25</f>
        <v>24555</v>
      </c>
      <c r="O25" s="688"/>
      <c r="P25" s="666">
        <f>N25</f>
        <v>24555</v>
      </c>
      <c r="Q25" s="688"/>
      <c r="R25" s="75"/>
      <c r="S25" s="75"/>
    </row>
    <row r="26" spans="1:19" ht="15.75" customHeight="1" hidden="1" thickBot="1">
      <c r="A26" s="436"/>
      <c r="B26" s="80"/>
      <c r="C26" s="667" t="s">
        <v>56</v>
      </c>
      <c r="D26" s="668"/>
      <c r="E26" s="68" t="s">
        <v>42</v>
      </c>
      <c r="F26" s="669">
        <v>172</v>
      </c>
      <c r="G26" s="690"/>
      <c r="H26" s="669">
        <f>F26</f>
        <v>172</v>
      </c>
      <c r="I26" s="690"/>
      <c r="J26" s="669">
        <f>H26</f>
        <v>172</v>
      </c>
      <c r="K26" s="690"/>
      <c r="L26" s="669">
        <f>J26</f>
        <v>172</v>
      </c>
      <c r="M26" s="690"/>
      <c r="N26" s="669">
        <f>L26</f>
        <v>172</v>
      </c>
      <c r="O26" s="690"/>
      <c r="P26" s="669">
        <f>N26</f>
        <v>172</v>
      </c>
      <c r="Q26" s="690"/>
      <c r="R26" s="75"/>
      <c r="S26" s="75"/>
    </row>
    <row r="27" spans="1:19" ht="15.75" customHeight="1" hidden="1" thickBot="1">
      <c r="A27" s="436"/>
      <c r="B27" s="82"/>
      <c r="C27" s="83"/>
      <c r="D27" s="83"/>
      <c r="E27" s="84"/>
      <c r="F27" s="85"/>
      <c r="G27" s="88"/>
      <c r="H27" s="85"/>
      <c r="I27" s="87"/>
      <c r="J27" s="85"/>
      <c r="K27" s="87"/>
      <c r="L27" s="82"/>
      <c r="M27" s="87"/>
      <c r="N27" s="85"/>
      <c r="O27" s="87"/>
      <c r="P27" s="82"/>
      <c r="Q27" s="87"/>
      <c r="R27" s="75"/>
      <c r="S27" s="75"/>
    </row>
    <row r="28" spans="1:19" ht="15.75" customHeight="1" hidden="1" thickTop="1">
      <c r="A28" s="436"/>
      <c r="B28" s="885" t="s">
        <v>57</v>
      </c>
      <c r="C28" s="886"/>
      <c r="D28" s="887"/>
      <c r="E28" s="89" t="s">
        <v>42</v>
      </c>
      <c r="F28" s="882">
        <f>F19+F24</f>
        <v>421527</v>
      </c>
      <c r="G28" s="883"/>
      <c r="H28" s="882">
        <f>H19+H24</f>
        <v>484627</v>
      </c>
      <c r="I28" s="883"/>
      <c r="J28" s="882">
        <f>J19+J24</f>
        <v>549527</v>
      </c>
      <c r="K28" s="883"/>
      <c r="L28" s="882">
        <f>L19+L24</f>
        <v>609727</v>
      </c>
      <c r="M28" s="883"/>
      <c r="N28" s="882">
        <f>N19+N24</f>
        <v>618727</v>
      </c>
      <c r="O28" s="883"/>
      <c r="P28" s="882">
        <f>P19+P24</f>
        <v>627727</v>
      </c>
      <c r="Q28" s="883"/>
      <c r="R28" s="75"/>
      <c r="S28" s="75"/>
    </row>
    <row r="29" spans="1:19" ht="15.75" customHeight="1" thickBot="1">
      <c r="A29" s="436"/>
      <c r="B29" s="888" t="s">
        <v>171</v>
      </c>
      <c r="C29" s="884" t="s">
        <v>92</v>
      </c>
      <c r="D29" s="884"/>
      <c r="E29" s="437" t="s">
        <v>168</v>
      </c>
      <c r="F29" s="401">
        <f>F20/(F12/100)</f>
        <v>140047.05882352943</v>
      </c>
      <c r="G29" s="402">
        <f>F29/0.865</f>
        <v>161904.11424685482</v>
      </c>
      <c r="H29" s="401">
        <f>H20/(H12/100)</f>
        <v>162317.64705882352</v>
      </c>
      <c r="I29" s="403">
        <f>H29/0.865</f>
        <v>187650.45902754166</v>
      </c>
      <c r="J29" s="401">
        <f>J20/(J12/100)</f>
        <v>185223.5294117647</v>
      </c>
      <c r="K29" s="402">
        <f>J29/0.865</f>
        <v>214131.2478748725</v>
      </c>
      <c r="L29" s="401">
        <f>L20/(L12/100)</f>
        <v>206470.58823529413</v>
      </c>
      <c r="M29" s="402">
        <f>L29/0.865</f>
        <v>238694.32165929957</v>
      </c>
      <c r="N29" s="404">
        <f>N20/(N12/100)</f>
        <v>209647.05882352943</v>
      </c>
      <c r="O29" s="405">
        <f>N29/0.865</f>
        <v>242366.54199251957</v>
      </c>
      <c r="P29" s="404">
        <f>P20/(P12/100)</f>
        <v>212823.5294117647</v>
      </c>
      <c r="Q29" s="405">
        <f>P29/0.865</f>
        <v>246038.76232573955</v>
      </c>
      <c r="R29" s="75"/>
      <c r="S29" s="75"/>
    </row>
    <row r="30" spans="1:19" ht="15.75" customHeight="1" thickBot="1">
      <c r="A30" s="436"/>
      <c r="B30" s="889"/>
      <c r="C30" s="972" t="s">
        <v>123</v>
      </c>
      <c r="D30" s="972"/>
      <c r="E30" s="438" t="s">
        <v>168</v>
      </c>
      <c r="F30" s="407">
        <f>F21+F25</f>
        <v>302315</v>
      </c>
      <c r="G30" s="408">
        <f>F30/0.807</f>
        <v>374615.8612143742</v>
      </c>
      <c r="H30" s="407">
        <f>H21+H25</f>
        <v>346485</v>
      </c>
      <c r="I30" s="408">
        <f>H30/0.807</f>
        <v>429349.44237918215</v>
      </c>
      <c r="J30" s="407">
        <f>J21+J25</f>
        <v>391915</v>
      </c>
      <c r="K30" s="389">
        <f>J30/0.807</f>
        <v>485644.3618339529</v>
      </c>
      <c r="L30" s="407">
        <f>L21+L25</f>
        <v>434055</v>
      </c>
      <c r="M30" s="389">
        <f>L30/0.807</f>
        <v>537862.4535315984</v>
      </c>
      <c r="N30" s="409">
        <f>N21+N25</f>
        <v>440355</v>
      </c>
      <c r="O30" s="232">
        <f>N30/0.807</f>
        <v>545669.1449814126</v>
      </c>
      <c r="P30" s="409">
        <f>P21+P25</f>
        <v>446655</v>
      </c>
      <c r="Q30" s="232">
        <f>P30/0.807</f>
        <v>553475.8364312267</v>
      </c>
      <c r="R30" s="75"/>
      <c r="S30" s="75"/>
    </row>
    <row r="31" spans="1:19" ht="15.75" customHeight="1" hidden="1">
      <c r="A31" s="436"/>
      <c r="B31" s="889"/>
      <c r="C31" s="891" t="s">
        <v>194</v>
      </c>
      <c r="D31" s="891"/>
      <c r="E31" s="439" t="s">
        <v>168</v>
      </c>
      <c r="F31" s="290">
        <v>172315</v>
      </c>
      <c r="G31" s="291">
        <f>F31/0.807</f>
        <v>213525.40272614622</v>
      </c>
      <c r="H31" s="290">
        <v>216485</v>
      </c>
      <c r="I31" s="291">
        <f>H31/0.807</f>
        <v>268258.9838909541</v>
      </c>
      <c r="J31" s="290">
        <v>171915</v>
      </c>
      <c r="K31" s="406">
        <f>J31/0.807</f>
        <v>213029.73977695167</v>
      </c>
      <c r="L31" s="290">
        <v>172055</v>
      </c>
      <c r="M31" s="406">
        <f>L31/0.807</f>
        <v>213203.22180916974</v>
      </c>
      <c r="N31" s="119">
        <v>170355</v>
      </c>
      <c r="O31" s="120">
        <f>N31/0.807</f>
        <v>211096.65427509294</v>
      </c>
      <c r="P31" s="119">
        <v>166615</v>
      </c>
      <c r="Q31" s="120">
        <f>P31/0.807</f>
        <v>206462.20570012392</v>
      </c>
      <c r="R31" s="75"/>
      <c r="S31" s="75"/>
    </row>
    <row r="32" spans="1:19" ht="15.75" customHeight="1" hidden="1">
      <c r="A32" s="436"/>
      <c r="B32" s="889"/>
      <c r="C32" s="970" t="s">
        <v>195</v>
      </c>
      <c r="D32" s="970"/>
      <c r="E32" s="440" t="s">
        <v>168</v>
      </c>
      <c r="F32" s="262">
        <v>0</v>
      </c>
      <c r="G32" s="267">
        <f>F32/0.807</f>
        <v>0</v>
      </c>
      <c r="H32" s="262">
        <v>0</v>
      </c>
      <c r="I32" s="267">
        <f>H32/0.807</f>
        <v>0</v>
      </c>
      <c r="J32" s="262">
        <v>90000</v>
      </c>
      <c r="K32" s="263">
        <f>J32/0.807</f>
        <v>111524.16356877323</v>
      </c>
      <c r="L32" s="262">
        <v>132000</v>
      </c>
      <c r="M32" s="263">
        <f>L32/0.807</f>
        <v>163568.77323420072</v>
      </c>
      <c r="N32" s="90">
        <v>140000</v>
      </c>
      <c r="O32" s="91">
        <f>N32/0.807</f>
        <v>173482.03221809168</v>
      </c>
      <c r="P32" s="90">
        <v>150000</v>
      </c>
      <c r="Q32" s="91">
        <f>P32/0.807</f>
        <v>185873.60594795537</v>
      </c>
      <c r="R32" s="75"/>
      <c r="S32" s="75"/>
    </row>
    <row r="33" spans="1:19" ht="15.75" customHeight="1" hidden="1" thickBot="1">
      <c r="A33" s="436"/>
      <c r="B33" s="890"/>
      <c r="C33" s="971" t="s">
        <v>193</v>
      </c>
      <c r="D33" s="971"/>
      <c r="E33" s="441" t="s">
        <v>168</v>
      </c>
      <c r="F33" s="397">
        <v>130000</v>
      </c>
      <c r="G33" s="398">
        <f>F33/0.807</f>
        <v>161090.458488228</v>
      </c>
      <c r="H33" s="397">
        <v>130000</v>
      </c>
      <c r="I33" s="398">
        <f>H33/0.807</f>
        <v>161090.458488228</v>
      </c>
      <c r="J33" s="397">
        <v>130000</v>
      </c>
      <c r="K33" s="390">
        <f>J33/0.807</f>
        <v>161090.458488228</v>
      </c>
      <c r="L33" s="397">
        <v>130000</v>
      </c>
      <c r="M33" s="390">
        <f>L33/0.807</f>
        <v>161090.458488228</v>
      </c>
      <c r="N33" s="399">
        <v>130000</v>
      </c>
      <c r="O33" s="400">
        <f>N33/0.807</f>
        <v>161090.458488228</v>
      </c>
      <c r="P33" s="399">
        <v>130000</v>
      </c>
      <c r="Q33" s="400">
        <f>P33/0.807</f>
        <v>161090.458488228</v>
      </c>
      <c r="R33" s="75"/>
      <c r="S33" s="75"/>
    </row>
    <row r="34" spans="1:19" ht="15.75" customHeight="1" thickBot="1">
      <c r="A34" s="436"/>
      <c r="B34" s="892" t="s">
        <v>221</v>
      </c>
      <c r="C34" s="893"/>
      <c r="D34" s="894"/>
      <c r="E34" s="442" t="s">
        <v>168</v>
      </c>
      <c r="F34" s="264">
        <f aca="true" t="shared" si="0" ref="F34:M34">SUM(F29:F30)</f>
        <v>442362.0588235294</v>
      </c>
      <c r="G34" s="265">
        <f t="shared" si="0"/>
        <v>536519.975461229</v>
      </c>
      <c r="H34" s="264">
        <f t="shared" si="0"/>
        <v>508802.6470588235</v>
      </c>
      <c r="I34" s="265">
        <f>SUM(I29:I30)</f>
        <v>616999.9014067238</v>
      </c>
      <c r="J34" s="264">
        <f t="shared" si="0"/>
        <v>577138.5294117647</v>
      </c>
      <c r="K34" s="265">
        <f>SUM(K29:K30)</f>
        <v>699775.6097088254</v>
      </c>
      <c r="L34" s="252">
        <f t="shared" si="0"/>
        <v>640525.5882352941</v>
      </c>
      <c r="M34" s="265">
        <f t="shared" si="0"/>
        <v>776556.775190898</v>
      </c>
      <c r="N34" s="95">
        <f>SUM(N29:N30)</f>
        <v>650002.0588235294</v>
      </c>
      <c r="O34" s="96">
        <f>SUM(O29:O30)</f>
        <v>788035.6869739322</v>
      </c>
      <c r="P34" s="97">
        <f>SUM(P29:P30)</f>
        <v>659478.5294117647</v>
      </c>
      <c r="Q34" s="96">
        <f>SUM(Q29:Q30)</f>
        <v>799514.5987569662</v>
      </c>
      <c r="R34" s="75"/>
      <c r="S34" s="75"/>
    </row>
    <row r="35" spans="1:19" ht="15.75" customHeight="1" thickBot="1" thickTop="1">
      <c r="A35" s="436"/>
      <c r="B35" s="895" t="s">
        <v>222</v>
      </c>
      <c r="C35" s="896"/>
      <c r="D35" s="897"/>
      <c r="E35" s="443" t="s">
        <v>168</v>
      </c>
      <c r="F35" s="293">
        <f aca="true" t="shared" si="1" ref="F35:M35">SUM(F36:F37)</f>
        <v>518125</v>
      </c>
      <c r="G35" s="294">
        <f t="shared" si="1"/>
        <v>624132.9479768786</v>
      </c>
      <c r="H35" s="293">
        <f t="shared" si="1"/>
        <v>518125</v>
      </c>
      <c r="I35" s="294">
        <f t="shared" si="1"/>
        <v>624132.9479768786</v>
      </c>
      <c r="J35" s="293">
        <f t="shared" si="1"/>
        <v>518125</v>
      </c>
      <c r="K35" s="294">
        <f t="shared" si="1"/>
        <v>624132.9479768786</v>
      </c>
      <c r="L35" s="293">
        <f>SUM(L36:L37)</f>
        <v>518125</v>
      </c>
      <c r="M35" s="266">
        <f t="shared" si="1"/>
        <v>624132.9479768786</v>
      </c>
      <c r="N35" s="99">
        <f>SUM(N36:N37)</f>
        <v>518125</v>
      </c>
      <c r="O35" s="100">
        <f>SUM(O36:O37)</f>
        <v>624132.9479768786</v>
      </c>
      <c r="P35" s="101">
        <f>SUM(P36:P37)</f>
        <v>518125</v>
      </c>
      <c r="Q35" s="100">
        <f>SUM(Q36:Q37)</f>
        <v>624132.9479768786</v>
      </c>
      <c r="R35" s="75"/>
      <c r="S35" s="75"/>
    </row>
    <row r="36" spans="1:19" ht="15.75" customHeight="1">
      <c r="A36" s="436"/>
      <c r="B36" s="898" t="s">
        <v>128</v>
      </c>
      <c r="C36" s="899" t="s">
        <v>92</v>
      </c>
      <c r="D36" s="900"/>
      <c r="E36" s="444" t="s">
        <v>168</v>
      </c>
      <c r="F36" s="290">
        <v>215500</v>
      </c>
      <c r="G36" s="291">
        <f>F36/0.865</f>
        <v>249132.9479768786</v>
      </c>
      <c r="H36" s="290">
        <f>F36</f>
        <v>215500</v>
      </c>
      <c r="I36" s="291">
        <f>H36/0.865</f>
        <v>249132.9479768786</v>
      </c>
      <c r="J36" s="290">
        <f>H36</f>
        <v>215500</v>
      </c>
      <c r="K36" s="291">
        <f>J36/0.865</f>
        <v>249132.9479768786</v>
      </c>
      <c r="L36" s="292">
        <f>J36</f>
        <v>215500</v>
      </c>
      <c r="M36" s="267">
        <f>L36/0.865</f>
        <v>249132.9479768786</v>
      </c>
      <c r="N36" s="90">
        <f>L36</f>
        <v>215500</v>
      </c>
      <c r="O36" s="102">
        <f>N36/0.865</f>
        <v>249132.9479768786</v>
      </c>
      <c r="P36" s="103">
        <f>N36</f>
        <v>215500</v>
      </c>
      <c r="Q36" s="102">
        <f>P36/0.865</f>
        <v>249132.9479768786</v>
      </c>
      <c r="R36" s="75"/>
      <c r="S36" s="75"/>
    </row>
    <row r="37" spans="1:19" ht="15.75" customHeight="1" thickBot="1">
      <c r="A37" s="436"/>
      <c r="B37" s="890"/>
      <c r="C37" s="901" t="s">
        <v>123</v>
      </c>
      <c r="D37" s="902"/>
      <c r="E37" s="441" t="s">
        <v>168</v>
      </c>
      <c r="F37" s="268">
        <f>G37*0.807</f>
        <v>302625</v>
      </c>
      <c r="G37" s="269">
        <v>375000</v>
      </c>
      <c r="H37" s="268">
        <f aca="true" t="shared" si="2" ref="H37:M37">F37</f>
        <v>302625</v>
      </c>
      <c r="I37" s="269">
        <f t="shared" si="2"/>
        <v>375000</v>
      </c>
      <c r="J37" s="268">
        <f t="shared" si="2"/>
        <v>302625</v>
      </c>
      <c r="K37" s="269">
        <f t="shared" si="2"/>
        <v>375000</v>
      </c>
      <c r="L37" s="284">
        <f t="shared" si="2"/>
        <v>302625</v>
      </c>
      <c r="M37" s="269">
        <f t="shared" si="2"/>
        <v>375000</v>
      </c>
      <c r="N37" s="104">
        <f>L37</f>
        <v>302625</v>
      </c>
      <c r="O37" s="106">
        <f>M37</f>
        <v>375000</v>
      </c>
      <c r="P37" s="107">
        <f>N37</f>
        <v>302625</v>
      </c>
      <c r="Q37" s="106">
        <f>O37</f>
        <v>375000</v>
      </c>
      <c r="R37" s="75"/>
      <c r="S37" s="75"/>
    </row>
    <row r="38" spans="1:19" ht="15.75" customHeight="1" thickBot="1" thickTop="1">
      <c r="A38" s="436"/>
      <c r="B38" s="738" t="s">
        <v>60</v>
      </c>
      <c r="C38" s="739"/>
      <c r="D38" s="740"/>
      <c r="E38" s="445" t="s">
        <v>168</v>
      </c>
      <c r="F38" s="270">
        <f aca="true" t="shared" si="3" ref="F38:M38">F35-F34</f>
        <v>75762.9411764706</v>
      </c>
      <c r="G38" s="271">
        <f t="shared" si="3"/>
        <v>87612.97251564963</v>
      </c>
      <c r="H38" s="270">
        <f t="shared" si="3"/>
        <v>9322.352941176505</v>
      </c>
      <c r="I38" s="271">
        <f t="shared" si="3"/>
        <v>7133.046570154838</v>
      </c>
      <c r="J38" s="270">
        <f t="shared" si="3"/>
        <v>-59013.5294117647</v>
      </c>
      <c r="K38" s="271">
        <f t="shared" si="3"/>
        <v>-75642.66173194675</v>
      </c>
      <c r="L38" s="270">
        <f t="shared" si="3"/>
        <v>-122400.5882352941</v>
      </c>
      <c r="M38" s="271">
        <f t="shared" si="3"/>
        <v>-152423.82721401937</v>
      </c>
      <c r="N38" s="108">
        <f>N35-N34</f>
        <v>-131877.0588235294</v>
      </c>
      <c r="O38" s="109">
        <f>O35-O34</f>
        <v>-163902.7389970536</v>
      </c>
      <c r="P38" s="108">
        <f>P35-P34</f>
        <v>-141353.5294117647</v>
      </c>
      <c r="Q38" s="109">
        <f>Q35-Q34</f>
        <v>-175381.65078008757</v>
      </c>
      <c r="R38" s="75"/>
      <c r="S38" s="75"/>
    </row>
    <row r="39" spans="1:19" ht="15.75" customHeight="1">
      <c r="A39" s="436"/>
      <c r="B39" s="736" t="s">
        <v>128</v>
      </c>
      <c r="C39" s="673" t="s">
        <v>92</v>
      </c>
      <c r="D39" s="674"/>
      <c r="E39" s="444" t="s">
        <v>168</v>
      </c>
      <c r="F39" s="272">
        <f aca="true" t="shared" si="4" ref="F39:Q39">F36-F29</f>
        <v>75452.94117647057</v>
      </c>
      <c r="G39" s="273">
        <f t="shared" si="4"/>
        <v>87228.83373002379</v>
      </c>
      <c r="H39" s="272">
        <f t="shared" si="4"/>
        <v>53182.352941176476</v>
      </c>
      <c r="I39" s="273">
        <f t="shared" si="4"/>
        <v>61482.488949336956</v>
      </c>
      <c r="J39" s="272">
        <f t="shared" si="4"/>
        <v>30276.4705882353</v>
      </c>
      <c r="K39" s="273">
        <f t="shared" si="4"/>
        <v>35001.700102006114</v>
      </c>
      <c r="L39" s="272">
        <f t="shared" si="4"/>
        <v>9029.411764705874</v>
      </c>
      <c r="M39" s="273">
        <f t="shared" si="4"/>
        <v>10438.626317579037</v>
      </c>
      <c r="N39" s="110">
        <f t="shared" si="4"/>
        <v>5852.941176470573</v>
      </c>
      <c r="O39" s="111">
        <f t="shared" si="4"/>
        <v>6766.405984359037</v>
      </c>
      <c r="P39" s="110">
        <f t="shared" si="4"/>
        <v>2676.470588235301</v>
      </c>
      <c r="Q39" s="111">
        <f t="shared" si="4"/>
        <v>3094.185651139065</v>
      </c>
      <c r="R39" s="75"/>
      <c r="S39" s="75"/>
    </row>
    <row r="40" spans="1:19" ht="15.75" customHeight="1" thickBot="1">
      <c r="A40" s="436"/>
      <c r="B40" s="737"/>
      <c r="C40" s="903" t="s">
        <v>123</v>
      </c>
      <c r="D40" s="904"/>
      <c r="E40" s="446" t="s">
        <v>168</v>
      </c>
      <c r="F40" s="274">
        <f aca="true" t="shared" si="5" ref="F40:Q40">F37-F30</f>
        <v>310</v>
      </c>
      <c r="G40" s="275">
        <f t="shared" si="5"/>
        <v>384.13878562580794</v>
      </c>
      <c r="H40" s="274">
        <f t="shared" si="5"/>
        <v>-43860</v>
      </c>
      <c r="I40" s="275">
        <f t="shared" si="5"/>
        <v>-54349.44237918215</v>
      </c>
      <c r="J40" s="274">
        <f t="shared" si="5"/>
        <v>-89290</v>
      </c>
      <c r="K40" s="275">
        <f t="shared" si="5"/>
        <v>-110644.36183395289</v>
      </c>
      <c r="L40" s="274">
        <f t="shared" si="5"/>
        <v>-131430</v>
      </c>
      <c r="M40" s="275">
        <f t="shared" si="5"/>
        <v>-162862.45353159844</v>
      </c>
      <c r="N40" s="113">
        <f t="shared" si="5"/>
        <v>-137730</v>
      </c>
      <c r="O40" s="114">
        <f t="shared" si="5"/>
        <v>-170669.14498141257</v>
      </c>
      <c r="P40" s="113">
        <f t="shared" si="5"/>
        <v>-144030</v>
      </c>
      <c r="Q40" s="114">
        <f t="shared" si="5"/>
        <v>-178475.8364312267</v>
      </c>
      <c r="R40" s="75"/>
      <c r="S40" s="75"/>
    </row>
    <row r="41" spans="2:18" ht="15.75" customHeight="1" hidden="1" thickBot="1" thickTop="1">
      <c r="B41" s="285"/>
      <c r="C41" s="286"/>
      <c r="D41" s="286"/>
      <c r="E41" s="447"/>
      <c r="F41" s="289"/>
      <c r="G41" s="289"/>
      <c r="H41" s="289"/>
      <c r="I41" s="289"/>
      <c r="J41" s="289"/>
      <c r="K41" s="287"/>
      <c r="L41" s="287"/>
      <c r="M41" s="287"/>
      <c r="N41" s="288"/>
      <c r="O41" s="288"/>
      <c r="P41" s="288"/>
      <c r="Q41" s="288"/>
      <c r="R41" s="76"/>
    </row>
    <row r="42" spans="1:18" ht="15.75" customHeight="1" hidden="1" thickTop="1">
      <c r="A42" s="953" t="s">
        <v>185</v>
      </c>
      <c r="B42" s="705" t="s">
        <v>47</v>
      </c>
      <c r="C42" s="706"/>
      <c r="D42" s="706"/>
      <c r="E42" s="448"/>
      <c r="F42" s="295"/>
      <c r="G42" s="296"/>
      <c r="H42" s="295"/>
      <c r="I42" s="297"/>
      <c r="J42" s="295"/>
      <c r="K42" s="297"/>
      <c r="L42" s="298"/>
      <c r="M42" s="297"/>
      <c r="N42" s="295"/>
      <c r="O42" s="297"/>
      <c r="P42" s="298"/>
      <c r="Q42" s="297"/>
      <c r="R42" s="75"/>
    </row>
    <row r="43" spans="1:18" ht="15.75" customHeight="1" hidden="1">
      <c r="A43" s="954"/>
      <c r="B43" s="707"/>
      <c r="C43" s="708"/>
      <c r="D43" s="708"/>
      <c r="E43" s="449" t="s">
        <v>48</v>
      </c>
      <c r="F43" s="687">
        <v>50</v>
      </c>
      <c r="G43" s="688"/>
      <c r="H43" s="687">
        <v>50</v>
      </c>
      <c r="I43" s="688"/>
      <c r="J43" s="687">
        <v>50</v>
      </c>
      <c r="K43" s="688"/>
      <c r="L43" s="687">
        <v>50</v>
      </c>
      <c r="M43" s="688"/>
      <c r="N43" s="687">
        <v>50</v>
      </c>
      <c r="O43" s="688"/>
      <c r="P43" s="687">
        <v>50</v>
      </c>
      <c r="Q43" s="688"/>
      <c r="R43" s="75"/>
    </row>
    <row r="44" spans="1:18" ht="15.75" customHeight="1" hidden="1" thickBot="1">
      <c r="A44" s="954"/>
      <c r="B44" s="709"/>
      <c r="C44" s="710"/>
      <c r="D44" s="710"/>
      <c r="E44" s="450" t="s">
        <v>49</v>
      </c>
      <c r="F44" s="689">
        <v>50</v>
      </c>
      <c r="G44" s="690"/>
      <c r="H44" s="689">
        <v>50</v>
      </c>
      <c r="I44" s="690"/>
      <c r="J44" s="689">
        <v>50</v>
      </c>
      <c r="K44" s="690"/>
      <c r="L44" s="689">
        <v>50</v>
      </c>
      <c r="M44" s="690"/>
      <c r="N44" s="689">
        <v>50</v>
      </c>
      <c r="O44" s="690"/>
      <c r="P44" s="689">
        <v>50</v>
      </c>
      <c r="Q44" s="690"/>
      <c r="R44" s="75"/>
    </row>
    <row r="45" spans="1:18" ht="15.75" customHeight="1" hidden="1" thickBot="1">
      <c r="A45" s="954"/>
      <c r="B45" s="75"/>
      <c r="C45" s="76"/>
      <c r="D45" s="76"/>
      <c r="E45" s="451"/>
      <c r="F45" s="77"/>
      <c r="G45" s="65"/>
      <c r="H45" s="77"/>
      <c r="I45" s="78"/>
      <c r="J45" s="77"/>
      <c r="K45" s="78"/>
      <c r="L45" s="66"/>
      <c r="M45" s="78"/>
      <c r="N45" s="77"/>
      <c r="O45" s="78"/>
      <c r="P45" s="66"/>
      <c r="Q45" s="78"/>
      <c r="R45" s="75"/>
    </row>
    <row r="46" spans="1:18" ht="15.75" customHeight="1" hidden="1">
      <c r="A46" s="954"/>
      <c r="B46" s="691" t="s">
        <v>50</v>
      </c>
      <c r="C46" s="683"/>
      <c r="D46" s="684"/>
      <c r="E46" s="452" t="s">
        <v>42</v>
      </c>
      <c r="F46" s="685">
        <f>F9*F14</f>
        <v>396800</v>
      </c>
      <c r="G46" s="686"/>
      <c r="H46" s="685">
        <f>H9*H14</f>
        <v>459900</v>
      </c>
      <c r="I46" s="686"/>
      <c r="J46" s="685">
        <f>J9*J14</f>
        <v>524800</v>
      </c>
      <c r="K46" s="686"/>
      <c r="L46" s="685">
        <f>L9*L14</f>
        <v>585000</v>
      </c>
      <c r="M46" s="686"/>
      <c r="N46" s="685">
        <f>N9*N14</f>
        <v>594000</v>
      </c>
      <c r="O46" s="686"/>
      <c r="P46" s="685">
        <f>P9*P14</f>
        <v>603000</v>
      </c>
      <c r="Q46" s="686"/>
      <c r="R46" s="75"/>
    </row>
    <row r="47" spans="1:18" ht="15.75" customHeight="1" hidden="1">
      <c r="A47" s="954"/>
      <c r="B47" s="75"/>
      <c r="C47" s="664" t="s">
        <v>51</v>
      </c>
      <c r="D47" s="665"/>
      <c r="E47" s="449" t="s">
        <v>42</v>
      </c>
      <c r="F47" s="666">
        <f>(F46*F43)/100</f>
        <v>198400</v>
      </c>
      <c r="G47" s="688"/>
      <c r="H47" s="666">
        <f>(H46*H43)/100</f>
        <v>229950</v>
      </c>
      <c r="I47" s="688"/>
      <c r="J47" s="666">
        <f>(J46*J43)/100</f>
        <v>262400</v>
      </c>
      <c r="K47" s="688"/>
      <c r="L47" s="666">
        <f>(L46*L43)/100</f>
        <v>292500</v>
      </c>
      <c r="M47" s="688"/>
      <c r="N47" s="666">
        <f>(N46*N43)/100</f>
        <v>297000</v>
      </c>
      <c r="O47" s="688"/>
      <c r="P47" s="666">
        <f>(P46*P43)/100</f>
        <v>301500</v>
      </c>
      <c r="Q47" s="688"/>
      <c r="R47" s="75"/>
    </row>
    <row r="48" spans="1:18" ht="15.75" customHeight="1" hidden="1" thickBot="1">
      <c r="A48" s="954"/>
      <c r="B48" s="80"/>
      <c r="C48" s="667" t="s">
        <v>123</v>
      </c>
      <c r="D48" s="668"/>
      <c r="E48" s="450" t="s">
        <v>42</v>
      </c>
      <c r="F48" s="669">
        <f>F46-F47</f>
        <v>198400</v>
      </c>
      <c r="G48" s="690"/>
      <c r="H48" s="669">
        <f>(H46*H44)/100</f>
        <v>229950</v>
      </c>
      <c r="I48" s="690"/>
      <c r="J48" s="669">
        <f>(J46*J44)/100</f>
        <v>262400</v>
      </c>
      <c r="K48" s="690"/>
      <c r="L48" s="669">
        <f>(L46*L44)/100</f>
        <v>292500</v>
      </c>
      <c r="M48" s="690"/>
      <c r="N48" s="669">
        <f>(N46*N44)/100</f>
        <v>297000</v>
      </c>
      <c r="O48" s="690"/>
      <c r="P48" s="669">
        <f>(P46*P44)/100</f>
        <v>301500</v>
      </c>
      <c r="Q48" s="690"/>
      <c r="R48" s="75"/>
    </row>
    <row r="49" spans="1:18" ht="15.75" customHeight="1" hidden="1" thickBot="1">
      <c r="A49" s="954"/>
      <c r="B49" s="670" t="s">
        <v>53</v>
      </c>
      <c r="C49" s="671"/>
      <c r="D49" s="672"/>
      <c r="E49" s="453" t="s">
        <v>42</v>
      </c>
      <c r="F49" s="694">
        <f>SUM(F47:F48)</f>
        <v>396800</v>
      </c>
      <c r="G49" s="692"/>
      <c r="H49" s="694">
        <f>SUM(H47:H48)</f>
        <v>459900</v>
      </c>
      <c r="I49" s="692"/>
      <c r="J49" s="694">
        <f>SUM(J47:J48)</f>
        <v>524800</v>
      </c>
      <c r="K49" s="692"/>
      <c r="L49" s="694">
        <f>SUM(L47:L48)</f>
        <v>585000</v>
      </c>
      <c r="M49" s="692"/>
      <c r="N49" s="694">
        <f>SUM(N47:N48)</f>
        <v>594000</v>
      </c>
      <c r="O49" s="692"/>
      <c r="P49" s="694">
        <f>SUM(P47:P48)</f>
        <v>603000</v>
      </c>
      <c r="Q49" s="692"/>
      <c r="R49" s="75"/>
    </row>
    <row r="50" spans="1:18" ht="15.75" customHeight="1" hidden="1" thickBot="1">
      <c r="A50" s="954"/>
      <c r="B50" s="75"/>
      <c r="C50" s="76"/>
      <c r="D50" s="76"/>
      <c r="E50" s="451"/>
      <c r="F50" s="77"/>
      <c r="G50" s="65"/>
      <c r="H50" s="77"/>
      <c r="I50" s="78"/>
      <c r="J50" s="77"/>
      <c r="K50" s="78"/>
      <c r="L50" s="66"/>
      <c r="M50" s="78"/>
      <c r="N50" s="77"/>
      <c r="O50" s="78"/>
      <c r="P50" s="66"/>
      <c r="Q50" s="78"/>
      <c r="R50" s="75"/>
    </row>
    <row r="51" spans="1:18" ht="15.75" customHeight="1" hidden="1">
      <c r="A51" s="954"/>
      <c r="B51" s="691" t="s">
        <v>54</v>
      </c>
      <c r="C51" s="683"/>
      <c r="D51" s="684"/>
      <c r="E51" s="452" t="s">
        <v>42</v>
      </c>
      <c r="F51" s="685">
        <f>SUM(F52:F53)</f>
        <v>24727</v>
      </c>
      <c r="G51" s="686"/>
      <c r="H51" s="685">
        <f>SUM(H52:H53)</f>
        <v>24727</v>
      </c>
      <c r="I51" s="686"/>
      <c r="J51" s="685">
        <f>SUM(J52:J53)</f>
        <v>24727</v>
      </c>
      <c r="K51" s="686"/>
      <c r="L51" s="685">
        <f>SUM(L52:L53)</f>
        <v>24727</v>
      </c>
      <c r="M51" s="686"/>
      <c r="N51" s="685">
        <f>SUM(N52:N53)</f>
        <v>24727</v>
      </c>
      <c r="O51" s="686"/>
      <c r="P51" s="685">
        <f>SUM(P52:P53)</f>
        <v>24727</v>
      </c>
      <c r="Q51" s="686"/>
      <c r="R51" s="75"/>
    </row>
    <row r="52" spans="1:18" ht="15.75" customHeight="1" hidden="1">
      <c r="A52" s="954"/>
      <c r="B52" s="75"/>
      <c r="C52" s="664" t="s">
        <v>55</v>
      </c>
      <c r="D52" s="665"/>
      <c r="E52" s="449" t="s">
        <v>42</v>
      </c>
      <c r="F52" s="666">
        <v>24555</v>
      </c>
      <c r="G52" s="688"/>
      <c r="H52" s="666">
        <f>F52</f>
        <v>24555</v>
      </c>
      <c r="I52" s="688"/>
      <c r="J52" s="666">
        <f>H52</f>
        <v>24555</v>
      </c>
      <c r="K52" s="688"/>
      <c r="L52" s="666">
        <f>J52</f>
        <v>24555</v>
      </c>
      <c r="M52" s="688"/>
      <c r="N52" s="666">
        <f>L52</f>
        <v>24555</v>
      </c>
      <c r="O52" s="688"/>
      <c r="P52" s="666">
        <f>N52</f>
        <v>24555</v>
      </c>
      <c r="Q52" s="688"/>
      <c r="R52" s="75"/>
    </row>
    <row r="53" spans="1:18" ht="15.75" customHeight="1" hidden="1" thickBot="1">
      <c r="A53" s="954"/>
      <c r="B53" s="80"/>
      <c r="C53" s="667" t="s">
        <v>56</v>
      </c>
      <c r="D53" s="668"/>
      <c r="E53" s="450" t="s">
        <v>42</v>
      </c>
      <c r="F53" s="669">
        <v>172</v>
      </c>
      <c r="G53" s="690"/>
      <c r="H53" s="669">
        <f>F53</f>
        <v>172</v>
      </c>
      <c r="I53" s="690"/>
      <c r="J53" s="669">
        <f>H53</f>
        <v>172</v>
      </c>
      <c r="K53" s="690"/>
      <c r="L53" s="669">
        <f>J53</f>
        <v>172</v>
      </c>
      <c r="M53" s="690"/>
      <c r="N53" s="669">
        <f>L53</f>
        <v>172</v>
      </c>
      <c r="O53" s="690"/>
      <c r="P53" s="669">
        <f>N53</f>
        <v>172</v>
      </c>
      <c r="Q53" s="690"/>
      <c r="R53" s="75"/>
    </row>
    <row r="54" spans="1:18" ht="15.75" customHeight="1" hidden="1" thickBot="1">
      <c r="A54" s="954"/>
      <c r="B54" s="82"/>
      <c r="C54" s="83"/>
      <c r="D54" s="83"/>
      <c r="E54" s="454"/>
      <c r="F54" s="85"/>
      <c r="G54" s="88"/>
      <c r="H54" s="85"/>
      <c r="I54" s="87"/>
      <c r="J54" s="85"/>
      <c r="K54" s="87"/>
      <c r="L54" s="82"/>
      <c r="M54" s="87"/>
      <c r="N54" s="85"/>
      <c r="O54" s="87"/>
      <c r="P54" s="82"/>
      <c r="Q54" s="87"/>
      <c r="R54" s="75"/>
    </row>
    <row r="55" spans="1:18" ht="15.75" customHeight="1" hidden="1" thickTop="1">
      <c r="A55" s="954"/>
      <c r="B55" s="885" t="s">
        <v>57</v>
      </c>
      <c r="C55" s="886"/>
      <c r="D55" s="887"/>
      <c r="E55" s="452" t="s">
        <v>42</v>
      </c>
      <c r="F55" s="882">
        <f>F46+F51</f>
        <v>421527</v>
      </c>
      <c r="G55" s="883"/>
      <c r="H55" s="882">
        <f>H46+H51</f>
        <v>484627</v>
      </c>
      <c r="I55" s="883"/>
      <c r="J55" s="882">
        <f>J46+J51</f>
        <v>549527</v>
      </c>
      <c r="K55" s="883"/>
      <c r="L55" s="882">
        <f>L46+L51</f>
        <v>609727</v>
      </c>
      <c r="M55" s="883"/>
      <c r="N55" s="882">
        <f>N46+N51</f>
        <v>618727</v>
      </c>
      <c r="O55" s="883"/>
      <c r="P55" s="882">
        <f>P46+P51</f>
        <v>627727</v>
      </c>
      <c r="Q55" s="883"/>
      <c r="R55" s="75"/>
    </row>
    <row r="56" spans="1:18" ht="15.75" customHeight="1" hidden="1">
      <c r="A56" s="954"/>
      <c r="B56" s="983" t="s">
        <v>171</v>
      </c>
      <c r="C56" s="937" t="s">
        <v>92</v>
      </c>
      <c r="D56" s="938"/>
      <c r="E56" s="440" t="s">
        <v>168</v>
      </c>
      <c r="F56" s="262">
        <f>F47/(F12/100)</f>
        <v>233411.76470588235</v>
      </c>
      <c r="G56" s="263">
        <f>F56/0.865</f>
        <v>269840.1904114247</v>
      </c>
      <c r="H56" s="262">
        <f>H47/(H12/100)</f>
        <v>270529.4117647059</v>
      </c>
      <c r="I56" s="263">
        <f>H56/0.865</f>
        <v>312750.7650459028</v>
      </c>
      <c r="J56" s="262">
        <f>J47/(J12/100)</f>
        <v>308705.8823529412</v>
      </c>
      <c r="K56" s="263">
        <f>J56/0.865</f>
        <v>356885.4131247875</v>
      </c>
      <c r="L56" s="262">
        <f>L47/(L12/100)</f>
        <v>344117.64705882355</v>
      </c>
      <c r="M56" s="263">
        <f>L56/0.865</f>
        <v>397823.869432166</v>
      </c>
      <c r="N56" s="90">
        <f>N47/(N12/100)</f>
        <v>349411.76470588235</v>
      </c>
      <c r="O56" s="91">
        <f>N56/0.865</f>
        <v>403944.23665419925</v>
      </c>
      <c r="P56" s="90">
        <f>P47/(P12/100)</f>
        <v>354705.8823529412</v>
      </c>
      <c r="Q56" s="91">
        <f>P56/0.865</f>
        <v>410064.60387623264</v>
      </c>
      <c r="R56" s="75"/>
    </row>
    <row r="57" spans="1:18" ht="15.75" customHeight="1" hidden="1">
      <c r="A57" s="954"/>
      <c r="B57" s="984"/>
      <c r="C57" s="939" t="s">
        <v>123</v>
      </c>
      <c r="D57" s="940"/>
      <c r="E57" s="440" t="s">
        <v>168</v>
      </c>
      <c r="F57" s="262">
        <f>F48+F52</f>
        <v>222955</v>
      </c>
      <c r="G57" s="263">
        <f>F57/0.807</f>
        <v>276276.3320941759</v>
      </c>
      <c r="H57" s="262">
        <f>H48+H52</f>
        <v>254505</v>
      </c>
      <c r="I57" s="263">
        <f>H57/0.807</f>
        <v>315371.7472118959</v>
      </c>
      <c r="J57" s="262">
        <f>J48+J52</f>
        <v>286955</v>
      </c>
      <c r="K57" s="263">
        <f>J57/0.807</f>
        <v>355582.40396530356</v>
      </c>
      <c r="L57" s="262">
        <f>L48+L52</f>
        <v>317055</v>
      </c>
      <c r="M57" s="263">
        <f>L57/0.807</f>
        <v>392881.04089219327</v>
      </c>
      <c r="N57" s="90">
        <f>N48+N52</f>
        <v>321555</v>
      </c>
      <c r="O57" s="91">
        <f>N57/0.807</f>
        <v>398457.2490706319</v>
      </c>
      <c r="P57" s="90">
        <f>P48+P52</f>
        <v>326055</v>
      </c>
      <c r="Q57" s="91">
        <f>P57/0.807</f>
        <v>404033.45724907063</v>
      </c>
      <c r="R57" s="75"/>
    </row>
    <row r="58" spans="1:18" ht="15.75" customHeight="1" hidden="1">
      <c r="A58" s="954"/>
      <c r="B58" s="707"/>
      <c r="C58" s="939" t="s">
        <v>194</v>
      </c>
      <c r="D58" s="940"/>
      <c r="E58" s="440" t="s">
        <v>168</v>
      </c>
      <c r="F58" s="262">
        <v>92955</v>
      </c>
      <c r="G58" s="263">
        <f>F58/0.807</f>
        <v>115185.87360594794</v>
      </c>
      <c r="H58" s="262">
        <v>124505</v>
      </c>
      <c r="I58" s="263">
        <f>H58/0.807</f>
        <v>154281.2887236679</v>
      </c>
      <c r="J58" s="262">
        <v>136955</v>
      </c>
      <c r="K58" s="263">
        <f>J58/0.807</f>
        <v>169708.7980173482</v>
      </c>
      <c r="L58" s="262">
        <v>137055</v>
      </c>
      <c r="M58" s="263">
        <f>L58/0.807</f>
        <v>169832.71375464683</v>
      </c>
      <c r="N58" s="90">
        <v>121555</v>
      </c>
      <c r="O58" s="91">
        <f>N58/0.807</f>
        <v>150625.77447335812</v>
      </c>
      <c r="P58" s="90">
        <v>96055</v>
      </c>
      <c r="Q58" s="91">
        <f>P58/0.807</f>
        <v>119027.26146220569</v>
      </c>
      <c r="R58" s="75"/>
    </row>
    <row r="59" spans="1:18" ht="15.75" customHeight="1" hidden="1">
      <c r="A59" s="954"/>
      <c r="B59" s="707"/>
      <c r="C59" s="939" t="s">
        <v>195</v>
      </c>
      <c r="D59" s="940"/>
      <c r="E59" s="440" t="s">
        <v>168</v>
      </c>
      <c r="F59" s="262">
        <v>0</v>
      </c>
      <c r="G59" s="263">
        <f>F59/0.807</f>
        <v>0</v>
      </c>
      <c r="H59" s="262">
        <v>0</v>
      </c>
      <c r="I59" s="263">
        <f>H59/0.807</f>
        <v>0</v>
      </c>
      <c r="J59" s="262">
        <v>20000</v>
      </c>
      <c r="K59" s="263">
        <f>J59/0.807</f>
        <v>24783.147459727385</v>
      </c>
      <c r="L59" s="262">
        <v>50000</v>
      </c>
      <c r="M59" s="263">
        <f>L59/0.807</f>
        <v>61957.86864931846</v>
      </c>
      <c r="N59" s="90">
        <v>70000</v>
      </c>
      <c r="O59" s="91">
        <f>N59/0.807</f>
        <v>86741.01610904584</v>
      </c>
      <c r="P59" s="90">
        <v>100000</v>
      </c>
      <c r="Q59" s="91">
        <f>P59/0.807</f>
        <v>123915.73729863692</v>
      </c>
      <c r="R59" s="75"/>
    </row>
    <row r="60" spans="1:18" ht="15.75" customHeight="1" hidden="1" thickBot="1">
      <c r="A60" s="954"/>
      <c r="B60" s="709"/>
      <c r="C60" s="963" t="s">
        <v>193</v>
      </c>
      <c r="D60" s="964"/>
      <c r="E60" s="441" t="s">
        <v>168</v>
      </c>
      <c r="F60" s="397">
        <v>130000</v>
      </c>
      <c r="G60" s="390">
        <f>F60/0.807</f>
        <v>161090.458488228</v>
      </c>
      <c r="H60" s="397">
        <v>130000</v>
      </c>
      <c r="I60" s="390">
        <f>H60/0.807</f>
        <v>161090.458488228</v>
      </c>
      <c r="J60" s="397">
        <v>130000</v>
      </c>
      <c r="K60" s="390">
        <f>J60/0.807</f>
        <v>161090.458488228</v>
      </c>
      <c r="L60" s="397">
        <v>130000</v>
      </c>
      <c r="M60" s="390">
        <f>L60/0.807</f>
        <v>161090.458488228</v>
      </c>
      <c r="N60" s="399">
        <v>130000</v>
      </c>
      <c r="O60" s="400">
        <f>N60/0.807</f>
        <v>161090.458488228</v>
      </c>
      <c r="P60" s="399">
        <v>130000</v>
      </c>
      <c r="Q60" s="400">
        <f>P60/0.807</f>
        <v>161090.458488228</v>
      </c>
      <c r="R60" s="75"/>
    </row>
    <row r="61" spans="1:18" ht="15.75" customHeight="1" hidden="1" thickBot="1">
      <c r="A61" s="954"/>
      <c r="B61" s="680" t="s">
        <v>53</v>
      </c>
      <c r="C61" s="681"/>
      <c r="D61" s="682"/>
      <c r="E61" s="442" t="s">
        <v>168</v>
      </c>
      <c r="F61" s="264">
        <f aca="true" t="shared" si="6" ref="F61:Q61">SUM(F56:F57)</f>
        <v>456366.76470588235</v>
      </c>
      <c r="G61" s="265">
        <f t="shared" si="6"/>
        <v>546116.5225056006</v>
      </c>
      <c r="H61" s="264">
        <f t="shared" si="6"/>
        <v>525034.4117647059</v>
      </c>
      <c r="I61" s="265">
        <f t="shared" si="6"/>
        <v>628122.5122577987</v>
      </c>
      <c r="J61" s="264">
        <f t="shared" si="6"/>
        <v>595660.8823529412</v>
      </c>
      <c r="K61" s="265">
        <f t="shared" si="6"/>
        <v>712467.8170900911</v>
      </c>
      <c r="L61" s="252">
        <f t="shared" si="6"/>
        <v>661172.6470588236</v>
      </c>
      <c r="M61" s="265">
        <f t="shared" si="6"/>
        <v>790704.9103243593</v>
      </c>
      <c r="N61" s="95">
        <f t="shared" si="6"/>
        <v>670966.7647058824</v>
      </c>
      <c r="O61" s="96">
        <f t="shared" si="6"/>
        <v>802401.4857248312</v>
      </c>
      <c r="P61" s="97">
        <f t="shared" si="6"/>
        <v>680760.8823529412</v>
      </c>
      <c r="Q61" s="96">
        <f t="shared" si="6"/>
        <v>814098.0611253033</v>
      </c>
      <c r="R61" s="75"/>
    </row>
    <row r="62" spans="1:18" ht="15.75" customHeight="1" hidden="1" thickBot="1" thickTop="1">
      <c r="A62" s="954"/>
      <c r="B62" s="675" t="s">
        <v>59</v>
      </c>
      <c r="C62" s="676"/>
      <c r="D62" s="677"/>
      <c r="E62" s="443" t="s">
        <v>168</v>
      </c>
      <c r="F62" s="293">
        <f aca="true" t="shared" si="7" ref="F62:K62">SUM(F63:F64)</f>
        <v>518125</v>
      </c>
      <c r="G62" s="294">
        <f t="shared" si="7"/>
        <v>624132.9479768786</v>
      </c>
      <c r="H62" s="293">
        <f t="shared" si="7"/>
        <v>518125</v>
      </c>
      <c r="I62" s="294">
        <f t="shared" si="7"/>
        <v>624132.9479768786</v>
      </c>
      <c r="J62" s="293">
        <f t="shared" si="7"/>
        <v>518125</v>
      </c>
      <c r="K62" s="294">
        <f t="shared" si="7"/>
        <v>624132.9479768786</v>
      </c>
      <c r="L62" s="293">
        <f aca="true" t="shared" si="8" ref="L62:Q62">SUM(L63:L64)</f>
        <v>518125</v>
      </c>
      <c r="M62" s="266">
        <f t="shared" si="8"/>
        <v>624132.9479768786</v>
      </c>
      <c r="N62" s="99">
        <f t="shared" si="8"/>
        <v>518125</v>
      </c>
      <c r="O62" s="100">
        <f t="shared" si="8"/>
        <v>624132.9479768786</v>
      </c>
      <c r="P62" s="101">
        <f t="shared" si="8"/>
        <v>518125</v>
      </c>
      <c r="Q62" s="100">
        <f t="shared" si="8"/>
        <v>624132.9479768786</v>
      </c>
      <c r="R62" s="75"/>
    </row>
    <row r="63" spans="1:18" ht="15.75" customHeight="1" hidden="1">
      <c r="A63" s="954"/>
      <c r="B63" s="751" t="s">
        <v>95</v>
      </c>
      <c r="C63" s="673" t="s">
        <v>92</v>
      </c>
      <c r="D63" s="674"/>
      <c r="E63" s="444" t="s">
        <v>168</v>
      </c>
      <c r="F63" s="290">
        <v>215500</v>
      </c>
      <c r="G63" s="291">
        <f>F63/0.865</f>
        <v>249132.9479768786</v>
      </c>
      <c r="H63" s="290">
        <f>F63</f>
        <v>215500</v>
      </c>
      <c r="I63" s="291">
        <f>H63/0.865</f>
        <v>249132.9479768786</v>
      </c>
      <c r="J63" s="290">
        <f>H63</f>
        <v>215500</v>
      </c>
      <c r="K63" s="291">
        <f>J63/0.865</f>
        <v>249132.9479768786</v>
      </c>
      <c r="L63" s="292">
        <f>J63</f>
        <v>215500</v>
      </c>
      <c r="M63" s="267">
        <f>L63/0.865</f>
        <v>249132.9479768786</v>
      </c>
      <c r="N63" s="90">
        <f>L63</f>
        <v>215500</v>
      </c>
      <c r="O63" s="102">
        <f>N63/0.865</f>
        <v>249132.9479768786</v>
      </c>
      <c r="P63" s="103">
        <f>N63</f>
        <v>215500</v>
      </c>
      <c r="Q63" s="102">
        <f>P63/0.865</f>
        <v>249132.9479768786</v>
      </c>
      <c r="R63" s="75"/>
    </row>
    <row r="64" spans="1:18" ht="15.75" customHeight="1" hidden="1" thickBot="1">
      <c r="A64" s="954"/>
      <c r="B64" s="965"/>
      <c r="C64" s="963" t="s">
        <v>123</v>
      </c>
      <c r="D64" s="964"/>
      <c r="E64" s="441" t="s">
        <v>168</v>
      </c>
      <c r="F64" s="268">
        <f>G64*0.807</f>
        <v>302625</v>
      </c>
      <c r="G64" s="269">
        <v>375000</v>
      </c>
      <c r="H64" s="268">
        <f>F64</f>
        <v>302625</v>
      </c>
      <c r="I64" s="269">
        <f>G64</f>
        <v>375000</v>
      </c>
      <c r="J64" s="268">
        <f>H64</f>
        <v>302625</v>
      </c>
      <c r="K64" s="269">
        <f>I64</f>
        <v>375000</v>
      </c>
      <c r="L64" s="284">
        <f>J64</f>
        <v>302625</v>
      </c>
      <c r="M64" s="269">
        <f>K64</f>
        <v>375000</v>
      </c>
      <c r="N64" s="104">
        <f>L64</f>
        <v>302625</v>
      </c>
      <c r="O64" s="106">
        <f>M64</f>
        <v>375000</v>
      </c>
      <c r="P64" s="107">
        <f>N64</f>
        <v>302625</v>
      </c>
      <c r="Q64" s="106">
        <f>O64</f>
        <v>375000</v>
      </c>
      <c r="R64" s="75"/>
    </row>
    <row r="65" spans="1:18" ht="15.75" customHeight="1" hidden="1" thickBot="1" thickTop="1">
      <c r="A65" s="954"/>
      <c r="B65" s="738" t="s">
        <v>60</v>
      </c>
      <c r="C65" s="739"/>
      <c r="D65" s="740"/>
      <c r="E65" s="445" t="s">
        <v>168</v>
      </c>
      <c r="F65" s="270">
        <f aca="true" t="shared" si="9" ref="F65:M65">F62-F61</f>
        <v>61758.23529411765</v>
      </c>
      <c r="G65" s="271">
        <f t="shared" si="9"/>
        <v>78016.42547127802</v>
      </c>
      <c r="H65" s="270">
        <f t="shared" si="9"/>
        <v>-6909.411764705903</v>
      </c>
      <c r="I65" s="271">
        <f t="shared" si="9"/>
        <v>-3989.56428092008</v>
      </c>
      <c r="J65" s="270">
        <f t="shared" si="9"/>
        <v>-77535.8823529412</v>
      </c>
      <c r="K65" s="271">
        <f t="shared" si="9"/>
        <v>-88334.86911321245</v>
      </c>
      <c r="L65" s="270">
        <f t="shared" si="9"/>
        <v>-143047.6470588236</v>
      </c>
      <c r="M65" s="271">
        <f t="shared" si="9"/>
        <v>-166571.9623474807</v>
      </c>
      <c r="N65" s="108">
        <f>N62-N61</f>
        <v>-152841.7647058824</v>
      </c>
      <c r="O65" s="109">
        <f>O62-O61</f>
        <v>-178268.53774795262</v>
      </c>
      <c r="P65" s="108">
        <f>P62-P61</f>
        <v>-162635.8823529412</v>
      </c>
      <c r="Q65" s="109">
        <f>Q62-Q61</f>
        <v>-189965.11314842466</v>
      </c>
      <c r="R65" s="75"/>
    </row>
    <row r="66" spans="1:18" ht="15.75" customHeight="1" hidden="1">
      <c r="A66" s="954"/>
      <c r="B66" s="736" t="s">
        <v>94</v>
      </c>
      <c r="C66" s="673" t="s">
        <v>92</v>
      </c>
      <c r="D66" s="674"/>
      <c r="E66" s="444" t="s">
        <v>168</v>
      </c>
      <c r="F66" s="272">
        <f aca="true" t="shared" si="10" ref="F66:Q66">F63-F56</f>
        <v>-17911.76470588235</v>
      </c>
      <c r="G66" s="273">
        <f t="shared" si="10"/>
        <v>-20707.24243454606</v>
      </c>
      <c r="H66" s="272">
        <f t="shared" si="10"/>
        <v>-55029.4117647059</v>
      </c>
      <c r="I66" s="273">
        <f t="shared" si="10"/>
        <v>-63617.8170690242</v>
      </c>
      <c r="J66" s="272">
        <f t="shared" si="10"/>
        <v>-93205.8823529412</v>
      </c>
      <c r="K66" s="273">
        <f t="shared" si="10"/>
        <v>-107752.4651479089</v>
      </c>
      <c r="L66" s="272">
        <f t="shared" si="10"/>
        <v>-128617.64705882355</v>
      </c>
      <c r="M66" s="273">
        <f t="shared" si="10"/>
        <v>-148690.92145528737</v>
      </c>
      <c r="N66" s="110">
        <f t="shared" si="10"/>
        <v>-133911.76470588235</v>
      </c>
      <c r="O66" s="111">
        <f t="shared" si="10"/>
        <v>-154811.28867732064</v>
      </c>
      <c r="P66" s="110">
        <f t="shared" si="10"/>
        <v>-139205.8823529412</v>
      </c>
      <c r="Q66" s="111">
        <f t="shared" si="10"/>
        <v>-160931.65589935402</v>
      </c>
      <c r="R66" s="75"/>
    </row>
    <row r="67" spans="1:18" ht="15.75" customHeight="1" hidden="1" thickBot="1">
      <c r="A67" s="955"/>
      <c r="B67" s="737"/>
      <c r="C67" s="903" t="s">
        <v>123</v>
      </c>
      <c r="D67" s="904"/>
      <c r="E67" s="446" t="s">
        <v>168</v>
      </c>
      <c r="F67" s="274">
        <f aca="true" t="shared" si="11" ref="F67:Q67">F64-F57</f>
        <v>79670</v>
      </c>
      <c r="G67" s="275">
        <f t="shared" si="11"/>
        <v>98723.66790582408</v>
      </c>
      <c r="H67" s="274">
        <f t="shared" si="11"/>
        <v>48120</v>
      </c>
      <c r="I67" s="275">
        <f t="shared" si="11"/>
        <v>59628.25278810412</v>
      </c>
      <c r="J67" s="274">
        <f t="shared" si="11"/>
        <v>15670</v>
      </c>
      <c r="K67" s="275">
        <f t="shared" si="11"/>
        <v>19417.596034696442</v>
      </c>
      <c r="L67" s="274">
        <f t="shared" si="11"/>
        <v>-14430</v>
      </c>
      <c r="M67" s="275">
        <f t="shared" si="11"/>
        <v>-17881.04089219327</v>
      </c>
      <c r="N67" s="113">
        <f t="shared" si="11"/>
        <v>-18930</v>
      </c>
      <c r="O67" s="114">
        <f t="shared" si="11"/>
        <v>-23457.249070631922</v>
      </c>
      <c r="P67" s="113">
        <f t="shared" si="11"/>
        <v>-23430</v>
      </c>
      <c r="Q67" s="114">
        <f t="shared" si="11"/>
        <v>-29033.457249070634</v>
      </c>
      <c r="R67" s="75"/>
    </row>
    <row r="68" spans="5:10" ht="15.75" customHeight="1" thickBot="1" thickTop="1">
      <c r="E68" s="455"/>
      <c r="F68" s="734">
        <v>2004</v>
      </c>
      <c r="G68" s="735"/>
      <c r="H68" s="734">
        <v>2005</v>
      </c>
      <c r="I68" s="735"/>
      <c r="J68" s="75"/>
    </row>
    <row r="69" spans="2:10" ht="15.75" customHeight="1" thickTop="1">
      <c r="B69" s="905" t="s">
        <v>144</v>
      </c>
      <c r="C69" s="907" t="s">
        <v>96</v>
      </c>
      <c r="D69" s="908"/>
      <c r="E69" s="456" t="s">
        <v>168</v>
      </c>
      <c r="F69" s="276">
        <v>154913</v>
      </c>
      <c r="G69" s="277">
        <f>F69/0.865</f>
        <v>179090.17341040462</v>
      </c>
      <c r="H69" s="280"/>
      <c r="I69" s="281"/>
      <c r="J69" s="75"/>
    </row>
    <row r="70" spans="2:10" ht="15.75" customHeight="1" thickBot="1">
      <c r="B70" s="906"/>
      <c r="C70" s="909" t="s">
        <v>123</v>
      </c>
      <c r="D70" s="910"/>
      <c r="E70" s="446" t="s">
        <v>168</v>
      </c>
      <c r="F70" s="278">
        <v>229774</v>
      </c>
      <c r="G70" s="279">
        <f>F70/0.807</f>
        <v>284726.14622057</v>
      </c>
      <c r="H70" s="282"/>
      <c r="I70" s="283"/>
      <c r="J70" s="75"/>
    </row>
    <row r="71" spans="2:9" ht="15.75" customHeight="1" hidden="1" thickTop="1">
      <c r="B71" s="209"/>
      <c r="C71" s="207"/>
      <c r="D71" s="207"/>
      <c r="E71" s="208"/>
      <c r="F71" s="211"/>
      <c r="G71" s="211"/>
      <c r="H71" s="76"/>
      <c r="I71" s="76"/>
    </row>
    <row r="72" spans="2:9" ht="15.75" customHeight="1" hidden="1">
      <c r="B72" s="209"/>
      <c r="C72" s="207"/>
      <c r="D72" s="207"/>
      <c r="E72" s="208"/>
      <c r="F72" s="211"/>
      <c r="G72" s="211"/>
      <c r="H72" s="76"/>
      <c r="I72" s="76"/>
    </row>
    <row r="73" spans="2:17" ht="15" hidden="1" thickBot="1">
      <c r="B73" s="968" t="s">
        <v>214</v>
      </c>
      <c r="C73" s="969"/>
      <c r="D73" s="969"/>
      <c r="E73" s="208"/>
      <c r="F73" s="210"/>
      <c r="G73" s="210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5:18" ht="14.25" customHeight="1" hidden="1" thickBot="1" thickTop="1">
      <c r="E74" s="58"/>
      <c r="F74" s="911">
        <v>2005</v>
      </c>
      <c r="G74" s="734"/>
      <c r="H74" s="916">
        <v>2006</v>
      </c>
      <c r="I74" s="917"/>
      <c r="J74" s="917">
        <v>2007</v>
      </c>
      <c r="K74" s="918"/>
      <c r="L74" s="919">
        <v>2008</v>
      </c>
      <c r="M74" s="920"/>
      <c r="N74" s="919">
        <v>2009</v>
      </c>
      <c r="O74" s="920"/>
      <c r="P74" s="735">
        <v>2010</v>
      </c>
      <c r="Q74" s="911"/>
      <c r="R74" s="75"/>
    </row>
    <row r="75" spans="1:18" ht="14.25" hidden="1" thickTop="1">
      <c r="A75" s="956" t="s">
        <v>172</v>
      </c>
      <c r="B75" s="912" t="s">
        <v>97</v>
      </c>
      <c r="C75" s="914" t="s">
        <v>92</v>
      </c>
      <c r="D75" s="915"/>
      <c r="E75" s="257" t="s">
        <v>168</v>
      </c>
      <c r="F75" s="175">
        <f>F29-F69</f>
        <v>-14865.941176470573</v>
      </c>
      <c r="G75" s="310">
        <f>F75/0.865</f>
        <v>-17186.059163549795</v>
      </c>
      <c r="H75" s="326">
        <f>H29-F29</f>
        <v>22270.588235294097</v>
      </c>
      <c r="I75" s="311">
        <f>H75/0.865</f>
        <v>25746.344780686817</v>
      </c>
      <c r="J75" s="324">
        <f>J29-H29</f>
        <v>22905.882352941175</v>
      </c>
      <c r="K75" s="310">
        <f>J75/0.865</f>
        <v>26480.788847330838</v>
      </c>
      <c r="L75" s="331">
        <f>L29-J29</f>
        <v>21247.058823529427</v>
      </c>
      <c r="M75" s="332">
        <f>L75/0.865</f>
        <v>24563.073784427084</v>
      </c>
      <c r="N75" s="326">
        <f>N29-L29</f>
        <v>3176.470588235301</v>
      </c>
      <c r="O75" s="311">
        <f>N75/0.865</f>
        <v>3672.220333220001</v>
      </c>
      <c r="P75" s="310">
        <f>P29-N29</f>
        <v>3176.470588235272</v>
      </c>
      <c r="Q75" s="177">
        <f>P75/0.865</f>
        <v>3672.2203332199674</v>
      </c>
      <c r="R75" s="75"/>
    </row>
    <row r="76" spans="1:18" ht="14.25" hidden="1" thickBot="1">
      <c r="A76" s="957"/>
      <c r="B76" s="913"/>
      <c r="C76" s="741" t="s">
        <v>55</v>
      </c>
      <c r="D76" s="742"/>
      <c r="E76" s="256" t="s">
        <v>168</v>
      </c>
      <c r="F76" s="210">
        <f>F30-F70</f>
        <v>72541</v>
      </c>
      <c r="G76" s="323">
        <f>F76/0.807</f>
        <v>89889.71499380421</v>
      </c>
      <c r="H76" s="327">
        <f>H30-F30</f>
        <v>44170</v>
      </c>
      <c r="I76" s="328">
        <f>H76/0.807</f>
        <v>54733.581164807925</v>
      </c>
      <c r="J76" s="325">
        <f>J30-H30</f>
        <v>45430</v>
      </c>
      <c r="K76" s="210">
        <f>J76/0.807</f>
        <v>56294.91945477075</v>
      </c>
      <c r="L76" s="329">
        <f>L30-J30</f>
        <v>42140</v>
      </c>
      <c r="M76" s="333">
        <f>L76/0.807</f>
        <v>52218.0916976456</v>
      </c>
      <c r="N76" s="327">
        <f>N30-L30</f>
        <v>6300</v>
      </c>
      <c r="O76" s="328">
        <f>N76/0.807</f>
        <v>7806.691449814126</v>
      </c>
      <c r="P76" s="210">
        <f>P30-N30</f>
        <v>6300</v>
      </c>
      <c r="Q76" s="178">
        <f>P76/0.807</f>
        <v>7806.691449814126</v>
      </c>
      <c r="R76" s="75"/>
    </row>
    <row r="77" spans="1:18" ht="14.25" hidden="1" thickTop="1">
      <c r="A77" s="956" t="s">
        <v>173</v>
      </c>
      <c r="B77" s="912" t="s">
        <v>97</v>
      </c>
      <c r="C77" s="914" t="s">
        <v>92</v>
      </c>
      <c r="D77" s="915"/>
      <c r="E77" s="257" t="s">
        <v>168</v>
      </c>
      <c r="F77" s="175">
        <f>F56-F69</f>
        <v>78498.76470588235</v>
      </c>
      <c r="G77" s="310">
        <f>F77/0.865</f>
        <v>90750.01700102005</v>
      </c>
      <c r="H77" s="326">
        <f>H56-F56</f>
        <v>37117.64705882355</v>
      </c>
      <c r="I77" s="311">
        <f>H77/0.865</f>
        <v>42910.5746344781</v>
      </c>
      <c r="J77" s="324">
        <f>J56-H56</f>
        <v>38176.4705882353</v>
      </c>
      <c r="K77" s="310">
        <f>J77/0.865</f>
        <v>44134.64807888474</v>
      </c>
      <c r="L77" s="326">
        <f>L56-J56</f>
        <v>35411.76470588235</v>
      </c>
      <c r="M77" s="311">
        <f>L77/0.865</f>
        <v>40938.45630737844</v>
      </c>
      <c r="N77" s="326">
        <f>N56-L56</f>
        <v>5294.117647058796</v>
      </c>
      <c r="O77" s="311">
        <f>N77/0.865</f>
        <v>6120.36722203329</v>
      </c>
      <c r="P77" s="324">
        <f>P56-N56</f>
        <v>5294.117647058854</v>
      </c>
      <c r="Q77" s="176">
        <f>P77/0.865</f>
        <v>6120.367222033357</v>
      </c>
      <c r="R77" s="75"/>
    </row>
    <row r="78" spans="1:18" ht="14.25" hidden="1" thickBot="1">
      <c r="A78" s="957"/>
      <c r="B78" s="913"/>
      <c r="C78" s="741" t="s">
        <v>55</v>
      </c>
      <c r="D78" s="742"/>
      <c r="E78" s="256" t="s">
        <v>168</v>
      </c>
      <c r="F78" s="210">
        <f>F57-F70</f>
        <v>-6819</v>
      </c>
      <c r="G78" s="323">
        <f>F78/0.807</f>
        <v>-8449.81412639405</v>
      </c>
      <c r="H78" s="410">
        <f>H57-F57</f>
        <v>31550</v>
      </c>
      <c r="I78" s="411">
        <f>H78/0.807</f>
        <v>39095.415117719946</v>
      </c>
      <c r="J78" s="411">
        <f>J57-H57</f>
        <v>32450</v>
      </c>
      <c r="K78" s="323">
        <f>J78/0.807</f>
        <v>40210.65675340768</v>
      </c>
      <c r="L78" s="329">
        <f>L57-J57</f>
        <v>30100</v>
      </c>
      <c r="M78" s="330">
        <f>L78/0.807</f>
        <v>37298.63692688971</v>
      </c>
      <c r="N78" s="329">
        <f>N57-L57</f>
        <v>4500</v>
      </c>
      <c r="O78" s="330">
        <f>N78/0.807</f>
        <v>5576.208178438661</v>
      </c>
      <c r="P78" s="210">
        <f>P57-N57</f>
        <v>4500</v>
      </c>
      <c r="Q78" s="322">
        <f>P78/0.807</f>
        <v>5576.208178438661</v>
      </c>
      <c r="R78" s="75"/>
    </row>
    <row r="79" ht="14.25" hidden="1" thickBot="1" thickTop="1"/>
    <row r="80" spans="1:17" ht="30" customHeight="1" hidden="1" thickBot="1" thickTop="1">
      <c r="A80" s="973" t="s">
        <v>199</v>
      </c>
      <c r="B80" s="974"/>
      <c r="C80" s="974"/>
      <c r="D80" s="975"/>
      <c r="E80" s="414" t="s">
        <v>168</v>
      </c>
      <c r="F80" s="416">
        <f>F76/$A$81*100</f>
        <v>102895.0354609929</v>
      </c>
      <c r="G80" s="419">
        <f>F80/0.807</f>
        <v>127503.14183518327</v>
      </c>
      <c r="H80" s="418">
        <f>H76/$A$81*100</f>
        <v>62652.48226950355</v>
      </c>
      <c r="I80" s="419">
        <f>H80/0.807</f>
        <v>77636.28534015309</v>
      </c>
      <c r="J80" s="418">
        <f>J76/$A$81*100</f>
        <v>64439.716312056735</v>
      </c>
      <c r="K80" s="419">
        <f>J80/0.807</f>
        <v>79850.94958123511</v>
      </c>
      <c r="L80" s="418">
        <f>L76/$A$81*100</f>
        <v>59773.04964539007</v>
      </c>
      <c r="M80" s="419">
        <f>L80/0.807</f>
        <v>74068.2151739654</v>
      </c>
      <c r="N80" s="418">
        <f>N76/$A$81*100</f>
        <v>8936.170212765957</v>
      </c>
      <c r="O80" s="419">
        <f>N80/0.807</f>
        <v>11073.321205410108</v>
      </c>
      <c r="P80" s="418">
        <f>P76/$A$81*100</f>
        <v>8936.170212765957</v>
      </c>
      <c r="Q80" s="417">
        <f>P80/0.807</f>
        <v>11073.321205410108</v>
      </c>
    </row>
    <row r="81" ht="14.25" hidden="1" thickBot="1" thickTop="1">
      <c r="A81" s="415">
        <v>70.5</v>
      </c>
    </row>
    <row r="82" spans="1:17" ht="30" customHeight="1" hidden="1" thickBot="1" thickTop="1">
      <c r="A82" s="973" t="s">
        <v>203</v>
      </c>
      <c r="B82" s="974"/>
      <c r="C82" s="974"/>
      <c r="D82" s="975"/>
      <c r="E82" s="414" t="s">
        <v>168</v>
      </c>
      <c r="F82" s="416">
        <v>0</v>
      </c>
      <c r="G82" s="419">
        <f>F82/0.807</f>
        <v>0</v>
      </c>
      <c r="H82" s="418">
        <f>H78/$A$81*100</f>
        <v>44751.77304964539</v>
      </c>
      <c r="I82" s="419">
        <f>H82/0.807</f>
        <v>55454.48952868077</v>
      </c>
      <c r="J82" s="418">
        <f>J78/$A$81*100</f>
        <v>46028.36879432624</v>
      </c>
      <c r="K82" s="419">
        <f>J82/0.807</f>
        <v>57036.39255802508</v>
      </c>
      <c r="L82" s="418">
        <f>L78/$A$81*100</f>
        <v>42695.03546099291</v>
      </c>
      <c r="M82" s="419">
        <f>L82/0.807</f>
        <v>52905.867981403855</v>
      </c>
      <c r="N82" s="418">
        <f>N78/$A$81*100</f>
        <v>6382.978723404256</v>
      </c>
      <c r="O82" s="419">
        <f>N82/0.807</f>
        <v>7909.515146721506</v>
      </c>
      <c r="P82" s="418">
        <f>P78/$A$81*100</f>
        <v>6382.978723404256</v>
      </c>
      <c r="Q82" s="417">
        <f>P82/0.807</f>
        <v>7909.515146721506</v>
      </c>
    </row>
    <row r="83" ht="13.5" hidden="1" thickTop="1">
      <c r="A83" s="415"/>
    </row>
    <row r="84" ht="13.5" hidden="1" thickBot="1"/>
    <row r="85" spans="1:18" ht="13.5" hidden="1" thickTop="1">
      <c r="A85" s="217"/>
      <c r="B85" s="240" t="s">
        <v>96</v>
      </c>
      <c r="C85" s="836" t="s">
        <v>117</v>
      </c>
      <c r="D85" s="836"/>
      <c r="E85" s="224"/>
      <c r="F85" s="849">
        <f>F29*F124*$C$155*0.001</f>
        <v>56018.82352941177</v>
      </c>
      <c r="G85" s="849"/>
      <c r="H85" s="846">
        <f>H29*H124*$C$155*0.001</f>
        <v>64927.058823529405</v>
      </c>
      <c r="I85" s="849"/>
      <c r="J85" s="846">
        <f>J29*J124*$C$155*0.001</f>
        <v>74089.41176470589</v>
      </c>
      <c r="K85" s="849"/>
      <c r="L85" s="846">
        <f>L29*L124*$C$155*0.001</f>
        <v>82588.23529411765</v>
      </c>
      <c r="M85" s="921"/>
      <c r="N85" s="849">
        <f>N29*N124*$C$155*0.001</f>
        <v>83858.82352941178</v>
      </c>
      <c r="O85" s="921"/>
      <c r="P85" s="849">
        <f>P29*P124*$C$155*0.001</f>
        <v>85129.41176470589</v>
      </c>
      <c r="Q85" s="921"/>
      <c r="R85" s="75"/>
    </row>
    <row r="86" spans="1:18" ht="13.5" hidden="1" thickBot="1">
      <c r="A86" s="218"/>
      <c r="B86" s="241" t="s">
        <v>118</v>
      </c>
      <c r="C86" s="952" t="s">
        <v>117</v>
      </c>
      <c r="D86" s="952"/>
      <c r="E86" s="225"/>
      <c r="F86" s="924">
        <f>G31*G125*$C$155*0.001+G32*G125*$C$155*0.001+G33*G125*$C$155*0.001</f>
        <v>112010.14250309789</v>
      </c>
      <c r="G86" s="924"/>
      <c r="H86" s="922">
        <f>I31*I125*$C$155*0.001+I32*I127*$C$155*0.001+I33*I127*$C$155*0.001</f>
        <v>96318.48203221809</v>
      </c>
      <c r="I86" s="924"/>
      <c r="J86" s="922">
        <f>K31*K125*$C$155*0.001+K32*K127*$C$155*0.001+K33*K127*$C$155*0.001</f>
        <v>90957.35439900868</v>
      </c>
      <c r="K86" s="924"/>
      <c r="L86" s="922">
        <f>M31*M125*$C$155*0.001+M32*M127*$C$155*0.001+M33*M127*$C$155*0.001</f>
        <v>96213.68649318464</v>
      </c>
      <c r="M86" s="923"/>
      <c r="N86" s="924">
        <f>O31*O125*$C$155*0.001+O32*O127*$C$155*0.001+O33*O127*$C$155*0.001</f>
        <v>96575.14869888476</v>
      </c>
      <c r="O86" s="923"/>
      <c r="P86" s="924">
        <f>Q31*Q125*$C$155*0.001+Q32*Q127*$C$155*0.001+Q33*Q127*$C$155*0.001</f>
        <v>96428.6059479554</v>
      </c>
      <c r="Q86" s="924"/>
      <c r="R86" s="75"/>
    </row>
    <row r="87" spans="1:18" ht="14.25" hidden="1" thickBot="1" thickTop="1">
      <c r="A87" s="218"/>
      <c r="B87" s="426" t="s">
        <v>145</v>
      </c>
      <c r="C87" s="427" t="s">
        <v>119</v>
      </c>
      <c r="D87" s="428"/>
      <c r="E87" s="429"/>
      <c r="F87" s="824">
        <f>SUM(F85:G86)</f>
        <v>168028.96603250966</v>
      </c>
      <c r="G87" s="824"/>
      <c r="H87" s="850">
        <f>SUM(H85:I86)</f>
        <v>161245.5408557475</v>
      </c>
      <c r="I87" s="824"/>
      <c r="J87" s="850">
        <f>SUM(J85:K86)</f>
        <v>165046.76616371458</v>
      </c>
      <c r="K87" s="824"/>
      <c r="L87" s="850">
        <f>SUM(L85:M86)</f>
        <v>178801.9217873023</v>
      </c>
      <c r="M87" s="813"/>
      <c r="N87" s="834">
        <f>SUM(N85:O86)</f>
        <v>180433.97222829654</v>
      </c>
      <c r="O87" s="925"/>
      <c r="P87" s="834">
        <f>SUM(P85:Q86)</f>
        <v>181558.0177126613</v>
      </c>
      <c r="Q87" s="813"/>
      <c r="R87" s="75"/>
    </row>
    <row r="88" spans="1:18" ht="16.5" hidden="1" thickBot="1" thickTop="1">
      <c r="A88" s="430" t="s">
        <v>180</v>
      </c>
      <c r="B88" s="431"/>
      <c r="C88" s="431"/>
      <c r="D88" s="432"/>
      <c r="E88" s="432"/>
      <c r="F88" s="433"/>
      <c r="G88" s="433"/>
      <c r="H88" s="433"/>
      <c r="I88" s="433"/>
      <c r="J88" s="433"/>
      <c r="K88" s="433"/>
      <c r="L88" s="433"/>
      <c r="M88" s="213"/>
      <c r="N88" s="213"/>
      <c r="O88" s="213"/>
      <c r="P88" s="213"/>
      <c r="Q88" s="214"/>
      <c r="R88" s="75"/>
    </row>
    <row r="89" spans="1:18" ht="12.75" hidden="1">
      <c r="A89" s="226"/>
      <c r="B89" s="242" t="s">
        <v>96</v>
      </c>
      <c r="C89" s="926" t="s">
        <v>117</v>
      </c>
      <c r="D89" s="926"/>
      <c r="E89" s="227"/>
      <c r="F89" s="877">
        <f>F29*F129*$C$155*0.001</f>
        <v>63021.176470588245</v>
      </c>
      <c r="G89" s="877"/>
      <c r="H89" s="927">
        <f>H29*H129*$C$155*0.001</f>
        <v>81158.82352941176</v>
      </c>
      <c r="I89" s="877"/>
      <c r="J89" s="927">
        <f>J29*J129*$C$155*0.001</f>
        <v>101872.94117647057</v>
      </c>
      <c r="K89" s="877"/>
      <c r="L89" s="927">
        <f>L29*L129*$C$155*0.001</f>
        <v>123882.35294117648</v>
      </c>
      <c r="M89" s="878"/>
      <c r="N89" s="877">
        <f>N29*N129*$C$155*0.001</f>
        <v>136270.58823529413</v>
      </c>
      <c r="O89" s="878"/>
      <c r="P89" s="877">
        <f>P29*P129*$C$155*0.001</f>
        <v>148976.4705882353</v>
      </c>
      <c r="Q89" s="878"/>
      <c r="R89" s="75"/>
    </row>
    <row r="90" spans="1:18" ht="13.5" hidden="1" thickBot="1">
      <c r="A90" s="218"/>
      <c r="B90" s="241" t="s">
        <v>118</v>
      </c>
      <c r="C90" s="952" t="s">
        <v>117</v>
      </c>
      <c r="D90" s="952"/>
      <c r="E90" s="225"/>
      <c r="F90" s="924">
        <f>G31*G130*$C$155*0.001+G32*G130*$C$155*0.001+G33*G130*$C$155*0.001</f>
        <v>131115.55142503098</v>
      </c>
      <c r="G90" s="924"/>
      <c r="H90" s="922">
        <f>I31*I130*$C$155*0.001+I32*I132*$C$155*0.001+I33*I132*$C$155*0.001</f>
        <v>123412.63940520445</v>
      </c>
      <c r="I90" s="924"/>
      <c r="J90" s="922">
        <f>K31*K130*$C$155*0.001+K32*K132*$C$155*0.001+K33*K132*$C$155*0.001</f>
        <v>123124.84510532838</v>
      </c>
      <c r="K90" s="924"/>
      <c r="L90" s="922">
        <f>M31*M130*$C$155*0.001+M32*M132*$C$155*0.001+M33*M132*$C$155*0.001</f>
        <v>139067.53407682775</v>
      </c>
      <c r="M90" s="923"/>
      <c r="N90" s="924">
        <f>O31*O130*$C$155*0.001+O32*O132*$C$155*0.001+O33*O132*$C$155*0.001</f>
        <v>149560.4089219331</v>
      </c>
      <c r="O90" s="923"/>
      <c r="P90" s="924">
        <f>Q31*Q130*$C$155*0.001+Q32*Q132*$C$155*0.001+Q33*Q132*$C$155*0.001</f>
        <v>158573.7298636927</v>
      </c>
      <c r="Q90" s="924"/>
      <c r="R90" s="75"/>
    </row>
    <row r="91" spans="1:18" ht="14.25" hidden="1" thickBot="1" thickTop="1">
      <c r="A91" s="219"/>
      <c r="B91" s="220" t="s">
        <v>146</v>
      </c>
      <c r="C91" s="221" t="s">
        <v>119</v>
      </c>
      <c r="D91" s="222"/>
      <c r="E91" s="223"/>
      <c r="F91" s="834">
        <f>SUM(F89:G90)</f>
        <v>194136.72789561923</v>
      </c>
      <c r="G91" s="834"/>
      <c r="H91" s="812">
        <f>SUM(H89:I90)</f>
        <v>204571.4629346162</v>
      </c>
      <c r="I91" s="834"/>
      <c r="J91" s="812">
        <f>SUM(J89:K90)</f>
        <v>224997.78628179897</v>
      </c>
      <c r="K91" s="834"/>
      <c r="L91" s="812">
        <f>SUM(L89:M90)</f>
        <v>262949.8870180042</v>
      </c>
      <c r="M91" s="813"/>
      <c r="N91" s="834">
        <f>SUM(N89:O90)</f>
        <v>285830.99715722725</v>
      </c>
      <c r="O91" s="925"/>
      <c r="P91" s="833">
        <f>SUM(P89:Q90)</f>
        <v>307550.20045192796</v>
      </c>
      <c r="Q91" s="813"/>
      <c r="R91" s="75"/>
    </row>
    <row r="92" spans="1:18" ht="13.5" hidden="1" thickBot="1">
      <c r="A92" s="75"/>
      <c r="B92" s="212"/>
      <c r="C92" s="212"/>
      <c r="D92" s="76"/>
      <c r="E92" s="76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4"/>
      <c r="R92" s="75"/>
    </row>
    <row r="93" spans="1:18" ht="13.5" hidden="1" thickTop="1">
      <c r="A93" s="217"/>
      <c r="B93" s="240" t="s">
        <v>96</v>
      </c>
      <c r="C93" s="836" t="s">
        <v>117</v>
      </c>
      <c r="D93" s="836"/>
      <c r="E93" s="224"/>
      <c r="F93" s="849">
        <f>F56*F124*$C$155*0.001</f>
        <v>93364.70588235294</v>
      </c>
      <c r="G93" s="849"/>
      <c r="H93" s="846">
        <f>H56*H124*$C$155*0.001</f>
        <v>108211.76470588236</v>
      </c>
      <c r="I93" s="849"/>
      <c r="J93" s="846">
        <f>J56*J124*$C$155*0.001</f>
        <v>123482.35294117648</v>
      </c>
      <c r="K93" s="849"/>
      <c r="L93" s="846">
        <f>L56*L124*$C$155*0.001</f>
        <v>137647.05882352943</v>
      </c>
      <c r="M93" s="921"/>
      <c r="N93" s="849">
        <f>N56*N124*$C$155*0.001</f>
        <v>139764.70588235295</v>
      </c>
      <c r="O93" s="921"/>
      <c r="P93" s="849">
        <f>P56*P124*$C$155*0.001</f>
        <v>141882.35294117648</v>
      </c>
      <c r="Q93" s="921"/>
      <c r="R93" s="75"/>
    </row>
    <row r="94" spans="1:18" ht="13.5" hidden="1" thickBot="1">
      <c r="A94" s="218"/>
      <c r="B94" s="241" t="s">
        <v>118</v>
      </c>
      <c r="C94" s="952" t="s">
        <v>117</v>
      </c>
      <c r="D94" s="952"/>
      <c r="E94" s="225"/>
      <c r="F94" s="924">
        <f>G58*G125*$C$155*0.001+G59*G125*$C$155*0.001+G60*G125*$C$155*0.001</f>
        <v>82606.6232961586</v>
      </c>
      <c r="G94" s="924"/>
      <c r="H94" s="922">
        <f>I58*I125*$C$155*0.001+I59*I127*$C$155*0.001+I60*I127*$C$155*0.001</f>
        <v>62239.15117719951</v>
      </c>
      <c r="I94" s="924"/>
      <c r="J94" s="922">
        <f>K58*K125*$C$155*0.001+K59*K127*$C$155*0.001+K60*K127*$C$155*0.001</f>
        <v>69330.29120198265</v>
      </c>
      <c r="K94" s="924"/>
      <c r="L94" s="922">
        <f>M58*M125*$C$155*0.001+M59*M127*$C$155*0.001+M60*M127*$C$155*0.001</f>
        <v>73084.81412639405</v>
      </c>
      <c r="M94" s="924"/>
      <c r="N94" s="958">
        <f>O58*O125*$C$155*0.001+O59*O127*$C$155*0.001+O60*O127*$C$155*0.001</f>
        <v>69820.25402726146</v>
      </c>
      <c r="O94" s="924"/>
      <c r="P94" s="958">
        <f>Q58*Q125*$C$155*0.001+Q59*Q127*$C$155*0.001+Q60*Q127*$C$155*0.001</f>
        <v>64089.770755886</v>
      </c>
      <c r="Q94" s="924"/>
      <c r="R94" s="75"/>
    </row>
    <row r="95" spans="1:18" ht="14.25" hidden="1" thickBot="1" thickTop="1">
      <c r="A95" s="219"/>
      <c r="B95" s="220" t="s">
        <v>145</v>
      </c>
      <c r="C95" s="221" t="s">
        <v>119</v>
      </c>
      <c r="D95" s="222"/>
      <c r="E95" s="223"/>
      <c r="F95" s="834">
        <f>SUM(F93:G94)</f>
        <v>175971.32917851154</v>
      </c>
      <c r="G95" s="834"/>
      <c r="H95" s="812">
        <f>SUM(H93:I94)</f>
        <v>170450.91588308188</v>
      </c>
      <c r="I95" s="834"/>
      <c r="J95" s="812">
        <f>SUM(J93:K94)</f>
        <v>192812.64414315912</v>
      </c>
      <c r="K95" s="834"/>
      <c r="L95" s="812">
        <f>SUM(L93:M94)</f>
        <v>210731.87294992348</v>
      </c>
      <c r="M95" s="813"/>
      <c r="N95" s="834">
        <f>SUM(N93:O94)</f>
        <v>209584.9599096144</v>
      </c>
      <c r="O95" s="925"/>
      <c r="P95" s="834">
        <f>SUM(P93:Q94)</f>
        <v>205972.1236970625</v>
      </c>
      <c r="Q95" s="813"/>
      <c r="R95" s="75"/>
    </row>
    <row r="96" spans="1:18" ht="15.75" hidden="1" thickBot="1">
      <c r="A96" s="343" t="s">
        <v>181</v>
      </c>
      <c r="B96" s="212"/>
      <c r="C96" s="212"/>
      <c r="D96" s="76"/>
      <c r="E96" s="76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4"/>
      <c r="R96" s="75"/>
    </row>
    <row r="97" spans="1:18" ht="12.75" hidden="1">
      <c r="A97" s="226"/>
      <c r="B97" s="242" t="s">
        <v>96</v>
      </c>
      <c r="C97" s="926" t="s">
        <v>117</v>
      </c>
      <c r="D97" s="926"/>
      <c r="E97" s="227"/>
      <c r="F97" s="877">
        <f>F56*F129*$C$155*0.001</f>
        <v>105035.29411764705</v>
      </c>
      <c r="G97" s="877"/>
      <c r="H97" s="927">
        <f>H56*H129*$C$155*0.001</f>
        <v>135264.70588235295</v>
      </c>
      <c r="I97" s="877"/>
      <c r="J97" s="927">
        <f>J56*J129*$C$155*0.001</f>
        <v>169788.23529411765</v>
      </c>
      <c r="K97" s="877"/>
      <c r="L97" s="927">
        <f>L56*L129*$C$155*0.001</f>
        <v>206470.58823529413</v>
      </c>
      <c r="M97" s="878"/>
      <c r="N97" s="877">
        <f>N56*N129*$C$155*0.001</f>
        <v>227117.64705882352</v>
      </c>
      <c r="O97" s="878"/>
      <c r="P97" s="877">
        <f>P56*P129*$C$155*0.001</f>
        <v>248294.11764705885</v>
      </c>
      <c r="Q97" s="878"/>
      <c r="R97" s="75"/>
    </row>
    <row r="98" spans="1:18" ht="13.5" hidden="1" thickBot="1">
      <c r="A98" s="218"/>
      <c r="B98" s="241" t="s">
        <v>118</v>
      </c>
      <c r="C98" s="952" t="s">
        <v>117</v>
      </c>
      <c r="D98" s="952"/>
      <c r="E98" s="225"/>
      <c r="F98" s="924">
        <f>G58*G130*$C$155*0.001+G59*G130*$C$155*0.001+G60*G130*$C$155*0.001</f>
        <v>96696.71623296158</v>
      </c>
      <c r="G98" s="924"/>
      <c r="H98" s="922">
        <f>I58*I130*$C$155*0.001+I59*I132*$C$155*0.001+I60*I132*$C$155*0.001</f>
        <v>77821.56133828996</v>
      </c>
      <c r="I98" s="924"/>
      <c r="J98" s="922">
        <f>K58*K130*$C$155*0.001+K59*K132*$C$155*0.001+K60*K132*$C$155*0.001</f>
        <v>94956.31970260222</v>
      </c>
      <c r="K98" s="924"/>
      <c r="L98" s="922">
        <f>M58*M130*$C$155*0.001+M59*M132*$C$155*0.001+M60*M132*$C$155*0.001</f>
        <v>107221.18959107806</v>
      </c>
      <c r="M98" s="924"/>
      <c r="N98" s="958">
        <f>O58*O130*$C$155*0.001+O59*O132*$C$155*0.001+O60*O132*$C$155*0.001</f>
        <v>107627.32342007436</v>
      </c>
      <c r="O98" s="924"/>
      <c r="P98" s="958">
        <f>Q58*Q130*$C$155*0.001+Q59*Q132*$C$155*0.001+Q60*Q132*$C$155*0.001</f>
        <v>99916.97645600991</v>
      </c>
      <c r="Q98" s="924"/>
      <c r="R98" s="75"/>
    </row>
    <row r="99" spans="1:18" ht="14.25" hidden="1" thickBot="1" thickTop="1">
      <c r="A99" s="219"/>
      <c r="B99" s="220" t="s">
        <v>146</v>
      </c>
      <c r="C99" s="221" t="s">
        <v>119</v>
      </c>
      <c r="D99" s="222"/>
      <c r="E99" s="223"/>
      <c r="F99" s="834">
        <f>SUM(F97:G98)</f>
        <v>201732.01035060862</v>
      </c>
      <c r="G99" s="834"/>
      <c r="H99" s="812">
        <f>SUM(H97:I98)</f>
        <v>213086.2672206429</v>
      </c>
      <c r="I99" s="834"/>
      <c r="J99" s="812">
        <f>SUM(J97:K98)</f>
        <v>264744.5549967199</v>
      </c>
      <c r="K99" s="834"/>
      <c r="L99" s="812">
        <f>SUM(L97:M98)</f>
        <v>313691.7778263722</v>
      </c>
      <c r="M99" s="813"/>
      <c r="N99" s="834">
        <f>SUM(N97:O98)</f>
        <v>334744.9704788979</v>
      </c>
      <c r="O99" s="925"/>
      <c r="P99" s="833">
        <f>SUM(P97:Q98)</f>
        <v>348211.09410306875</v>
      </c>
      <c r="Q99" s="813"/>
      <c r="R99" s="75"/>
    </row>
    <row r="100" spans="1:18" ht="13.5" hidden="1" thickBot="1">
      <c r="A100" s="75"/>
      <c r="B100" s="212"/>
      <c r="C100" s="212"/>
      <c r="D100" s="76"/>
      <c r="E100" s="76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4"/>
      <c r="R100" s="75"/>
    </row>
    <row r="101" spans="1:18" ht="14.25" hidden="1" thickBot="1" thickTop="1">
      <c r="A101" s="338" t="s">
        <v>169</v>
      </c>
      <c r="B101" s="941" t="s">
        <v>96</v>
      </c>
      <c r="C101" s="836" t="s">
        <v>147</v>
      </c>
      <c r="D101" s="837"/>
      <c r="E101" s="237">
        <f>(E102*7.3*E103)*$C$155</f>
        <v>10800.521024399999</v>
      </c>
      <c r="F101" s="928">
        <f>F118*$E$101*0.001</f>
        <v>0</v>
      </c>
      <c r="G101" s="929"/>
      <c r="H101" s="930">
        <f>H118*$E$101*0.001</f>
        <v>240533.95646104918</v>
      </c>
      <c r="I101" s="929"/>
      <c r="J101" s="930">
        <f>J118*$E$101*0.001</f>
        <v>247395.46393537408</v>
      </c>
      <c r="K101" s="929"/>
      <c r="L101" s="930">
        <f>L118*$E$101*0.001</f>
        <v>229479.3055301931</v>
      </c>
      <c r="M101" s="931"/>
      <c r="N101" s="849">
        <f>N118*$E$101*0.001</f>
        <v>34307.5373716236</v>
      </c>
      <c r="O101" s="921"/>
      <c r="P101" s="849">
        <f>P118*$E$101*0.001</f>
        <v>34307.537371623286</v>
      </c>
      <c r="Q101" s="847"/>
      <c r="R101" s="75"/>
    </row>
    <row r="102" spans="1:18" ht="14.25" hidden="1" thickBot="1" thickTop="1">
      <c r="A102" s="422" t="s">
        <v>215</v>
      </c>
      <c r="B102" s="869"/>
      <c r="C102" s="943" t="s">
        <v>150</v>
      </c>
      <c r="D102" s="944"/>
      <c r="E102" s="299">
        <v>48.474</v>
      </c>
      <c r="F102" s="858">
        <f>F118*$E$101*0.001+(F80*$E$101+200)*0.001</f>
        <v>1111320.1938028373</v>
      </c>
      <c r="G102" s="862"/>
      <c r="H102" s="862">
        <f>H118*$E$101*0.001+(H80*$E$101+200)*0.001</f>
        <v>917213.6084436703</v>
      </c>
      <c r="I102" s="862"/>
      <c r="J102" s="862">
        <f>J118*$E$101*0.001+(J80*$E$101+200)*0.001</f>
        <v>943378.1747701144</v>
      </c>
      <c r="K102" s="862"/>
      <c r="L102" s="862">
        <f>L118*$E$101*0.001+(L80*$E$101+200)*0.001</f>
        <v>875059.5849177334</v>
      </c>
      <c r="M102" s="861"/>
      <c r="N102" s="858">
        <f>N118*$E$101*0.001+(N80*$E$101+200)*0.001</f>
        <v>130823.03163221935</v>
      </c>
      <c r="O102" s="859"/>
      <c r="P102" s="860">
        <f>P118*$E$101*0.001+(P80*$E$101+200)*0.001</f>
        <v>130823.03163221903</v>
      </c>
      <c r="Q102" s="861"/>
      <c r="R102" s="75"/>
    </row>
    <row r="103" spans="1:18" ht="14.25" hidden="1" thickBot="1" thickTop="1">
      <c r="A103" s="422" t="s">
        <v>216</v>
      </c>
      <c r="B103" s="869"/>
      <c r="C103" s="945"/>
      <c r="D103" s="946"/>
      <c r="E103" s="235">
        <v>30.522</v>
      </c>
      <c r="F103" s="858">
        <f>F119*$E$101*0.001+(F82*$E$101+200)*0.001</f>
        <v>847827.7585953109</v>
      </c>
      <c r="G103" s="862"/>
      <c r="H103" s="862">
        <f>H119*$E$101*0.001+(H82*$E$101+200)*0.001</f>
        <v>884232.5931369548</v>
      </c>
      <c r="I103" s="862"/>
      <c r="J103" s="862">
        <f>J119*$E$101*0.001+(J82*$E$101+200)*0.001</f>
        <v>909456.338107581</v>
      </c>
      <c r="K103" s="862"/>
      <c r="L103" s="862">
        <f>L119*$E$101*0.001+(L82*$E$101+200)*0.001</f>
        <v>843594.3373509457</v>
      </c>
      <c r="M103" s="861"/>
      <c r="N103" s="858">
        <f>N119*$E$101*0.001+(N82*$E$101+200)*0.001</f>
        <v>126118.92485313112</v>
      </c>
      <c r="O103" s="859"/>
      <c r="P103" s="860">
        <f>P119*$E$101*0.001+(P82*$E$101+200)*0.001</f>
        <v>126118.92485313174</v>
      </c>
      <c r="Q103" s="861"/>
      <c r="R103" s="75"/>
    </row>
    <row r="104" spans="1:18" ht="14.25" hidden="1" thickBot="1" thickTop="1">
      <c r="A104" s="340" t="s">
        <v>170</v>
      </c>
      <c r="B104" s="942"/>
      <c r="C104" s="947"/>
      <c r="D104" s="948"/>
      <c r="E104" s="300"/>
      <c r="F104" s="949">
        <f>F119*$E$101*0.001</f>
        <v>847827.5585953109</v>
      </c>
      <c r="G104" s="949"/>
      <c r="H104" s="950">
        <f>H119*$E$101*0.001</f>
        <v>400889.92743508256</v>
      </c>
      <c r="I104" s="949"/>
      <c r="J104" s="950">
        <f>J119*$E$101*0.001</f>
        <v>412325.77322562353</v>
      </c>
      <c r="K104" s="949"/>
      <c r="L104" s="950">
        <f>L119*$E$101*0.001</f>
        <v>382465.50921698817</v>
      </c>
      <c r="M104" s="951"/>
      <c r="N104" s="949">
        <f>N119*$E$101*0.001</f>
        <v>57179.228952705584</v>
      </c>
      <c r="O104" s="951"/>
      <c r="P104" s="949">
        <f>P119*$E$101*0.001</f>
        <v>57179.22895270621</v>
      </c>
      <c r="Q104" s="951"/>
      <c r="R104" s="75"/>
    </row>
    <row r="105" spans="1:18" ht="13.5" hidden="1" thickBot="1">
      <c r="A105" s="75"/>
      <c r="B105" s="228"/>
      <c r="C105" s="229"/>
      <c r="D105" s="229"/>
      <c r="E105" s="230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2"/>
      <c r="R105" s="75"/>
    </row>
    <row r="106" spans="1:18" ht="14.25" hidden="1" thickBot="1" thickTop="1">
      <c r="A106" s="338" t="s">
        <v>169</v>
      </c>
      <c r="B106" s="868" t="s">
        <v>118</v>
      </c>
      <c r="C106" s="866"/>
      <c r="D106" s="867"/>
      <c r="E106" s="230"/>
      <c r="F106" s="875">
        <f>G120*$E$107*0.001</f>
        <v>987672.9815468817</v>
      </c>
      <c r="G106" s="864"/>
      <c r="H106" s="863">
        <f>I120*$E$107*0.001</f>
        <v>601391.15251962</v>
      </c>
      <c r="I106" s="864"/>
      <c r="J106" s="863">
        <f>K120*$E$107*0.001</f>
        <v>618546.5261255681</v>
      </c>
      <c r="K106" s="864"/>
      <c r="L106" s="863">
        <f>M120*$E$107*0.001</f>
        <v>573751.939487815</v>
      </c>
      <c r="M106" s="864"/>
      <c r="N106" s="863">
        <f>O120*$E$107*0.001</f>
        <v>85776.86802973978</v>
      </c>
      <c r="O106" s="864"/>
      <c r="P106" s="863">
        <f>Q120*$E$107*0.001</f>
        <v>85776.86802973978</v>
      </c>
      <c r="Q106" s="865"/>
      <c r="R106" s="75"/>
    </row>
    <row r="107" spans="1:18" ht="16.5" customHeight="1" hidden="1" thickBot="1" thickTop="1">
      <c r="A107" s="338"/>
      <c r="B107" s="869"/>
      <c r="C107" s="870" t="s">
        <v>148</v>
      </c>
      <c r="D107" s="871"/>
      <c r="E107" s="336">
        <f>(E109*0.4255+E111*0.539+(E113/0.9)*0.0355)*$C$155</f>
        <v>10987.608333333335</v>
      </c>
      <c r="F107" s="864">
        <f>G120*$E$107*0.001</f>
        <v>987672.9815468817</v>
      </c>
      <c r="G107" s="872"/>
      <c r="H107" s="857">
        <f>I120*$E$107*0.001</f>
        <v>601391.15251962</v>
      </c>
      <c r="I107" s="873"/>
      <c r="J107" s="857">
        <f>K120*$E$107*0.001</f>
        <v>618546.5261255681</v>
      </c>
      <c r="K107" s="873"/>
      <c r="L107" s="857">
        <f>M120*$E$107*0.001</f>
        <v>573751.939487815</v>
      </c>
      <c r="M107" s="874"/>
      <c r="N107" s="877">
        <f>O120*$E$107*0.001</f>
        <v>85776.86802973978</v>
      </c>
      <c r="O107" s="878"/>
      <c r="P107" s="877">
        <f>Q120*$E$107*0.001</f>
        <v>85776.86802973978</v>
      </c>
      <c r="Q107" s="874"/>
      <c r="R107" s="75"/>
    </row>
    <row r="108" spans="1:18" ht="13.5" hidden="1" thickBot="1">
      <c r="A108" s="339" t="s">
        <v>170</v>
      </c>
      <c r="B108" s="869"/>
      <c r="C108" s="966" t="s">
        <v>147</v>
      </c>
      <c r="D108" s="967"/>
      <c r="E108" s="335">
        <f>(E110*0.4255+E112*0.539+E114*0.0355)*$C$155</f>
        <v>13472.01568627451</v>
      </c>
      <c r="F108" s="855">
        <f>G121*$E$107*0.001</f>
        <v>0</v>
      </c>
      <c r="G108" s="855"/>
      <c r="H108" s="856">
        <f>I121*$E$107*0.001</f>
        <v>429565.1089425857</v>
      </c>
      <c r="I108" s="857"/>
      <c r="J108" s="856">
        <f>K121*$E$107*0.001</f>
        <v>441818.9472325486</v>
      </c>
      <c r="K108" s="857"/>
      <c r="L108" s="856">
        <f>M121*$E$107*0.001</f>
        <v>409822.81391986785</v>
      </c>
      <c r="M108" s="874"/>
      <c r="N108" s="877">
        <f>O121*$E$107*0.001</f>
        <v>61269.191449814134</v>
      </c>
      <c r="O108" s="878"/>
      <c r="P108" s="877">
        <f>Q121*$E$107*0.001</f>
        <v>61269.191449814134</v>
      </c>
      <c r="Q108" s="874"/>
      <c r="R108" s="75"/>
    </row>
    <row r="109" spans="1:18" ht="13.5" customHeight="1" hidden="1" thickTop="1">
      <c r="A109" s="218"/>
      <c r="B109" s="869"/>
      <c r="C109" s="945" t="s">
        <v>151</v>
      </c>
      <c r="D109" s="946"/>
      <c r="E109" s="259">
        <v>9250</v>
      </c>
      <c r="F109" s="260"/>
      <c r="G109" s="260"/>
      <c r="H109" s="381"/>
      <c r="I109" s="260"/>
      <c r="J109" s="381"/>
      <c r="K109" s="260"/>
      <c r="L109" s="381"/>
      <c r="M109" s="105"/>
      <c r="N109" s="211"/>
      <c r="O109" s="234"/>
      <c r="P109" s="211"/>
      <c r="Q109" s="105"/>
      <c r="R109" s="75"/>
    </row>
    <row r="110" spans="1:18" ht="12.75" hidden="1">
      <c r="A110" s="218"/>
      <c r="B110" s="869"/>
      <c r="C110" s="945"/>
      <c r="D110" s="946"/>
      <c r="E110" s="236">
        <f>E109/0.75</f>
        <v>12333.333333333334</v>
      </c>
      <c r="F110" s="261"/>
      <c r="G110" s="261"/>
      <c r="H110" s="382"/>
      <c r="I110" s="261"/>
      <c r="J110" s="382"/>
      <c r="K110" s="261"/>
      <c r="L110" s="382"/>
      <c r="M110" s="105"/>
      <c r="N110" s="211"/>
      <c r="O110" s="234"/>
      <c r="P110" s="211"/>
      <c r="Q110" s="105"/>
      <c r="R110" s="75"/>
    </row>
    <row r="111" spans="1:18" ht="12.75" customHeight="1" hidden="1">
      <c r="A111" s="218"/>
      <c r="B111" s="869"/>
      <c r="C111" s="945"/>
      <c r="D111" s="946"/>
      <c r="E111" s="236">
        <v>12600</v>
      </c>
      <c r="F111" s="261"/>
      <c r="G111" s="261"/>
      <c r="H111" s="382"/>
      <c r="I111" s="261"/>
      <c r="J111" s="382"/>
      <c r="K111" s="261"/>
      <c r="L111" s="382"/>
      <c r="M111" s="105"/>
      <c r="N111" s="211"/>
      <c r="O111" s="234"/>
      <c r="P111" s="211"/>
      <c r="Q111" s="105"/>
      <c r="R111" s="75"/>
    </row>
    <row r="112" spans="1:18" ht="12.75" hidden="1">
      <c r="A112" s="218"/>
      <c r="B112" s="869"/>
      <c r="C112" s="945"/>
      <c r="D112" s="946"/>
      <c r="E112" s="236">
        <f>E111/0.85</f>
        <v>14823.529411764706</v>
      </c>
      <c r="F112" s="261"/>
      <c r="G112" s="261"/>
      <c r="H112" s="382"/>
      <c r="I112" s="261"/>
      <c r="J112" s="382"/>
      <c r="K112" s="261"/>
      <c r="L112" s="382"/>
      <c r="M112" s="105"/>
      <c r="N112" s="211"/>
      <c r="O112" s="234"/>
      <c r="P112" s="211"/>
      <c r="Q112" s="105"/>
      <c r="R112" s="75"/>
    </row>
    <row r="113" spans="1:18" ht="12.75" customHeight="1" hidden="1">
      <c r="A113" s="218"/>
      <c r="B113" s="869"/>
      <c r="C113" s="959"/>
      <c r="D113" s="960"/>
      <c r="E113" s="236">
        <v>6600</v>
      </c>
      <c r="F113" s="261"/>
      <c r="G113" s="261"/>
      <c r="H113" s="382"/>
      <c r="I113" s="261"/>
      <c r="J113" s="382"/>
      <c r="K113" s="261"/>
      <c r="L113" s="382"/>
      <c r="M113" s="105"/>
      <c r="N113" s="211"/>
      <c r="O113" s="234"/>
      <c r="P113" s="211"/>
      <c r="Q113" s="105"/>
      <c r="R113" s="75"/>
    </row>
    <row r="114" spans="1:18" ht="13.5" hidden="1" thickBot="1">
      <c r="A114" s="218"/>
      <c r="B114" s="826"/>
      <c r="C114" s="961"/>
      <c r="D114" s="962"/>
      <c r="E114" s="258">
        <f>E113</f>
        <v>6600</v>
      </c>
      <c r="F114" s="211"/>
      <c r="G114" s="211"/>
      <c r="H114" s="380"/>
      <c r="I114" s="211"/>
      <c r="J114" s="380"/>
      <c r="K114" s="211"/>
      <c r="L114" s="380"/>
      <c r="M114" s="105"/>
      <c r="N114" s="211"/>
      <c r="O114" s="234"/>
      <c r="P114" s="211"/>
      <c r="Q114" s="105"/>
      <c r="R114" s="75"/>
    </row>
    <row r="115" spans="1:18" ht="14.25" hidden="1" thickBot="1" thickTop="1">
      <c r="A115" s="218"/>
      <c r="B115" s="334" t="s">
        <v>174</v>
      </c>
      <c r="C115" s="238" t="s">
        <v>119</v>
      </c>
      <c r="D115" s="239"/>
      <c r="E115" s="239"/>
      <c r="F115" s="879">
        <f>F101+F106</f>
        <v>987672.9815468817</v>
      </c>
      <c r="G115" s="879"/>
      <c r="H115" s="881">
        <f>H101+H106</f>
        <v>841925.1089806692</v>
      </c>
      <c r="I115" s="879"/>
      <c r="J115" s="881">
        <f>J101+J106</f>
        <v>865941.9900609421</v>
      </c>
      <c r="K115" s="879"/>
      <c r="L115" s="881">
        <f>L101+L106</f>
        <v>803231.2450180082</v>
      </c>
      <c r="M115" s="932"/>
      <c r="N115" s="879">
        <f>N101+N107</f>
        <v>120084.40540136339</v>
      </c>
      <c r="O115" s="880"/>
      <c r="P115" s="879">
        <f>P101+P107</f>
        <v>120084.40540136307</v>
      </c>
      <c r="Q115" s="932"/>
      <c r="R115" s="75"/>
    </row>
    <row r="116" spans="1:18" ht="14.25" hidden="1" thickBot="1" thickTop="1">
      <c r="A116" s="233"/>
      <c r="B116" s="334" t="s">
        <v>175</v>
      </c>
      <c r="C116" s="238" t="s">
        <v>119</v>
      </c>
      <c r="D116" s="239"/>
      <c r="E116" s="239"/>
      <c r="F116" s="879">
        <f>F104+F108</f>
        <v>847827.5585953109</v>
      </c>
      <c r="G116" s="879"/>
      <c r="H116" s="881">
        <f>H104+H108</f>
        <v>830455.0363776683</v>
      </c>
      <c r="I116" s="879"/>
      <c r="J116" s="881">
        <f>J104+J108</f>
        <v>854144.7204581721</v>
      </c>
      <c r="K116" s="879"/>
      <c r="L116" s="881">
        <f>L104+L108</f>
        <v>792288.3231368561</v>
      </c>
      <c r="M116" s="932"/>
      <c r="N116" s="879">
        <f>N104+N108</f>
        <v>118448.42040251973</v>
      </c>
      <c r="O116" s="880"/>
      <c r="P116" s="879">
        <f>P104+P108</f>
        <v>118448.42040252034</v>
      </c>
      <c r="Q116" s="932"/>
      <c r="R116" s="75"/>
    </row>
    <row r="117" spans="1:18" ht="14.25" hidden="1" thickBot="1" thickTop="1">
      <c r="A117" s="75"/>
      <c r="B117" s="76"/>
      <c r="C117" s="212"/>
      <c r="D117" s="76"/>
      <c r="E117" s="76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4"/>
      <c r="R117" s="75"/>
    </row>
    <row r="118" spans="1:18" ht="13.5" hidden="1" thickTop="1">
      <c r="A118" s="217"/>
      <c r="B118" s="253" t="s">
        <v>96</v>
      </c>
      <c r="C118" s="933" t="s">
        <v>149</v>
      </c>
      <c r="D118" s="934"/>
      <c r="E118" s="251" t="s">
        <v>169</v>
      </c>
      <c r="F118" s="315">
        <f>F29-F29</f>
        <v>0</v>
      </c>
      <c r="G118" s="374">
        <f>F29-F29</f>
        <v>0</v>
      </c>
      <c r="H118" s="383">
        <f aca="true" t="shared" si="12" ref="H118:Q118">H75</f>
        <v>22270.588235294097</v>
      </c>
      <c r="I118" s="374">
        <f t="shared" si="12"/>
        <v>25746.344780686817</v>
      </c>
      <c r="J118" s="383">
        <f t="shared" si="12"/>
        <v>22905.882352941175</v>
      </c>
      <c r="K118" s="374">
        <f t="shared" si="12"/>
        <v>26480.788847330838</v>
      </c>
      <c r="L118" s="383">
        <f t="shared" si="12"/>
        <v>21247.058823529427</v>
      </c>
      <c r="M118" s="306">
        <f t="shared" si="12"/>
        <v>24563.073784427084</v>
      </c>
      <c r="N118" s="313">
        <f t="shared" si="12"/>
        <v>3176.470588235301</v>
      </c>
      <c r="O118" s="306">
        <f t="shared" si="12"/>
        <v>3672.220333220001</v>
      </c>
      <c r="P118" s="313">
        <f t="shared" si="12"/>
        <v>3176.470588235272</v>
      </c>
      <c r="Q118" s="306">
        <f t="shared" si="12"/>
        <v>3672.2203332199674</v>
      </c>
      <c r="R118" s="75"/>
    </row>
    <row r="119" spans="1:18" ht="12.75" hidden="1">
      <c r="A119" s="218"/>
      <c r="B119" s="307" t="s">
        <v>96</v>
      </c>
      <c r="C119" s="876" t="s">
        <v>149</v>
      </c>
      <c r="D119" s="828"/>
      <c r="E119" s="308" t="s">
        <v>170</v>
      </c>
      <c r="F119" s="316">
        <f aca="true" t="shared" si="13" ref="F119:Q119">F77</f>
        <v>78498.76470588235</v>
      </c>
      <c r="G119" s="375">
        <f t="shared" si="13"/>
        <v>90750.01700102005</v>
      </c>
      <c r="H119" s="384">
        <f t="shared" si="13"/>
        <v>37117.64705882355</v>
      </c>
      <c r="I119" s="375">
        <f t="shared" si="13"/>
        <v>42910.5746344781</v>
      </c>
      <c r="J119" s="384">
        <f t="shared" si="13"/>
        <v>38176.4705882353</v>
      </c>
      <c r="K119" s="375">
        <f t="shared" si="13"/>
        <v>44134.64807888474</v>
      </c>
      <c r="L119" s="384">
        <f t="shared" si="13"/>
        <v>35411.76470588235</v>
      </c>
      <c r="M119" s="309">
        <f t="shared" si="13"/>
        <v>40938.45630737844</v>
      </c>
      <c r="N119" s="316">
        <f t="shared" si="13"/>
        <v>5294.117647058796</v>
      </c>
      <c r="O119" s="309">
        <f t="shared" si="13"/>
        <v>6120.36722203329</v>
      </c>
      <c r="P119" s="316">
        <f t="shared" si="13"/>
        <v>5294.117647058854</v>
      </c>
      <c r="Q119" s="309">
        <f t="shared" si="13"/>
        <v>6120.367222033357</v>
      </c>
      <c r="R119" s="75"/>
    </row>
    <row r="120" spans="1:18" ht="12.75" hidden="1">
      <c r="A120" s="218"/>
      <c r="B120" s="301" t="s">
        <v>118</v>
      </c>
      <c r="C120" s="838" t="s">
        <v>149</v>
      </c>
      <c r="D120" s="840"/>
      <c r="E120" s="302" t="s">
        <v>169</v>
      </c>
      <c r="F120" s="317">
        <f aca="true" t="shared" si="14" ref="F120:Q120">F76</f>
        <v>72541</v>
      </c>
      <c r="G120" s="376">
        <f t="shared" si="14"/>
        <v>89889.71499380421</v>
      </c>
      <c r="H120" s="385">
        <f t="shared" si="14"/>
        <v>44170</v>
      </c>
      <c r="I120" s="376">
        <f t="shared" si="14"/>
        <v>54733.581164807925</v>
      </c>
      <c r="J120" s="385">
        <f t="shared" si="14"/>
        <v>45430</v>
      </c>
      <c r="K120" s="376">
        <f t="shared" si="14"/>
        <v>56294.91945477075</v>
      </c>
      <c r="L120" s="385">
        <f t="shared" si="14"/>
        <v>42140</v>
      </c>
      <c r="M120" s="303">
        <f t="shared" si="14"/>
        <v>52218.0916976456</v>
      </c>
      <c r="N120" s="317">
        <f t="shared" si="14"/>
        <v>6300</v>
      </c>
      <c r="O120" s="303">
        <f t="shared" si="14"/>
        <v>7806.691449814126</v>
      </c>
      <c r="P120" s="317">
        <f t="shared" si="14"/>
        <v>6300</v>
      </c>
      <c r="Q120" s="303">
        <f t="shared" si="14"/>
        <v>7806.691449814126</v>
      </c>
      <c r="R120" s="75"/>
    </row>
    <row r="121" spans="1:18" ht="13.5" hidden="1" thickBot="1">
      <c r="A121" s="233"/>
      <c r="B121" s="304" t="s">
        <v>118</v>
      </c>
      <c r="C121" s="853" t="s">
        <v>149</v>
      </c>
      <c r="D121" s="854"/>
      <c r="E121" s="255" t="s">
        <v>170</v>
      </c>
      <c r="F121" s="318">
        <f>F78-F78</f>
        <v>0</v>
      </c>
      <c r="G121" s="377">
        <f>F78-F78</f>
        <v>0</v>
      </c>
      <c r="H121" s="386">
        <f aca="true" t="shared" si="15" ref="H121:Q121">H78</f>
        <v>31550</v>
      </c>
      <c r="I121" s="379">
        <f t="shared" si="15"/>
        <v>39095.415117719946</v>
      </c>
      <c r="J121" s="386">
        <f t="shared" si="15"/>
        <v>32450</v>
      </c>
      <c r="K121" s="379">
        <f t="shared" si="15"/>
        <v>40210.65675340768</v>
      </c>
      <c r="L121" s="386">
        <f t="shared" si="15"/>
        <v>30100</v>
      </c>
      <c r="M121" s="305">
        <f t="shared" si="15"/>
        <v>37298.63692688971</v>
      </c>
      <c r="N121" s="314">
        <f t="shared" si="15"/>
        <v>4500</v>
      </c>
      <c r="O121" s="305">
        <f t="shared" si="15"/>
        <v>5576.208178438661</v>
      </c>
      <c r="P121" s="314">
        <f t="shared" si="15"/>
        <v>4500</v>
      </c>
      <c r="Q121" s="305">
        <f t="shared" si="15"/>
        <v>5576.208178438661</v>
      </c>
      <c r="R121" s="75"/>
    </row>
    <row r="122" spans="1:18" ht="13.5" hidden="1" thickTop="1">
      <c r="A122" s="75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201"/>
      <c r="M122" s="201"/>
      <c r="N122" s="201"/>
      <c r="O122" s="76"/>
      <c r="P122" s="76"/>
      <c r="Q122" s="215"/>
      <c r="R122" s="75"/>
    </row>
    <row r="123" spans="1:18" ht="13.5" hidden="1" thickBot="1">
      <c r="A123" s="75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320"/>
      <c r="N123" s="320"/>
      <c r="O123" s="76"/>
      <c r="P123" s="76"/>
      <c r="Q123" s="215"/>
      <c r="R123" s="75"/>
    </row>
    <row r="124" spans="1:18" ht="12.75" hidden="1">
      <c r="A124" s="979" t="s">
        <v>145</v>
      </c>
      <c r="B124" s="935" t="s">
        <v>143</v>
      </c>
      <c r="C124" s="926"/>
      <c r="D124" s="926"/>
      <c r="E124" s="936"/>
      <c r="F124" s="319">
        <v>400</v>
      </c>
      <c r="G124" s="243">
        <f>F124*0.865</f>
        <v>346</v>
      </c>
      <c r="H124" s="387">
        <v>400</v>
      </c>
      <c r="I124" s="243">
        <f>H124*0.865</f>
        <v>346</v>
      </c>
      <c r="J124" s="423">
        <v>400</v>
      </c>
      <c r="K124" s="424">
        <f>J124*0.865</f>
        <v>346</v>
      </c>
      <c r="L124" s="423">
        <v>400</v>
      </c>
      <c r="M124" s="227">
        <f>L124*0.865</f>
        <v>346</v>
      </c>
      <c r="N124" s="319">
        <v>400</v>
      </c>
      <c r="O124" s="243">
        <f>N124*0.865</f>
        <v>346</v>
      </c>
      <c r="P124" s="321">
        <v>400</v>
      </c>
      <c r="Q124" s="227">
        <f>P124*0.865</f>
        <v>346</v>
      </c>
      <c r="R124" s="75"/>
    </row>
    <row r="125" spans="1:18" ht="12.75" hidden="1">
      <c r="A125" s="980"/>
      <c r="B125" s="843" t="s">
        <v>190</v>
      </c>
      <c r="C125" s="844"/>
      <c r="D125" s="844"/>
      <c r="E125" s="845"/>
      <c r="F125" s="391">
        <f>G125/0.807</f>
        <v>370.5080545229244</v>
      </c>
      <c r="G125" s="392">
        <v>299</v>
      </c>
      <c r="H125" s="393">
        <f>I125/0.807</f>
        <v>370.5080545229244</v>
      </c>
      <c r="I125" s="392">
        <v>299</v>
      </c>
      <c r="J125" s="393">
        <f>K125/0.807</f>
        <v>370.5080545229244</v>
      </c>
      <c r="K125" s="392">
        <v>299</v>
      </c>
      <c r="L125" s="393">
        <f>M125/0.807</f>
        <v>370.5080545229244</v>
      </c>
      <c r="M125" s="394">
        <v>299</v>
      </c>
      <c r="N125" s="391">
        <f>O125/0.807</f>
        <v>370.5080545229244</v>
      </c>
      <c r="O125" s="392">
        <v>299</v>
      </c>
      <c r="P125" s="395">
        <f>Q125/0.807</f>
        <v>370.5080545229244</v>
      </c>
      <c r="Q125" s="394">
        <v>299</v>
      </c>
      <c r="R125" s="75"/>
    </row>
    <row r="126" spans="1:18" ht="12.75" hidden="1">
      <c r="A126" s="981"/>
      <c r="B126" s="843" t="s">
        <v>191</v>
      </c>
      <c r="C126" s="844"/>
      <c r="D126" s="844"/>
      <c r="E126" s="845"/>
      <c r="F126" s="391">
        <f>G126/0.807</f>
        <v>0</v>
      </c>
      <c r="G126" s="392">
        <v>0</v>
      </c>
      <c r="H126" s="393">
        <f>I126/0.807</f>
        <v>0</v>
      </c>
      <c r="I126" s="392">
        <v>0</v>
      </c>
      <c r="J126" s="393">
        <f>K126/0.807</f>
        <v>1263.9405204460966</v>
      </c>
      <c r="K126" s="392">
        <v>1020</v>
      </c>
      <c r="L126" s="393">
        <f>M126/0.807</f>
        <v>1263.9405204460966</v>
      </c>
      <c r="M126" s="394">
        <v>1020</v>
      </c>
      <c r="N126" s="391">
        <f>O126/0.807</f>
        <v>1263.9405204460966</v>
      </c>
      <c r="O126" s="392">
        <v>1020</v>
      </c>
      <c r="P126" s="395">
        <f>Q126/0.807</f>
        <v>1263.9405204460966</v>
      </c>
      <c r="Q126" s="394">
        <v>1020</v>
      </c>
      <c r="R126" s="75"/>
    </row>
    <row r="127" spans="1:18" ht="13.5" hidden="1" thickBot="1">
      <c r="A127" s="982"/>
      <c r="B127" s="976" t="s">
        <v>192</v>
      </c>
      <c r="C127" s="977"/>
      <c r="D127" s="977"/>
      <c r="E127" s="978"/>
      <c r="F127" s="341">
        <f>G127/0.807</f>
        <v>123.91573729863691</v>
      </c>
      <c r="G127" s="244">
        <v>100</v>
      </c>
      <c r="H127" s="388">
        <f>I127/0.807</f>
        <v>123.91573729863691</v>
      </c>
      <c r="I127" s="244">
        <v>100</v>
      </c>
      <c r="J127" s="388">
        <f>K127/0.807</f>
        <v>123.91573729863691</v>
      </c>
      <c r="K127" s="244">
        <v>100</v>
      </c>
      <c r="L127" s="425">
        <f>M127/0.807</f>
        <v>123.91573729863691</v>
      </c>
      <c r="M127" s="245">
        <v>100</v>
      </c>
      <c r="N127" s="341">
        <f>O127/0.807</f>
        <v>123.91573729863691</v>
      </c>
      <c r="O127" s="244">
        <v>100</v>
      </c>
      <c r="P127" s="396">
        <f>Q127/0.807</f>
        <v>123.91573729863691</v>
      </c>
      <c r="Q127" s="245">
        <v>100</v>
      </c>
      <c r="R127" s="75"/>
    </row>
    <row r="128" spans="1:18" ht="13.5" hidden="1" thickBot="1">
      <c r="A128" s="75"/>
      <c r="B128" s="216"/>
      <c r="C128" s="216"/>
      <c r="D128" s="216"/>
      <c r="E128" s="216"/>
      <c r="F128" s="76"/>
      <c r="G128" s="76"/>
      <c r="H128" s="76"/>
      <c r="I128" s="76"/>
      <c r="J128" s="76"/>
      <c r="K128" s="76"/>
      <c r="L128" s="320"/>
      <c r="M128" s="228"/>
      <c r="N128" s="228"/>
      <c r="O128" s="76"/>
      <c r="P128" s="76"/>
      <c r="Q128" s="215"/>
      <c r="R128" s="75"/>
    </row>
    <row r="129" spans="1:18" ht="12.75" hidden="1">
      <c r="A129" s="979" t="s">
        <v>146</v>
      </c>
      <c r="B129" s="935" t="s">
        <v>143</v>
      </c>
      <c r="C129" s="926"/>
      <c r="D129" s="926"/>
      <c r="E129" s="936"/>
      <c r="F129" s="319">
        <v>450</v>
      </c>
      <c r="G129" s="378">
        <f>F129*0.865</f>
        <v>389.25</v>
      </c>
      <c r="H129" s="387">
        <v>500</v>
      </c>
      <c r="I129" s="378">
        <f>H129*0.865</f>
        <v>432.5</v>
      </c>
      <c r="J129" s="387">
        <v>550</v>
      </c>
      <c r="K129" s="378">
        <f>J129*0.865</f>
        <v>475.75</v>
      </c>
      <c r="L129" s="387">
        <v>600</v>
      </c>
      <c r="M129" s="342">
        <f>L129*0.865</f>
        <v>519</v>
      </c>
      <c r="N129" s="319">
        <v>650</v>
      </c>
      <c r="O129" s="378">
        <f>N129*0.865</f>
        <v>562.25</v>
      </c>
      <c r="P129" s="321">
        <v>700</v>
      </c>
      <c r="Q129" s="342">
        <f>P129*0.865</f>
        <v>605.5</v>
      </c>
      <c r="R129" s="75"/>
    </row>
    <row r="130" spans="1:18" ht="12.75" hidden="1">
      <c r="A130" s="980"/>
      <c r="B130" s="843" t="s">
        <v>190</v>
      </c>
      <c r="C130" s="844"/>
      <c r="D130" s="844"/>
      <c r="E130" s="845"/>
      <c r="F130" s="391">
        <f>G130/0.807</f>
        <v>433.70508054522924</v>
      </c>
      <c r="G130" s="392">
        <v>350</v>
      </c>
      <c r="H130" s="393">
        <f>I130/0.807</f>
        <v>495.66294919454765</v>
      </c>
      <c r="I130" s="392">
        <v>400</v>
      </c>
      <c r="J130" s="393">
        <f>K130/0.807</f>
        <v>557.6208178438661</v>
      </c>
      <c r="K130" s="392">
        <v>450</v>
      </c>
      <c r="L130" s="393">
        <f>M130/0.807</f>
        <v>619.5786864931846</v>
      </c>
      <c r="M130" s="394">
        <v>500</v>
      </c>
      <c r="N130" s="391">
        <f>O130/0.807</f>
        <v>681.5365551425031</v>
      </c>
      <c r="O130" s="392">
        <v>550</v>
      </c>
      <c r="P130" s="395">
        <f>Q130/0.807</f>
        <v>743.4944237918215</v>
      </c>
      <c r="Q130" s="394">
        <v>600</v>
      </c>
      <c r="R130" s="75"/>
    </row>
    <row r="131" spans="1:18" ht="12.75" hidden="1">
      <c r="A131" s="981"/>
      <c r="B131" s="843" t="s">
        <v>191</v>
      </c>
      <c r="C131" s="844"/>
      <c r="D131" s="844"/>
      <c r="E131" s="845"/>
      <c r="F131" s="391">
        <f>G131/0.807</f>
        <v>0</v>
      </c>
      <c r="G131" s="392">
        <v>0</v>
      </c>
      <c r="H131" s="393">
        <f>I131/0.807</f>
        <v>1263.9405204460966</v>
      </c>
      <c r="I131" s="392">
        <v>1020</v>
      </c>
      <c r="J131" s="393">
        <f>K131/0.807</f>
        <v>1263.9405204460966</v>
      </c>
      <c r="K131" s="392">
        <v>1020</v>
      </c>
      <c r="L131" s="393">
        <f>M131/0.807</f>
        <v>1263.9405204460966</v>
      </c>
      <c r="M131" s="394">
        <v>1020</v>
      </c>
      <c r="N131" s="391">
        <f>O131/0.807</f>
        <v>1263.9405204460966</v>
      </c>
      <c r="O131" s="392">
        <v>1020</v>
      </c>
      <c r="P131" s="395">
        <f>Q131/0.807</f>
        <v>1263.9405204460966</v>
      </c>
      <c r="Q131" s="394">
        <v>1020</v>
      </c>
      <c r="R131" s="75"/>
    </row>
    <row r="132" spans="1:18" ht="13.5" hidden="1" thickBot="1">
      <c r="A132" s="982"/>
      <c r="B132" s="976" t="s">
        <v>192</v>
      </c>
      <c r="C132" s="977"/>
      <c r="D132" s="977"/>
      <c r="E132" s="978"/>
      <c r="F132" s="341">
        <f>G132/0.807</f>
        <v>123.91573729863691</v>
      </c>
      <c r="G132" s="244">
        <v>100</v>
      </c>
      <c r="H132" s="388">
        <f>I132/0.807</f>
        <v>123.91573729863691</v>
      </c>
      <c r="I132" s="244">
        <v>100</v>
      </c>
      <c r="J132" s="388">
        <f>K132/0.807</f>
        <v>123.91573729863691</v>
      </c>
      <c r="K132" s="244">
        <v>100</v>
      </c>
      <c r="L132" s="388">
        <f>M132/0.807</f>
        <v>123.91573729863691</v>
      </c>
      <c r="M132" s="245">
        <v>100</v>
      </c>
      <c r="N132" s="341">
        <f>O132/0.807</f>
        <v>123.91573729863691</v>
      </c>
      <c r="O132" s="244">
        <v>100</v>
      </c>
      <c r="P132" s="396">
        <f>Q132/0.807</f>
        <v>123.91573729863691</v>
      </c>
      <c r="Q132" s="245">
        <v>100</v>
      </c>
      <c r="R132" s="75"/>
    </row>
    <row r="133" spans="1:18" ht="13.5" hidden="1" thickBot="1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254"/>
      <c r="N133" s="254"/>
      <c r="O133" s="83"/>
      <c r="P133" s="83"/>
      <c r="Q133" s="86"/>
      <c r="R133" s="75"/>
    </row>
    <row r="134" ht="13.5" hidden="1" thickTop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spans="2:3" ht="12.75" hidden="1">
      <c r="B155" s="246" t="s">
        <v>152</v>
      </c>
      <c r="C155" s="246">
        <v>1</v>
      </c>
    </row>
    <row r="156" ht="13.5" thickTop="1"/>
    <row r="157" spans="1:3" ht="13.5" thickBot="1">
      <c r="A157" s="832" t="s">
        <v>27</v>
      </c>
      <c r="B157" s="832"/>
      <c r="C157" s="832"/>
    </row>
    <row r="158" spans="1:19" ht="13.5" thickTop="1">
      <c r="A158" s="816" t="s">
        <v>280</v>
      </c>
      <c r="B158" s="240" t="s">
        <v>96</v>
      </c>
      <c r="C158" s="835" t="s">
        <v>276</v>
      </c>
      <c r="D158" s="836"/>
      <c r="E158" s="837"/>
      <c r="F158" s="848">
        <f>F29*F129/1000</f>
        <v>63021.176470588245</v>
      </c>
      <c r="G158" s="849"/>
      <c r="H158" s="846">
        <f>H29*550/1000</f>
        <v>89274.70588235294</v>
      </c>
      <c r="I158" s="849"/>
      <c r="J158" s="846">
        <f>J29*650/1000</f>
        <v>120395.29411764705</v>
      </c>
      <c r="K158" s="849"/>
      <c r="L158" s="846">
        <f>L29*750/1000</f>
        <v>154852.9411764706</v>
      </c>
      <c r="M158" s="847"/>
      <c r="N158" s="846">
        <f>N29*N129/1000</f>
        <v>136270.58823529413</v>
      </c>
      <c r="O158" s="849"/>
      <c r="P158" s="846">
        <f>P29*P129/1000</f>
        <v>148976.4705882353</v>
      </c>
      <c r="Q158" s="847"/>
      <c r="R158" s="75"/>
      <c r="S158" s="75"/>
    </row>
    <row r="159" spans="1:19" ht="12.75">
      <c r="A159" s="817"/>
      <c r="B159" s="585" t="s">
        <v>118</v>
      </c>
      <c r="C159" s="843" t="s">
        <v>277</v>
      </c>
      <c r="D159" s="844"/>
      <c r="E159" s="845"/>
      <c r="F159" s="985">
        <f>F30*F130/1000</f>
        <v>131115.55142503098</v>
      </c>
      <c r="G159" s="986"/>
      <c r="H159" s="987">
        <f>((H30)*558)/1000</f>
        <v>193338.63</v>
      </c>
      <c r="I159" s="986"/>
      <c r="J159" s="987">
        <f>((J30+J40)*681)/1000</f>
        <v>206087.625</v>
      </c>
      <c r="K159" s="986"/>
      <c r="L159" s="987">
        <f>((L30+L40)*805)/1000</f>
        <v>243613.125</v>
      </c>
      <c r="M159" s="820"/>
      <c r="N159" s="987">
        <f>((N30+N40)*N130)/1000</f>
        <v>206250</v>
      </c>
      <c r="O159" s="986"/>
      <c r="P159" s="987">
        <f>((P30+P40)*P130)/1000</f>
        <v>225000</v>
      </c>
      <c r="Q159" s="820"/>
      <c r="R159" s="75"/>
      <c r="S159" s="75"/>
    </row>
    <row r="160" spans="1:19" ht="13.5" thickBot="1">
      <c r="A160" s="817"/>
      <c r="B160" s="301" t="s">
        <v>118</v>
      </c>
      <c r="C160" s="838" t="s">
        <v>278</v>
      </c>
      <c r="D160" s="839"/>
      <c r="E160" s="840"/>
      <c r="F160" s="841">
        <v>0</v>
      </c>
      <c r="G160" s="822"/>
      <c r="H160" s="819">
        <f>H40*(-H131)/1000</f>
        <v>55436.431226765795</v>
      </c>
      <c r="I160" s="822"/>
      <c r="J160" s="819">
        <f>J40*(-J131)/1000</f>
        <v>112857.24907063197</v>
      </c>
      <c r="K160" s="822"/>
      <c r="L160" s="819">
        <f>L40*(-L131)/1000</f>
        <v>166119.70260223045</v>
      </c>
      <c r="M160" s="851"/>
      <c r="N160" s="819">
        <f>N40*(-N131)/1000</f>
        <v>174082.52788104088</v>
      </c>
      <c r="O160" s="822"/>
      <c r="P160" s="819">
        <f>P40*(-P131)/1000</f>
        <v>182045.35315985128</v>
      </c>
      <c r="Q160" s="851"/>
      <c r="R160" s="75"/>
      <c r="S160" s="75"/>
    </row>
    <row r="161" spans="1:19" ht="14.25" thickBot="1" thickTop="1">
      <c r="A161" s="818"/>
      <c r="B161" s="426"/>
      <c r="C161" s="427" t="s">
        <v>119</v>
      </c>
      <c r="D161" s="428"/>
      <c r="E161" s="429"/>
      <c r="F161" s="823">
        <f>SUM(F158:G160)</f>
        <v>194136.72789561923</v>
      </c>
      <c r="G161" s="824"/>
      <c r="H161" s="850">
        <f>SUM(H158:I160)</f>
        <v>338049.76710911875</v>
      </c>
      <c r="I161" s="824"/>
      <c r="J161" s="850">
        <f>SUM(J158:K160)</f>
        <v>439340.168188279</v>
      </c>
      <c r="K161" s="824"/>
      <c r="L161" s="850">
        <f>SUM(L158:M160)</f>
        <v>564585.7687787011</v>
      </c>
      <c r="M161" s="813"/>
      <c r="N161" s="850">
        <f>SUM(N158:O160)</f>
        <v>516603.116116335</v>
      </c>
      <c r="O161" s="824"/>
      <c r="P161" s="850">
        <f>SUM(P158:Q160)</f>
        <v>556021.8237480866</v>
      </c>
      <c r="Q161" s="813"/>
      <c r="R161" s="75"/>
      <c r="S161" s="75"/>
    </row>
    <row r="162" spans="1:17" ht="16.5" thickBot="1" thickTop="1">
      <c r="A162" s="430"/>
      <c r="B162" s="431"/>
      <c r="C162" s="431"/>
      <c r="D162" s="432"/>
      <c r="E162" s="432"/>
      <c r="F162" s="588"/>
      <c r="G162" s="588"/>
      <c r="H162" s="588"/>
      <c r="I162" s="433"/>
      <c r="J162" s="433"/>
      <c r="K162" s="433"/>
      <c r="L162" s="433"/>
      <c r="M162" s="213"/>
      <c r="N162" s="433"/>
      <c r="O162" s="433"/>
      <c r="P162" s="433"/>
      <c r="Q162" s="213"/>
    </row>
    <row r="163" spans="1:19" ht="13.5" thickTop="1">
      <c r="A163" s="816" t="s">
        <v>281</v>
      </c>
      <c r="B163" s="240" t="s">
        <v>96</v>
      </c>
      <c r="C163" s="835" t="s">
        <v>276</v>
      </c>
      <c r="D163" s="836"/>
      <c r="E163" s="837"/>
      <c r="F163" s="848">
        <f>F29*F129/1000</f>
        <v>63021.176470588245</v>
      </c>
      <c r="G163" s="849"/>
      <c r="H163" s="846">
        <f>H29*H129/1000</f>
        <v>81158.82352941176</v>
      </c>
      <c r="I163" s="849"/>
      <c r="J163" s="846">
        <f>J29*J129/1000</f>
        <v>101872.94117647057</v>
      </c>
      <c r="K163" s="849"/>
      <c r="L163" s="846">
        <f>L29*L129/1000</f>
        <v>123882.35294117648</v>
      </c>
      <c r="M163" s="847"/>
      <c r="N163" s="846">
        <f>N29*N129/1000</f>
        <v>136270.58823529413</v>
      </c>
      <c r="O163" s="849"/>
      <c r="P163" s="846">
        <f>P29*P129/1000</f>
        <v>148976.4705882353</v>
      </c>
      <c r="Q163" s="847"/>
      <c r="R163" s="75"/>
      <c r="S163" s="75"/>
    </row>
    <row r="164" spans="1:19" ht="12.75">
      <c r="A164" s="817"/>
      <c r="B164" s="825" t="s">
        <v>118</v>
      </c>
      <c r="C164" s="838" t="s">
        <v>277</v>
      </c>
      <c r="D164" s="839"/>
      <c r="E164" s="840"/>
      <c r="F164" s="841">
        <f>F30*F130/1000</f>
        <v>131115.55142503098</v>
      </c>
      <c r="G164" s="821"/>
      <c r="H164" s="819">
        <f>((H30-130000)*H130)/1000</f>
        <v>107303.59355638165</v>
      </c>
      <c r="I164" s="821"/>
      <c r="J164" s="819">
        <f>((J30-130000+J40)*J130)/1000</f>
        <v>96259.29368029739</v>
      </c>
      <c r="K164" s="821"/>
      <c r="L164" s="819">
        <f>((L30-130000+L40)*L130)/1000</f>
        <v>106954.77075588598</v>
      </c>
      <c r="M164" s="820"/>
      <c r="N164" s="987">
        <f>((N30-130000+N40)*N130)/1000</f>
        <v>117650.24783147458</v>
      </c>
      <c r="O164" s="986"/>
      <c r="P164" s="987">
        <f>((P30-130000+P40)*P130)/1000</f>
        <v>128345.72490706318</v>
      </c>
      <c r="Q164" s="820"/>
      <c r="R164" s="75"/>
      <c r="S164" s="75"/>
    </row>
    <row r="165" spans="1:19" ht="12.75">
      <c r="A165" s="817"/>
      <c r="B165" s="831"/>
      <c r="C165" s="636"/>
      <c r="D165" s="827" t="s">
        <v>288</v>
      </c>
      <c r="E165" s="828"/>
      <c r="F165" s="643">
        <f>F30</f>
        <v>302315</v>
      </c>
      <c r="G165" s="644"/>
      <c r="H165" s="645">
        <f>H30-130000</f>
        <v>216485</v>
      </c>
      <c r="I165" s="644"/>
      <c r="J165" s="645">
        <f>J30-130000+J40</f>
        <v>172625</v>
      </c>
      <c r="K165" s="644"/>
      <c r="L165" s="645">
        <f>L30-130000+L40</f>
        <v>172625</v>
      </c>
      <c r="M165" s="638"/>
      <c r="N165" s="635"/>
      <c r="O165" s="637"/>
      <c r="P165" s="635"/>
      <c r="Q165" s="638"/>
      <c r="R165" s="75"/>
      <c r="S165" s="75"/>
    </row>
    <row r="166" spans="1:19" ht="13.5" thickBot="1">
      <c r="A166" s="817"/>
      <c r="B166" s="825" t="s">
        <v>118</v>
      </c>
      <c r="C166" s="838" t="s">
        <v>279</v>
      </c>
      <c r="D166" s="839"/>
      <c r="E166" s="840"/>
      <c r="F166" s="841">
        <v>0</v>
      </c>
      <c r="G166" s="822"/>
      <c r="H166" s="819">
        <f>130000*H132/1000</f>
        <v>16109.045848822798</v>
      </c>
      <c r="I166" s="822"/>
      <c r="J166" s="819">
        <f>(130000-J40)*J132/1000</f>
        <v>27173.482032218086</v>
      </c>
      <c r="K166" s="822"/>
      <c r="L166" s="819">
        <f>(130000-L40)*L132/1000</f>
        <v>32395.291201982647</v>
      </c>
      <c r="M166" s="842"/>
      <c r="N166" s="922">
        <f>(130000-N40)*N132/1000</f>
        <v>33175.960346964064</v>
      </c>
      <c r="O166" s="924"/>
      <c r="P166" s="922">
        <f>(130000-P40)*P132/1000</f>
        <v>33956.629491945474</v>
      </c>
      <c r="Q166" s="842"/>
      <c r="R166" s="75"/>
      <c r="S166" s="75"/>
    </row>
    <row r="167" spans="1:19" ht="14.25" thickBot="1" thickTop="1">
      <c r="A167" s="817"/>
      <c r="B167" s="826"/>
      <c r="C167" s="639"/>
      <c r="D167" s="829" t="s">
        <v>288</v>
      </c>
      <c r="E167" s="830"/>
      <c r="F167" s="640">
        <v>0</v>
      </c>
      <c r="G167" s="641"/>
      <c r="H167" s="642">
        <v>130000</v>
      </c>
      <c r="I167" s="641"/>
      <c r="J167" s="642">
        <f>H167-J40</f>
        <v>219290</v>
      </c>
      <c r="K167" s="641"/>
      <c r="L167" s="642">
        <f>H167-L40</f>
        <v>261430</v>
      </c>
      <c r="M167" s="105"/>
      <c r="N167" s="380"/>
      <c r="O167" s="211"/>
      <c r="P167" s="380"/>
      <c r="Q167" s="105"/>
      <c r="R167" s="75"/>
      <c r="S167" s="75"/>
    </row>
    <row r="168" spans="1:19" ht="14.25" thickBot="1" thickTop="1">
      <c r="A168" s="818"/>
      <c r="B168" s="220"/>
      <c r="C168" s="221" t="s">
        <v>119</v>
      </c>
      <c r="D168" s="222"/>
      <c r="E168" s="223"/>
      <c r="F168" s="833">
        <f>F163+F164+F166</f>
        <v>194136.72789561923</v>
      </c>
      <c r="G168" s="834"/>
      <c r="H168" s="812">
        <f>H163+H164+H166</f>
        <v>204571.4629346162</v>
      </c>
      <c r="I168" s="834"/>
      <c r="J168" s="812">
        <f>J163+J164+J166</f>
        <v>225305.71688898603</v>
      </c>
      <c r="K168" s="834"/>
      <c r="L168" s="812">
        <f>L163+L164+L166</f>
        <v>263232.41489904514</v>
      </c>
      <c r="M168" s="813"/>
      <c r="N168" s="812">
        <f>SUM(N163:O166)</f>
        <v>287096.79641373275</v>
      </c>
      <c r="O168" s="834"/>
      <c r="P168" s="812">
        <f>SUM(P163:Q166)</f>
        <v>311278.824987244</v>
      </c>
      <c r="Q168" s="813"/>
      <c r="R168" s="75"/>
      <c r="S168" s="75"/>
    </row>
    <row r="169" ht="14.25" thickBot="1" thickTop="1"/>
    <row r="170" spans="1:19" ht="14.25" thickBot="1" thickTop="1">
      <c r="A170" s="814" t="s">
        <v>94</v>
      </c>
      <c r="B170" s="815"/>
      <c r="C170" s="815"/>
      <c r="D170" s="815"/>
      <c r="E170" s="815"/>
      <c r="F170" s="811">
        <f>F161-F168</f>
        <v>0</v>
      </c>
      <c r="G170" s="811"/>
      <c r="H170" s="811">
        <f>H161-H168</f>
        <v>133478.30417450255</v>
      </c>
      <c r="I170" s="811"/>
      <c r="J170" s="811">
        <f>J161-J168</f>
        <v>214034.451299293</v>
      </c>
      <c r="K170" s="811"/>
      <c r="L170" s="811">
        <f>L161-L168</f>
        <v>301353.35387965594</v>
      </c>
      <c r="M170" s="811"/>
      <c r="N170" s="811">
        <f>N161-N168</f>
        <v>229506.31970260222</v>
      </c>
      <c r="O170" s="811"/>
      <c r="P170" s="811">
        <f>P161-P168</f>
        <v>244742.9987608426</v>
      </c>
      <c r="Q170" s="811"/>
      <c r="R170" s="589"/>
      <c r="S170" s="75"/>
    </row>
    <row r="171" ht="13.5" thickTop="1"/>
  </sheetData>
  <mergeCells count="449">
    <mergeCell ref="N170:O170"/>
    <mergeCell ref="P170:Q170"/>
    <mergeCell ref="N166:O166"/>
    <mergeCell ref="P166:Q166"/>
    <mergeCell ref="N168:O168"/>
    <mergeCell ref="P168:Q168"/>
    <mergeCell ref="N163:O163"/>
    <mergeCell ref="P163:Q163"/>
    <mergeCell ref="N164:O164"/>
    <mergeCell ref="P164:Q164"/>
    <mergeCell ref="N160:O160"/>
    <mergeCell ref="P160:Q160"/>
    <mergeCell ref="N161:O161"/>
    <mergeCell ref="P161:Q161"/>
    <mergeCell ref="N158:O158"/>
    <mergeCell ref="P158:Q158"/>
    <mergeCell ref="N159:O159"/>
    <mergeCell ref="P159:Q159"/>
    <mergeCell ref="B1:L1"/>
    <mergeCell ref="B2:L2"/>
    <mergeCell ref="F159:G159"/>
    <mergeCell ref="H159:I159"/>
    <mergeCell ref="J159:K159"/>
    <mergeCell ref="L159:M159"/>
    <mergeCell ref="A82:D82"/>
    <mergeCell ref="F103:G103"/>
    <mergeCell ref="H103:I103"/>
    <mergeCell ref="J103:K103"/>
    <mergeCell ref="C85:D85"/>
    <mergeCell ref="F85:G85"/>
    <mergeCell ref="C86:D86"/>
    <mergeCell ref="F86:G86"/>
    <mergeCell ref="A80:D80"/>
    <mergeCell ref="B132:E132"/>
    <mergeCell ref="A129:A132"/>
    <mergeCell ref="C58:D58"/>
    <mergeCell ref="C59:D59"/>
    <mergeCell ref="B56:B60"/>
    <mergeCell ref="C60:D60"/>
    <mergeCell ref="B126:E126"/>
    <mergeCell ref="B127:E127"/>
    <mergeCell ref="A124:A127"/>
    <mergeCell ref="B73:D73"/>
    <mergeCell ref="C32:D32"/>
    <mergeCell ref="C33:D33"/>
    <mergeCell ref="C30:D30"/>
    <mergeCell ref="C52:D52"/>
    <mergeCell ref="C53:D53"/>
    <mergeCell ref="C66:D66"/>
    <mergeCell ref="C67:D67"/>
    <mergeCell ref="B61:D61"/>
    <mergeCell ref="B62:D62"/>
    <mergeCell ref="B131:E131"/>
    <mergeCell ref="B65:D65"/>
    <mergeCell ref="B66:B67"/>
    <mergeCell ref="C63:D63"/>
    <mergeCell ref="C64:D64"/>
    <mergeCell ref="B125:E125"/>
    <mergeCell ref="B63:B64"/>
    <mergeCell ref="C108:D108"/>
    <mergeCell ref="C90:D90"/>
    <mergeCell ref="B124:E124"/>
    <mergeCell ref="P99:Q99"/>
    <mergeCell ref="F99:G99"/>
    <mergeCell ref="H99:I99"/>
    <mergeCell ref="J99:K99"/>
    <mergeCell ref="L99:M99"/>
    <mergeCell ref="P97:Q97"/>
    <mergeCell ref="C98:D98"/>
    <mergeCell ref="F98:G98"/>
    <mergeCell ref="H98:I98"/>
    <mergeCell ref="J98:K98"/>
    <mergeCell ref="L98:M98"/>
    <mergeCell ref="N98:O98"/>
    <mergeCell ref="P98:Q98"/>
    <mergeCell ref="C97:D97"/>
    <mergeCell ref="F97:G97"/>
    <mergeCell ref="P93:Q93"/>
    <mergeCell ref="P94:Q94"/>
    <mergeCell ref="F95:G95"/>
    <mergeCell ref="H95:I95"/>
    <mergeCell ref="J95:K95"/>
    <mergeCell ref="L95:M95"/>
    <mergeCell ref="N95:O95"/>
    <mergeCell ref="P95:Q95"/>
    <mergeCell ref="H94:I94"/>
    <mergeCell ref="J94:K94"/>
    <mergeCell ref="L93:M93"/>
    <mergeCell ref="N93:O93"/>
    <mergeCell ref="C109:D114"/>
    <mergeCell ref="J101:K101"/>
    <mergeCell ref="N97:O97"/>
    <mergeCell ref="N99:O99"/>
    <mergeCell ref="C93:D93"/>
    <mergeCell ref="F93:G93"/>
    <mergeCell ref="H93:I93"/>
    <mergeCell ref="J93:K93"/>
    <mergeCell ref="P104:Q104"/>
    <mergeCell ref="F94:G94"/>
    <mergeCell ref="C94:D94"/>
    <mergeCell ref="A42:A67"/>
    <mergeCell ref="B77:B78"/>
    <mergeCell ref="C77:D77"/>
    <mergeCell ref="C78:D78"/>
    <mergeCell ref="A75:A76"/>
    <mergeCell ref="A77:A78"/>
    <mergeCell ref="N94:O94"/>
    <mergeCell ref="L43:M43"/>
    <mergeCell ref="N43:O43"/>
    <mergeCell ref="P43:Q43"/>
    <mergeCell ref="B101:B104"/>
    <mergeCell ref="C102:D104"/>
    <mergeCell ref="F104:G104"/>
    <mergeCell ref="H104:I104"/>
    <mergeCell ref="J104:K104"/>
    <mergeCell ref="L104:M104"/>
    <mergeCell ref="N104:O104"/>
    <mergeCell ref="H43:I43"/>
    <mergeCell ref="J43:K43"/>
    <mergeCell ref="C57:D57"/>
    <mergeCell ref="F53:G53"/>
    <mergeCell ref="H47:I47"/>
    <mergeCell ref="J47:K47"/>
    <mergeCell ref="B42:D44"/>
    <mergeCell ref="F43:G43"/>
    <mergeCell ref="H44:I44"/>
    <mergeCell ref="J44:K44"/>
    <mergeCell ref="L55:M55"/>
    <mergeCell ref="N55:O55"/>
    <mergeCell ref="P55:Q55"/>
    <mergeCell ref="C56:D56"/>
    <mergeCell ref="B55:D55"/>
    <mergeCell ref="F55:G55"/>
    <mergeCell ref="H55:I55"/>
    <mergeCell ref="J55:K55"/>
    <mergeCell ref="N53:O53"/>
    <mergeCell ref="P53:Q53"/>
    <mergeCell ref="H52:I52"/>
    <mergeCell ref="J52:K52"/>
    <mergeCell ref="H53:I53"/>
    <mergeCell ref="J53:K53"/>
    <mergeCell ref="L53:M53"/>
    <mergeCell ref="N52:O52"/>
    <mergeCell ref="P52:Q52"/>
    <mergeCell ref="L52:M52"/>
    <mergeCell ref="P49:Q49"/>
    <mergeCell ref="B51:D51"/>
    <mergeCell ref="F51:G51"/>
    <mergeCell ref="H51:I51"/>
    <mergeCell ref="J51:K51"/>
    <mergeCell ref="L51:M51"/>
    <mergeCell ref="N51:O51"/>
    <mergeCell ref="P51:Q51"/>
    <mergeCell ref="H49:I49"/>
    <mergeCell ref="J49:K49"/>
    <mergeCell ref="L49:M49"/>
    <mergeCell ref="N49:O49"/>
    <mergeCell ref="P47:Q47"/>
    <mergeCell ref="C48:D48"/>
    <mergeCell ref="F48:G48"/>
    <mergeCell ref="H48:I48"/>
    <mergeCell ref="J48:K48"/>
    <mergeCell ref="L48:M48"/>
    <mergeCell ref="N48:O48"/>
    <mergeCell ref="P48:Q48"/>
    <mergeCell ref="L47:M47"/>
    <mergeCell ref="N47:O47"/>
    <mergeCell ref="P44:Q44"/>
    <mergeCell ref="B46:D46"/>
    <mergeCell ref="F46:G46"/>
    <mergeCell ref="H46:I46"/>
    <mergeCell ref="J46:K46"/>
    <mergeCell ref="L46:M46"/>
    <mergeCell ref="N46:O46"/>
    <mergeCell ref="P46:Q46"/>
    <mergeCell ref="L44:M44"/>
    <mergeCell ref="N44:O44"/>
    <mergeCell ref="B129:E129"/>
    <mergeCell ref="B130:E130"/>
    <mergeCell ref="F44:G44"/>
    <mergeCell ref="C47:D47"/>
    <mergeCell ref="F47:G47"/>
    <mergeCell ref="B49:D49"/>
    <mergeCell ref="F49:G49"/>
    <mergeCell ref="F52:G52"/>
    <mergeCell ref="H106:I106"/>
    <mergeCell ref="J106:K106"/>
    <mergeCell ref="L106:M106"/>
    <mergeCell ref="L90:M90"/>
    <mergeCell ref="J90:K90"/>
    <mergeCell ref="L94:M94"/>
    <mergeCell ref="L97:M97"/>
    <mergeCell ref="L103:M103"/>
    <mergeCell ref="H97:I97"/>
    <mergeCell ref="J97:K97"/>
    <mergeCell ref="P107:Q107"/>
    <mergeCell ref="N115:O115"/>
    <mergeCell ref="P115:Q115"/>
    <mergeCell ref="C118:D118"/>
    <mergeCell ref="J116:K116"/>
    <mergeCell ref="L116:M116"/>
    <mergeCell ref="P116:Q116"/>
    <mergeCell ref="N107:O107"/>
    <mergeCell ref="J115:K115"/>
    <mergeCell ref="L115:M115"/>
    <mergeCell ref="P101:Q101"/>
    <mergeCell ref="C101:D101"/>
    <mergeCell ref="F101:G101"/>
    <mergeCell ref="H101:I101"/>
    <mergeCell ref="N101:O101"/>
    <mergeCell ref="L101:M101"/>
    <mergeCell ref="N90:O90"/>
    <mergeCell ref="P90:Q90"/>
    <mergeCell ref="F91:G91"/>
    <mergeCell ref="H91:I91"/>
    <mergeCell ref="J91:K91"/>
    <mergeCell ref="L91:M91"/>
    <mergeCell ref="N91:O91"/>
    <mergeCell ref="P91:Q91"/>
    <mergeCell ref="F90:G90"/>
    <mergeCell ref="H90:I90"/>
    <mergeCell ref="N87:O87"/>
    <mergeCell ref="P87:Q87"/>
    <mergeCell ref="C89:D89"/>
    <mergeCell ref="F89:G89"/>
    <mergeCell ref="H89:I89"/>
    <mergeCell ref="J89:K89"/>
    <mergeCell ref="L89:M89"/>
    <mergeCell ref="N89:O89"/>
    <mergeCell ref="P89:Q89"/>
    <mergeCell ref="P85:Q85"/>
    <mergeCell ref="F87:G87"/>
    <mergeCell ref="H87:I87"/>
    <mergeCell ref="J87:K87"/>
    <mergeCell ref="L87:M87"/>
    <mergeCell ref="L86:M86"/>
    <mergeCell ref="N86:O86"/>
    <mergeCell ref="P86:Q86"/>
    <mergeCell ref="H86:I86"/>
    <mergeCell ref="J86:K86"/>
    <mergeCell ref="L85:M85"/>
    <mergeCell ref="N74:O74"/>
    <mergeCell ref="N85:O85"/>
    <mergeCell ref="H85:I85"/>
    <mergeCell ref="J85:K85"/>
    <mergeCell ref="P74:Q74"/>
    <mergeCell ref="B75:B76"/>
    <mergeCell ref="C75:D75"/>
    <mergeCell ref="C76:D76"/>
    <mergeCell ref="F74:G74"/>
    <mergeCell ref="H74:I74"/>
    <mergeCell ref="J74:K74"/>
    <mergeCell ref="L74:M74"/>
    <mergeCell ref="F68:G68"/>
    <mergeCell ref="H68:I68"/>
    <mergeCell ref="B69:B70"/>
    <mergeCell ref="C69:D69"/>
    <mergeCell ref="C70:D70"/>
    <mergeCell ref="B38:D38"/>
    <mergeCell ref="B39:B40"/>
    <mergeCell ref="C39:D39"/>
    <mergeCell ref="C40:D40"/>
    <mergeCell ref="B34:D34"/>
    <mergeCell ref="B35:D35"/>
    <mergeCell ref="B36:B37"/>
    <mergeCell ref="C36:D36"/>
    <mergeCell ref="C37:D37"/>
    <mergeCell ref="L28:M28"/>
    <mergeCell ref="N28:O28"/>
    <mergeCell ref="P28:Q28"/>
    <mergeCell ref="C29:D29"/>
    <mergeCell ref="B28:D28"/>
    <mergeCell ref="F28:G28"/>
    <mergeCell ref="H28:I28"/>
    <mergeCell ref="J28:K28"/>
    <mergeCell ref="B29:B33"/>
    <mergeCell ref="C31:D31"/>
    <mergeCell ref="L25:M25"/>
    <mergeCell ref="N25:O25"/>
    <mergeCell ref="P25:Q25"/>
    <mergeCell ref="C26:D26"/>
    <mergeCell ref="F26:G26"/>
    <mergeCell ref="H26:I26"/>
    <mergeCell ref="J26:K26"/>
    <mergeCell ref="L26:M26"/>
    <mergeCell ref="N26:O26"/>
    <mergeCell ref="P26:Q26"/>
    <mergeCell ref="C25:D25"/>
    <mergeCell ref="F25:G25"/>
    <mergeCell ref="H25:I25"/>
    <mergeCell ref="J25:K25"/>
    <mergeCell ref="L22:M22"/>
    <mergeCell ref="N22:O22"/>
    <mergeCell ref="P22:Q22"/>
    <mergeCell ref="B24:D24"/>
    <mergeCell ref="F24:G24"/>
    <mergeCell ref="H24:I24"/>
    <mergeCell ref="J24:K24"/>
    <mergeCell ref="L24:M24"/>
    <mergeCell ref="N24:O24"/>
    <mergeCell ref="P24:Q24"/>
    <mergeCell ref="B22:D22"/>
    <mergeCell ref="F22:G22"/>
    <mergeCell ref="H22:I22"/>
    <mergeCell ref="J22:K22"/>
    <mergeCell ref="L20:M20"/>
    <mergeCell ref="N20:O20"/>
    <mergeCell ref="P20:Q20"/>
    <mergeCell ref="C21:D21"/>
    <mergeCell ref="F21:G21"/>
    <mergeCell ref="H21:I21"/>
    <mergeCell ref="J21:K21"/>
    <mergeCell ref="L21:M21"/>
    <mergeCell ref="N21:O21"/>
    <mergeCell ref="P21:Q21"/>
    <mergeCell ref="C20:D20"/>
    <mergeCell ref="F20:G20"/>
    <mergeCell ref="H20:I20"/>
    <mergeCell ref="J20:K20"/>
    <mergeCell ref="N17:O17"/>
    <mergeCell ref="P17:Q17"/>
    <mergeCell ref="B19:D19"/>
    <mergeCell ref="F19:G19"/>
    <mergeCell ref="H19:I19"/>
    <mergeCell ref="J19:K19"/>
    <mergeCell ref="L19:M19"/>
    <mergeCell ref="N19:O19"/>
    <mergeCell ref="P19:Q19"/>
    <mergeCell ref="F17:G17"/>
    <mergeCell ref="H17:I17"/>
    <mergeCell ref="J17:K17"/>
    <mergeCell ref="L17:M17"/>
    <mergeCell ref="L14:M14"/>
    <mergeCell ref="N14:O14"/>
    <mergeCell ref="P14:Q14"/>
    <mergeCell ref="B15:D17"/>
    <mergeCell ref="F16:G16"/>
    <mergeCell ref="H16:I16"/>
    <mergeCell ref="J16:K16"/>
    <mergeCell ref="L16:M16"/>
    <mergeCell ref="N16:O16"/>
    <mergeCell ref="P16:Q16"/>
    <mergeCell ref="B14:D14"/>
    <mergeCell ref="F14:G14"/>
    <mergeCell ref="H14:I14"/>
    <mergeCell ref="J14:K14"/>
    <mergeCell ref="J12:K13"/>
    <mergeCell ref="L12:M13"/>
    <mergeCell ref="N12:O13"/>
    <mergeCell ref="P12:Q13"/>
    <mergeCell ref="B12:D13"/>
    <mergeCell ref="E12:E13"/>
    <mergeCell ref="F12:G13"/>
    <mergeCell ref="H12:I13"/>
    <mergeCell ref="N7:O7"/>
    <mergeCell ref="P7:Q7"/>
    <mergeCell ref="F9:G11"/>
    <mergeCell ref="N9:O11"/>
    <mergeCell ref="P9:Q11"/>
    <mergeCell ref="C119:D119"/>
    <mergeCell ref="L108:M108"/>
    <mergeCell ref="N108:O108"/>
    <mergeCell ref="P108:Q108"/>
    <mergeCell ref="N116:O116"/>
    <mergeCell ref="F115:G115"/>
    <mergeCell ref="H115:I115"/>
    <mergeCell ref="F116:G116"/>
    <mergeCell ref="H116:I116"/>
    <mergeCell ref="N106:O106"/>
    <mergeCell ref="P106:Q106"/>
    <mergeCell ref="C106:D106"/>
    <mergeCell ref="B106:B114"/>
    <mergeCell ref="C107:D107"/>
    <mergeCell ref="F107:G107"/>
    <mergeCell ref="H107:I107"/>
    <mergeCell ref="J107:K107"/>
    <mergeCell ref="L107:M107"/>
    <mergeCell ref="F106:G106"/>
    <mergeCell ref="N103:O103"/>
    <mergeCell ref="P103:Q103"/>
    <mergeCell ref="F102:G102"/>
    <mergeCell ref="H102:I102"/>
    <mergeCell ref="J102:K102"/>
    <mergeCell ref="L102:M102"/>
    <mergeCell ref="N102:O102"/>
    <mergeCell ref="P102:Q102"/>
    <mergeCell ref="O6:Q6"/>
    <mergeCell ref="B9:D11"/>
    <mergeCell ref="E9:E11"/>
    <mergeCell ref="H9:I11"/>
    <mergeCell ref="J9:K11"/>
    <mergeCell ref="L9:M11"/>
    <mergeCell ref="F7:G7"/>
    <mergeCell ref="H7:I7"/>
    <mergeCell ref="J7:K7"/>
    <mergeCell ref="L7:M7"/>
    <mergeCell ref="F158:G158"/>
    <mergeCell ref="H158:I158"/>
    <mergeCell ref="J158:K158"/>
    <mergeCell ref="B3:L3"/>
    <mergeCell ref="B4:L4"/>
    <mergeCell ref="C121:D121"/>
    <mergeCell ref="F108:G108"/>
    <mergeCell ref="H108:I108"/>
    <mergeCell ref="J108:K108"/>
    <mergeCell ref="C120:D120"/>
    <mergeCell ref="F160:G160"/>
    <mergeCell ref="H160:I160"/>
    <mergeCell ref="J160:K160"/>
    <mergeCell ref="L160:M160"/>
    <mergeCell ref="J161:K161"/>
    <mergeCell ref="H161:I161"/>
    <mergeCell ref="L161:M161"/>
    <mergeCell ref="L158:M158"/>
    <mergeCell ref="L166:M166"/>
    <mergeCell ref="C158:E158"/>
    <mergeCell ref="C159:E159"/>
    <mergeCell ref="C160:E160"/>
    <mergeCell ref="L163:M163"/>
    <mergeCell ref="F163:G163"/>
    <mergeCell ref="H163:I163"/>
    <mergeCell ref="J163:K163"/>
    <mergeCell ref="H164:I164"/>
    <mergeCell ref="F164:G164"/>
    <mergeCell ref="A157:C157"/>
    <mergeCell ref="F168:G168"/>
    <mergeCell ref="H168:I168"/>
    <mergeCell ref="J168:K168"/>
    <mergeCell ref="C163:E163"/>
    <mergeCell ref="C164:E164"/>
    <mergeCell ref="C166:E166"/>
    <mergeCell ref="A158:A161"/>
    <mergeCell ref="F166:G166"/>
    <mergeCell ref="H166:I166"/>
    <mergeCell ref="F161:G161"/>
    <mergeCell ref="B166:B167"/>
    <mergeCell ref="D165:E165"/>
    <mergeCell ref="D167:E167"/>
    <mergeCell ref="B164:B165"/>
    <mergeCell ref="L170:M170"/>
    <mergeCell ref="L168:M168"/>
    <mergeCell ref="A170:E170"/>
    <mergeCell ref="F170:G170"/>
    <mergeCell ref="H170:I170"/>
    <mergeCell ref="J170:K170"/>
    <mergeCell ref="A163:A168"/>
    <mergeCell ref="L164:M164"/>
    <mergeCell ref="J164:K164"/>
    <mergeCell ref="J166:K16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56"/>
  <sheetViews>
    <sheetView workbookViewId="0" topLeftCell="A1">
      <selection activeCell="A1" sqref="A1:H1"/>
    </sheetView>
  </sheetViews>
  <sheetFormatPr defaultColWidth="9.00390625" defaultRowHeight="12.75"/>
  <cols>
    <col min="1" max="1" width="40.875" style="0" customWidth="1"/>
    <col min="2" max="5" width="12.75390625" style="0" customWidth="1"/>
    <col min="6" max="7" width="12.75390625" style="0" hidden="1" customWidth="1"/>
    <col min="8" max="8" width="14.00390625" style="0" customWidth="1"/>
    <col min="9" max="10" width="14.00390625" style="0" hidden="1" customWidth="1"/>
    <col min="13" max="13" width="9.625" style="0" bestFit="1" customWidth="1"/>
  </cols>
  <sheetData>
    <row r="1" spans="1:8" ht="15" customHeight="1">
      <c r="A1" s="713" t="s">
        <v>226</v>
      </c>
      <c r="B1" s="714"/>
      <c r="C1" s="714"/>
      <c r="D1" s="714"/>
      <c r="E1" s="714"/>
      <c r="F1" s="714"/>
      <c r="G1" s="714"/>
      <c r="H1" s="715"/>
    </row>
    <row r="2" spans="1:8" ht="15" customHeight="1" hidden="1">
      <c r="A2" s="713" t="s">
        <v>286</v>
      </c>
      <c r="B2" s="714"/>
      <c r="C2" s="714"/>
      <c r="D2" s="714"/>
      <c r="E2" s="714"/>
      <c r="F2" s="714"/>
      <c r="G2" s="714"/>
      <c r="H2" s="715"/>
    </row>
    <row r="3" spans="1:8" s="1" customFormat="1" ht="17.25" customHeight="1" thickBot="1">
      <c r="A3" s="15" t="s">
        <v>27</v>
      </c>
      <c r="B3" s="3"/>
      <c r="C3" s="2"/>
      <c r="D3" s="731"/>
      <c r="E3" s="704"/>
      <c r="F3" s="704"/>
      <c r="G3" s="731" t="s">
        <v>90</v>
      </c>
      <c r="H3" s="731"/>
    </row>
    <row r="4" spans="1:10" s="1" customFormat="1" ht="39.75" customHeight="1" thickBot="1" thickTop="1">
      <c r="A4" s="35" t="s">
        <v>0</v>
      </c>
      <c r="B4" s="36" t="s">
        <v>20</v>
      </c>
      <c r="C4" s="38" t="s">
        <v>23</v>
      </c>
      <c r="D4" s="38" t="s">
        <v>24</v>
      </c>
      <c r="E4" s="192" t="s">
        <v>25</v>
      </c>
      <c r="F4" s="38" t="s">
        <v>114</v>
      </c>
      <c r="G4" s="147" t="s">
        <v>115</v>
      </c>
      <c r="H4" s="30" t="s">
        <v>153</v>
      </c>
      <c r="I4" s="30" t="s">
        <v>116</v>
      </c>
      <c r="J4" s="30" t="s">
        <v>116</v>
      </c>
    </row>
    <row r="5" spans="1:10" s="1" customFormat="1" ht="9.75" customHeight="1" thickBot="1" thickTop="1">
      <c r="A5" s="17" t="s">
        <v>4</v>
      </c>
      <c r="B5" s="139" t="s">
        <v>5</v>
      </c>
      <c r="C5" s="20" t="s">
        <v>6</v>
      </c>
      <c r="D5" s="20" t="s">
        <v>7</v>
      </c>
      <c r="E5" s="193" t="s">
        <v>9</v>
      </c>
      <c r="F5" s="20" t="s">
        <v>10</v>
      </c>
      <c r="G5" s="148" t="s">
        <v>11</v>
      </c>
      <c r="H5" s="31" t="s">
        <v>12</v>
      </c>
      <c r="I5" s="31" t="s">
        <v>12</v>
      </c>
      <c r="J5" s="31" t="s">
        <v>12</v>
      </c>
    </row>
    <row r="6" spans="1:10" s="12" customFormat="1" ht="17.25" hidden="1" thickBot="1" thickTop="1">
      <c r="A6" s="39" t="s">
        <v>176</v>
      </c>
      <c r="B6" s="141">
        <f>B12+B23</f>
        <v>1315849.159835347</v>
      </c>
      <c r="C6" s="142">
        <f aca="true" t="shared" si="0" ref="C6:I6">C12+C23</f>
        <v>1116784.1492994179</v>
      </c>
      <c r="D6" s="142">
        <f t="shared" si="0"/>
        <v>1148666.190933829</v>
      </c>
      <c r="E6" s="142">
        <f t="shared" si="0"/>
        <v>1096114.8192050357</v>
      </c>
      <c r="F6" s="142">
        <f t="shared" si="0"/>
        <v>344884.3557546599</v>
      </c>
      <c r="G6" s="167">
        <f t="shared" si="0"/>
        <v>348226.70014527434</v>
      </c>
      <c r="H6" s="32">
        <f t="shared" si="0"/>
        <v>4677414.31927363</v>
      </c>
      <c r="I6" s="32">
        <f t="shared" si="0"/>
        <v>5370525.375173564</v>
      </c>
      <c r="J6" s="32">
        <f>J12+J23</f>
        <v>5041250.868285307</v>
      </c>
    </row>
    <row r="7" spans="1:10" s="12" customFormat="1" ht="17.25" thickBot="1" thickTop="1">
      <c r="A7" s="362" t="s">
        <v>1</v>
      </c>
      <c r="B7" s="363">
        <f>B12+B24</f>
        <v>1341956.9216984566</v>
      </c>
      <c r="C7" s="364">
        <f aca="true" t="shared" si="1" ref="C7:I7">C12+C24</f>
        <v>1160110.0713782865</v>
      </c>
      <c r="D7" s="364">
        <f t="shared" si="1"/>
        <v>1208617.2110519134</v>
      </c>
      <c r="E7" s="364">
        <f t="shared" si="1"/>
        <v>1180262.7844357376</v>
      </c>
      <c r="F7" s="364">
        <f t="shared" si="1"/>
        <v>450281.38068359066</v>
      </c>
      <c r="G7" s="365">
        <f t="shared" si="1"/>
        <v>474218.88288454106</v>
      </c>
      <c r="H7" s="366">
        <f>H12+H24</f>
        <v>4890946.988564394</v>
      </c>
      <c r="I7" s="32">
        <f t="shared" si="1"/>
        <v>5815447.252132526</v>
      </c>
      <c r="J7" s="366">
        <f>J12+J24</f>
        <v>5815447.252132526</v>
      </c>
    </row>
    <row r="8" spans="1:10" s="12" customFormat="1" ht="17.25" hidden="1" thickBot="1" thickTop="1">
      <c r="A8" s="361" t="s">
        <v>178</v>
      </c>
      <c r="B8" s="367">
        <f>B13+B25</f>
        <v>1060299.0877738225</v>
      </c>
      <c r="C8" s="368">
        <f>C13+C25</f>
        <v>1093008.5090200368</v>
      </c>
      <c r="D8" s="368">
        <f>D13+D25</f>
        <v>1142510.23225074</v>
      </c>
      <c r="E8" s="369">
        <f>E13+E25</f>
        <v>1096579.522800869</v>
      </c>
      <c r="F8" s="370">
        <f>F13+F25</f>
        <v>372399.3584371341</v>
      </c>
      <c r="G8" s="370">
        <f>G13+G25</f>
        <v>371004.8211308328</v>
      </c>
      <c r="H8" s="371">
        <f>H13+H25</f>
        <v>4392397.351845468</v>
      </c>
      <c r="I8" s="337"/>
      <c r="J8" s="371">
        <f>J13+J25</f>
        <v>3057318.934619576</v>
      </c>
    </row>
    <row r="9" spans="1:10" s="12" customFormat="1" ht="17.25" hidden="1" thickBot="1" thickTop="1">
      <c r="A9" s="39" t="s">
        <v>177</v>
      </c>
      <c r="B9" s="141">
        <f aca="true" t="shared" si="2" ref="B9:H9">B13+B26</f>
        <v>1086059.7689459193</v>
      </c>
      <c r="C9" s="142">
        <f t="shared" si="2"/>
        <v>1135643.8603575977</v>
      </c>
      <c r="D9" s="142">
        <f t="shared" si="2"/>
        <v>1214442.1431043008</v>
      </c>
      <c r="E9" s="137">
        <f t="shared" si="2"/>
        <v>1199539.427677318</v>
      </c>
      <c r="F9" s="141">
        <f t="shared" si="2"/>
        <v>497559.3690064177</v>
      </c>
      <c r="G9" s="141">
        <f t="shared" si="2"/>
        <v>513243.7915368391</v>
      </c>
      <c r="H9" s="32">
        <f t="shared" si="2"/>
        <v>4635685.200085136</v>
      </c>
      <c r="I9" s="337"/>
      <c r="J9" s="32">
        <f>J13+J26</f>
        <v>3499609.7313248757</v>
      </c>
    </row>
    <row r="10" spans="1:10" s="1" customFormat="1" ht="15.75" thickTop="1">
      <c r="A10" s="41" t="s">
        <v>2</v>
      </c>
      <c r="B10" s="168"/>
      <c r="C10" s="23"/>
      <c r="D10" s="23"/>
      <c r="E10" s="195"/>
      <c r="F10" s="23"/>
      <c r="G10" s="149"/>
      <c r="H10" s="33"/>
      <c r="I10" s="33"/>
      <c r="J10" s="33"/>
    </row>
    <row r="11" spans="1:10" s="1" customFormat="1" ht="6" customHeight="1" thickBot="1">
      <c r="A11" s="6"/>
      <c r="B11" s="21"/>
      <c r="C11" s="23"/>
      <c r="D11" s="23"/>
      <c r="E11" s="195"/>
      <c r="F11" s="23"/>
      <c r="G11" s="149"/>
      <c r="H11" s="33"/>
      <c r="I11" s="33"/>
      <c r="J11" s="33"/>
    </row>
    <row r="12" spans="1:10" s="12" customFormat="1" ht="16.5" customHeight="1" thickBot="1" thickTop="1">
      <c r="A12" s="40" t="s">
        <v>224</v>
      </c>
      <c r="B12" s="143">
        <f aca="true" t="shared" si="3" ref="B12:I12">B15</f>
        <v>1111320.1938028373</v>
      </c>
      <c r="C12" s="144">
        <f t="shared" si="3"/>
        <v>917213.6084436703</v>
      </c>
      <c r="D12" s="144">
        <f t="shared" si="3"/>
        <v>943378.1747701144</v>
      </c>
      <c r="E12" s="196">
        <f t="shared" si="3"/>
        <v>875059.5849177334</v>
      </c>
      <c r="F12" s="144">
        <f t="shared" si="3"/>
        <v>120084.40540136339</v>
      </c>
      <c r="G12" s="196">
        <f t="shared" si="3"/>
        <v>120084.40540136307</v>
      </c>
      <c r="H12" s="32">
        <f t="shared" si="3"/>
        <v>3846971.5619343556</v>
      </c>
      <c r="I12" s="32">
        <f t="shared" si="3"/>
        <v>4087140.372737082</v>
      </c>
      <c r="J12" s="32">
        <f>J15</f>
        <v>4087140.372737082</v>
      </c>
    </row>
    <row r="13" spans="1:10" s="12" customFormat="1" ht="16.5" customHeight="1" hidden="1" thickBot="1" thickTop="1">
      <c r="A13" s="40" t="s">
        <v>179</v>
      </c>
      <c r="B13" s="143">
        <f aca="true" t="shared" si="4" ref="B13:H13">B19</f>
        <v>847827.7585953109</v>
      </c>
      <c r="C13" s="144">
        <f t="shared" si="4"/>
        <v>884232.5931369548</v>
      </c>
      <c r="D13" s="144">
        <f t="shared" si="4"/>
        <v>909456.338107581</v>
      </c>
      <c r="E13" s="196">
        <f t="shared" si="4"/>
        <v>843594.3373509457</v>
      </c>
      <c r="F13" s="144">
        <f t="shared" si="4"/>
        <v>118448.42040251973</v>
      </c>
      <c r="G13" s="196">
        <f t="shared" si="4"/>
        <v>118448.42040252034</v>
      </c>
      <c r="H13" s="32">
        <f t="shared" si="4"/>
        <v>3485111.0271907924</v>
      </c>
      <c r="I13" s="337"/>
      <c r="J13" s="32">
        <f>J19</f>
        <v>1989947.5162635667</v>
      </c>
    </row>
    <row r="14" spans="1:10" s="1" customFormat="1" ht="6" customHeight="1" thickTop="1">
      <c r="A14" s="7"/>
      <c r="B14" s="21"/>
      <c r="C14" s="23"/>
      <c r="D14" s="23"/>
      <c r="E14" s="195"/>
      <c r="F14" s="23"/>
      <c r="G14" s="149"/>
      <c r="H14" s="33"/>
      <c r="I14" s="33"/>
      <c r="J14" s="33"/>
    </row>
    <row r="15" spans="1:10" s="1" customFormat="1" ht="24.75" customHeight="1">
      <c r="A15" s="45" t="s">
        <v>225</v>
      </c>
      <c r="B15" s="716">
        <f>'Tabuľka 1 NZR'!F102</f>
        <v>1111320.1938028373</v>
      </c>
      <c r="C15" s="718">
        <f>'Tabuľka 1 NZR'!H102</f>
        <v>917213.6084436703</v>
      </c>
      <c r="D15" s="718">
        <f>'Tabuľka 1 NZR'!J102</f>
        <v>943378.1747701144</v>
      </c>
      <c r="E15" s="722">
        <f>'Tabuľka 1 NZR'!L102</f>
        <v>875059.5849177334</v>
      </c>
      <c r="F15" s="718">
        <f>'Tabuľka 1 NZR'!N115</f>
        <v>120084.40540136339</v>
      </c>
      <c r="G15" s="729">
        <f>'Tabuľka 1 NZR'!P115</f>
        <v>120084.40540136307</v>
      </c>
      <c r="H15" s="724">
        <f>B15+C15+D15+E15</f>
        <v>3846971.5619343556</v>
      </c>
      <c r="I15" s="724">
        <f>SUM(B15:G17)</f>
        <v>4087140.372737082</v>
      </c>
      <c r="J15" s="724">
        <f>B15+C15+D15+E15+F15+G15</f>
        <v>4087140.372737082</v>
      </c>
    </row>
    <row r="16" spans="1:10" s="1" customFormat="1" ht="24.75" customHeight="1">
      <c r="A16" s="203" t="s">
        <v>295</v>
      </c>
      <c r="B16" s="988"/>
      <c r="C16" s="989"/>
      <c r="D16" s="989"/>
      <c r="E16" s="990"/>
      <c r="F16" s="989"/>
      <c r="G16" s="991"/>
      <c r="H16" s="992"/>
      <c r="I16" s="992"/>
      <c r="J16" s="992"/>
    </row>
    <row r="17" spans="1:10" s="1" customFormat="1" ht="12.75" customHeight="1">
      <c r="A17" s="46" t="s">
        <v>155</v>
      </c>
      <c r="B17" s="717"/>
      <c r="C17" s="719"/>
      <c r="D17" s="719"/>
      <c r="E17" s="723"/>
      <c r="F17" s="726"/>
      <c r="G17" s="730"/>
      <c r="H17" s="725"/>
      <c r="I17" s="725"/>
      <c r="J17" s="725"/>
    </row>
    <row r="18" spans="1:10" s="1" customFormat="1" ht="6" customHeight="1" thickBot="1">
      <c r="A18" s="170"/>
      <c r="B18" s="48"/>
      <c r="C18" s="50"/>
      <c r="D18" s="50"/>
      <c r="E18" s="197"/>
      <c r="F18" s="50"/>
      <c r="G18" s="136"/>
      <c r="H18" s="51"/>
      <c r="I18" s="51"/>
      <c r="J18" s="51"/>
    </row>
    <row r="19" spans="1:10" s="1" customFormat="1" ht="24.75" customHeight="1" hidden="1">
      <c r="A19" s="45" t="s">
        <v>204</v>
      </c>
      <c r="B19" s="716">
        <f>'Tabuľka 1 NZR'!F103</f>
        <v>847827.7585953109</v>
      </c>
      <c r="C19" s="718">
        <f>'Tabuľka 1 NZR'!H103</f>
        <v>884232.5931369548</v>
      </c>
      <c r="D19" s="718">
        <f>'Tabuľka 1 NZR'!J103</f>
        <v>909456.338107581</v>
      </c>
      <c r="E19" s="722">
        <f>'Tabuľka 1 NZR'!L103</f>
        <v>843594.3373509457</v>
      </c>
      <c r="F19" s="718">
        <f>'Tabuľka 1 NZR'!N116</f>
        <v>118448.42040251973</v>
      </c>
      <c r="G19" s="729">
        <f>'Tabuľka 1 NZR'!P116</f>
        <v>118448.42040252034</v>
      </c>
      <c r="H19" s="724">
        <f>SUM(B19:E21)</f>
        <v>3485111.0271907924</v>
      </c>
      <c r="I19" s="51"/>
      <c r="J19" s="724">
        <f>SUM(D19:G21)</f>
        <v>1989947.5162635667</v>
      </c>
    </row>
    <row r="20" spans="1:10" s="1" customFormat="1" ht="24.75" customHeight="1" hidden="1">
      <c r="A20" s="203" t="s">
        <v>187</v>
      </c>
      <c r="B20" s="988"/>
      <c r="C20" s="989"/>
      <c r="D20" s="989"/>
      <c r="E20" s="990"/>
      <c r="F20" s="989"/>
      <c r="G20" s="991"/>
      <c r="H20" s="992"/>
      <c r="I20" s="51"/>
      <c r="J20" s="992"/>
    </row>
    <row r="21" spans="1:10" s="1" customFormat="1" ht="12.75" customHeight="1" hidden="1">
      <c r="A21" s="46" t="s">
        <v>155</v>
      </c>
      <c r="B21" s="717"/>
      <c r="C21" s="719"/>
      <c r="D21" s="719"/>
      <c r="E21" s="723"/>
      <c r="F21" s="726"/>
      <c r="G21" s="730"/>
      <c r="H21" s="725"/>
      <c r="I21" s="51"/>
      <c r="J21" s="725"/>
    </row>
    <row r="22" spans="1:10" s="1" customFormat="1" ht="15.75" hidden="1" thickBot="1">
      <c r="A22" s="7"/>
      <c r="B22" s="21"/>
      <c r="C22" s="23"/>
      <c r="D22" s="23"/>
      <c r="E22" s="195"/>
      <c r="F22" s="23"/>
      <c r="G22" s="149"/>
      <c r="H22" s="51"/>
      <c r="I22" s="51"/>
      <c r="J22" s="51"/>
    </row>
    <row r="23" spans="1:10" s="10" customFormat="1" ht="16.5" customHeight="1" hidden="1" thickBot="1" thickTop="1">
      <c r="A23" s="40" t="s">
        <v>200</v>
      </c>
      <c r="B23" s="356">
        <f>B28+B37+B39</f>
        <v>204528.96603250966</v>
      </c>
      <c r="C23" s="146">
        <f aca="true" t="shared" si="5" ref="C23:I23">C28+C37+C39</f>
        <v>199570.5408557475</v>
      </c>
      <c r="D23" s="146">
        <f t="shared" si="5"/>
        <v>205288.01616371458</v>
      </c>
      <c r="E23" s="146">
        <f t="shared" si="5"/>
        <v>221055.2342873023</v>
      </c>
      <c r="F23" s="146">
        <f t="shared" si="5"/>
        <v>224799.95035329653</v>
      </c>
      <c r="G23" s="150">
        <f t="shared" si="5"/>
        <v>228142.29474391128</v>
      </c>
      <c r="H23" s="54">
        <f>H28+H37+H39</f>
        <v>830442.757339274</v>
      </c>
      <c r="I23" s="54">
        <f t="shared" si="5"/>
        <v>1283385.0024364819</v>
      </c>
      <c r="J23" s="54">
        <f>J28+J37+J39</f>
        <v>954110.4955482247</v>
      </c>
    </row>
    <row r="24" spans="1:10" s="10" customFormat="1" ht="16.5" customHeight="1" thickBot="1" thickTop="1">
      <c r="A24" s="349" t="s">
        <v>28</v>
      </c>
      <c r="B24" s="357">
        <f>B30+B37+B39</f>
        <v>230636.72789561923</v>
      </c>
      <c r="C24" s="350">
        <f aca="true" t="shared" si="6" ref="C24:I24">C30+C37+C39</f>
        <v>242896.4629346162</v>
      </c>
      <c r="D24" s="350">
        <f t="shared" si="6"/>
        <v>265239.03628179897</v>
      </c>
      <c r="E24" s="350">
        <f t="shared" si="6"/>
        <v>305203.1995180042</v>
      </c>
      <c r="F24" s="350">
        <f t="shared" si="6"/>
        <v>330196.9752822273</v>
      </c>
      <c r="G24" s="351">
        <f t="shared" si="6"/>
        <v>354134.47748317797</v>
      </c>
      <c r="H24" s="352">
        <f>H30+H37+H39</f>
        <v>1043975.4266300385</v>
      </c>
      <c r="I24" s="54">
        <f t="shared" si="6"/>
        <v>1728306.8793954437</v>
      </c>
      <c r="J24" s="352">
        <f>J30+J37+J39</f>
        <v>1728306.8793954437</v>
      </c>
    </row>
    <row r="25" spans="1:10" s="10" customFormat="1" ht="16.5" customHeight="1" hidden="1" thickBot="1" thickTop="1">
      <c r="A25" s="360" t="s">
        <v>201</v>
      </c>
      <c r="B25" s="358">
        <f aca="true" t="shared" si="7" ref="B25:H25">B32+B37+B39</f>
        <v>212471.32917851154</v>
      </c>
      <c r="C25" s="353">
        <f t="shared" si="7"/>
        <v>208775.91588308188</v>
      </c>
      <c r="D25" s="353">
        <f t="shared" si="7"/>
        <v>233053.89414315912</v>
      </c>
      <c r="E25" s="354">
        <f t="shared" si="7"/>
        <v>252985.18544992348</v>
      </c>
      <c r="F25" s="346">
        <f t="shared" si="7"/>
        <v>253950.9380346144</v>
      </c>
      <c r="G25" s="347">
        <f t="shared" si="7"/>
        <v>252556.40072831247</v>
      </c>
      <c r="H25" s="348">
        <f t="shared" si="7"/>
        <v>907286.324654676</v>
      </c>
      <c r="I25" s="344"/>
      <c r="J25" s="348">
        <f>J32+J37+J39</f>
        <v>1067371.4183560095</v>
      </c>
    </row>
    <row r="26" spans="1:10" s="10" customFormat="1" ht="16.5" customHeight="1" hidden="1" thickBot="1" thickTop="1">
      <c r="A26" s="40" t="s">
        <v>202</v>
      </c>
      <c r="B26" s="356">
        <f aca="true" t="shared" si="8" ref="B26:H26">B34+B37+B39</f>
        <v>238232.01035060862</v>
      </c>
      <c r="C26" s="146">
        <f t="shared" si="8"/>
        <v>251411.2672206429</v>
      </c>
      <c r="D26" s="146">
        <f t="shared" si="8"/>
        <v>304985.8049967199</v>
      </c>
      <c r="E26" s="355">
        <f t="shared" si="8"/>
        <v>355945.0903263722</v>
      </c>
      <c r="F26" s="145">
        <f t="shared" si="8"/>
        <v>379110.94860389794</v>
      </c>
      <c r="G26" s="345">
        <f t="shared" si="8"/>
        <v>394795.37113431876</v>
      </c>
      <c r="H26" s="54">
        <f t="shared" si="8"/>
        <v>1150574.1728943437</v>
      </c>
      <c r="I26" s="344"/>
      <c r="J26" s="54">
        <f>J34+J37+J39</f>
        <v>1509662.2150613088</v>
      </c>
    </row>
    <row r="27" spans="1:10" s="1" customFormat="1" ht="6" customHeight="1" thickTop="1">
      <c r="A27" s="7"/>
      <c r="B27" s="359"/>
      <c r="C27" s="23"/>
      <c r="D27" s="23"/>
      <c r="E27" s="195"/>
      <c r="F27" s="23"/>
      <c r="G27" s="149"/>
      <c r="H27" s="33"/>
      <c r="I27" s="33"/>
      <c r="J27" s="33"/>
    </row>
    <row r="28" spans="1:10" s="1" customFormat="1" ht="24.75" customHeight="1" hidden="1">
      <c r="A28" s="45" t="s">
        <v>182</v>
      </c>
      <c r="B28" s="993">
        <f>'Tabuľka 1 NZR'!F87</f>
        <v>168028.96603250966</v>
      </c>
      <c r="C28" s="718">
        <f>'Tabuľka 1 NZR'!H87</f>
        <v>161245.5408557475</v>
      </c>
      <c r="D28" s="718">
        <f>'Tabuľka 1 NZR'!J87</f>
        <v>165046.76616371458</v>
      </c>
      <c r="E28" s="718">
        <f>'Tabuľka 1 NZR'!L87</f>
        <v>178801.9217873023</v>
      </c>
      <c r="F28" s="718">
        <f>'Tabuľka 1 NZR'!N87</f>
        <v>180433.97222829654</v>
      </c>
      <c r="G28" s="729">
        <f>'Tabuľka 1 NZR'!P87</f>
        <v>181558.0177126613</v>
      </c>
      <c r="H28" s="724">
        <f>SUM(B28:E28)</f>
        <v>673123.194839274</v>
      </c>
      <c r="I28" s="724">
        <f>SUM(B28:G28)</f>
        <v>1035115.1847802319</v>
      </c>
      <c r="J28" s="724">
        <f>SUM(D28:G28)</f>
        <v>705840.6778919747</v>
      </c>
    </row>
    <row r="29" spans="1:10" s="1" customFormat="1" ht="24.75" customHeight="1" hidden="1">
      <c r="A29" s="202" t="s">
        <v>188</v>
      </c>
      <c r="B29" s="717"/>
      <c r="C29" s="719"/>
      <c r="D29" s="719"/>
      <c r="E29" s="719"/>
      <c r="F29" s="719"/>
      <c r="G29" s="994"/>
      <c r="H29" s="725"/>
      <c r="I29" s="725"/>
      <c r="J29" s="725"/>
    </row>
    <row r="30" spans="1:10" s="1" customFormat="1" ht="24.75" customHeight="1">
      <c r="A30" s="45" t="s">
        <v>227</v>
      </c>
      <c r="B30" s="716">
        <f>'Tabuľka 1 NZR'!F91</f>
        <v>194136.72789561923</v>
      </c>
      <c r="C30" s="718">
        <f>'Tabuľka 1 NZR'!H91</f>
        <v>204571.4629346162</v>
      </c>
      <c r="D30" s="718">
        <f>'Tabuľka 1 NZR'!J91</f>
        <v>224997.78628179897</v>
      </c>
      <c r="E30" s="718">
        <f>'Tabuľka 1 NZR'!L91</f>
        <v>262949.8870180042</v>
      </c>
      <c r="F30" s="718">
        <f>'Tabuľka 1 NZR'!N91</f>
        <v>285830.99715722725</v>
      </c>
      <c r="G30" s="718">
        <f>'Tabuľka 1 NZR'!P91</f>
        <v>307550.20045192796</v>
      </c>
      <c r="H30" s="724">
        <f>B30+C30+D30+E30</f>
        <v>886655.8641300385</v>
      </c>
      <c r="I30" s="724">
        <f>SUM(B30:G30)</f>
        <v>1480037.0617391937</v>
      </c>
      <c r="J30" s="724">
        <f>B30+C30+D30+E30+F30+G30</f>
        <v>1480037.0617391937</v>
      </c>
    </row>
    <row r="31" spans="1:10" s="1" customFormat="1" ht="24.75" customHeight="1">
      <c r="A31" s="202" t="s">
        <v>228</v>
      </c>
      <c r="B31" s="717"/>
      <c r="C31" s="719"/>
      <c r="D31" s="719"/>
      <c r="E31" s="719"/>
      <c r="F31" s="719"/>
      <c r="G31" s="719"/>
      <c r="H31" s="995"/>
      <c r="I31" s="995"/>
      <c r="J31" s="995"/>
    </row>
    <row r="32" spans="1:10" s="1" customFormat="1" ht="24.75" customHeight="1" hidden="1">
      <c r="A32" s="45" t="s">
        <v>183</v>
      </c>
      <c r="B32" s="716">
        <f>'Tabuľka 1 NZR'!F95</f>
        <v>175971.32917851154</v>
      </c>
      <c r="C32" s="718">
        <f>'Tabuľka 1 NZR'!H95</f>
        <v>170450.91588308188</v>
      </c>
      <c r="D32" s="718">
        <f>'Tabuľka 1 NZR'!J95</f>
        <v>192812.64414315912</v>
      </c>
      <c r="E32" s="718">
        <f>'Tabuľka 1 NZR'!L95</f>
        <v>210731.87294992348</v>
      </c>
      <c r="F32" s="718">
        <f>'Tabuľka 1 NZR'!N95</f>
        <v>209584.9599096144</v>
      </c>
      <c r="G32" s="729">
        <f>'Tabuľka 1 NZR'!P95</f>
        <v>205972.1236970625</v>
      </c>
      <c r="H32" s="724">
        <f>SUM(B32:E32)</f>
        <v>749966.762154676</v>
      </c>
      <c r="I32" s="312"/>
      <c r="J32" s="724">
        <f>SUM(D32:G32)</f>
        <v>819101.6006997596</v>
      </c>
    </row>
    <row r="33" spans="1:10" s="1" customFormat="1" ht="24.75" customHeight="1" hidden="1">
      <c r="A33" s="202" t="s">
        <v>188</v>
      </c>
      <c r="B33" s="717"/>
      <c r="C33" s="719"/>
      <c r="D33" s="719"/>
      <c r="E33" s="719"/>
      <c r="F33" s="719"/>
      <c r="G33" s="994"/>
      <c r="H33" s="725"/>
      <c r="I33" s="312"/>
      <c r="J33" s="725"/>
    </row>
    <row r="34" spans="1:10" s="1" customFormat="1" ht="24.75" customHeight="1" hidden="1">
      <c r="A34" s="45" t="s">
        <v>184</v>
      </c>
      <c r="B34" s="716">
        <f>'Tabuľka 1 NZR'!F99</f>
        <v>201732.01035060862</v>
      </c>
      <c r="C34" s="718">
        <f>'Tabuľka 1 NZR'!H99</f>
        <v>213086.2672206429</v>
      </c>
      <c r="D34" s="718">
        <f>'Tabuľka 1 NZR'!J99</f>
        <v>264744.5549967199</v>
      </c>
      <c r="E34" s="718">
        <f>'Tabuľka 1 NZR'!L99</f>
        <v>313691.7778263722</v>
      </c>
      <c r="F34" s="718">
        <f>'Tabuľka 1 NZR'!N99</f>
        <v>334744.9704788979</v>
      </c>
      <c r="G34" s="718">
        <f>'Tabuľka 1 NZR'!P99</f>
        <v>348211.09410306875</v>
      </c>
      <c r="H34" s="724">
        <f>SUM(B34:E34)</f>
        <v>993254.6103943436</v>
      </c>
      <c r="I34" s="312"/>
      <c r="J34" s="724">
        <f>SUM(D34:G34)</f>
        <v>1261392.3974050588</v>
      </c>
    </row>
    <row r="35" spans="1:10" s="1" customFormat="1" ht="24.75" customHeight="1" hidden="1">
      <c r="A35" s="202" t="s">
        <v>189</v>
      </c>
      <c r="B35" s="717"/>
      <c r="C35" s="719"/>
      <c r="D35" s="719"/>
      <c r="E35" s="719"/>
      <c r="F35" s="719"/>
      <c r="G35" s="719"/>
      <c r="H35" s="995"/>
      <c r="I35" s="312"/>
      <c r="J35" s="995"/>
    </row>
    <row r="36" spans="1:10" s="1" customFormat="1" ht="6" customHeight="1">
      <c r="A36" s="7"/>
      <c r="B36" s="21"/>
      <c r="C36" s="23"/>
      <c r="D36" s="23"/>
      <c r="E36" s="195"/>
      <c r="F36" s="23"/>
      <c r="G36" s="149"/>
      <c r="H36" s="44"/>
      <c r="I36" s="44"/>
      <c r="J36" s="44"/>
    </row>
    <row r="37" spans="1:10" s="1" customFormat="1" ht="24.75" customHeight="1">
      <c r="A37" s="53" t="s">
        <v>252</v>
      </c>
      <c r="B37" s="48">
        <v>35000</v>
      </c>
      <c r="C37" s="50">
        <f>B37*1.05</f>
        <v>36750</v>
      </c>
      <c r="D37" s="50">
        <f>C37*1.05</f>
        <v>38587.5</v>
      </c>
      <c r="E37" s="197">
        <f>D37*1.05</f>
        <v>40516.875</v>
      </c>
      <c r="F37" s="50">
        <f>E37*1.05</f>
        <v>42542.71875</v>
      </c>
      <c r="G37" s="136">
        <f>F37*1.05</f>
        <v>44669.8546875</v>
      </c>
      <c r="H37" s="43">
        <f>B37+C37+D37+E37</f>
        <v>150854.375</v>
      </c>
      <c r="I37" s="43">
        <f>SUM(B37:G37)</f>
        <v>238066.9484375</v>
      </c>
      <c r="J37" s="43">
        <f>B37+C37+D37+E37+F37+G37</f>
        <v>238066.9484375</v>
      </c>
    </row>
    <row r="38" spans="1:10" s="1" customFormat="1" ht="6" customHeight="1">
      <c r="A38" s="8"/>
      <c r="B38" s="21"/>
      <c r="C38" s="23"/>
      <c r="D38" s="23"/>
      <c r="E38" s="195"/>
      <c r="F38" s="23"/>
      <c r="G38" s="149"/>
      <c r="H38" s="51"/>
      <c r="I38" s="51"/>
      <c r="J38" s="51"/>
    </row>
    <row r="39" spans="1:10" s="1" customFormat="1" ht="24.75" customHeight="1">
      <c r="A39" s="53" t="s">
        <v>31</v>
      </c>
      <c r="B39" s="48">
        <v>1500</v>
      </c>
      <c r="C39" s="50">
        <f>B39*1.05</f>
        <v>1575</v>
      </c>
      <c r="D39" s="50">
        <f>C39*1.05</f>
        <v>1653.75</v>
      </c>
      <c r="E39" s="50">
        <f>D39*1.05</f>
        <v>1736.4375</v>
      </c>
      <c r="F39" s="50">
        <f>E39*1.05</f>
        <v>1823.259375</v>
      </c>
      <c r="G39" s="50">
        <f>F39*1.05</f>
        <v>1914.4223437500002</v>
      </c>
      <c r="H39" s="51">
        <f>B39+C39+D39+E39</f>
        <v>6465.1875</v>
      </c>
      <c r="I39" s="51">
        <f>SUM(B39:G39)</f>
        <v>10202.86921875</v>
      </c>
      <c r="J39" s="51">
        <f>B39+C39+D39+E39+F39+G39</f>
        <v>10202.86921875</v>
      </c>
    </row>
    <row r="40" spans="1:10" s="1" customFormat="1" ht="6" customHeight="1">
      <c r="A40" s="8"/>
      <c r="B40" s="21"/>
      <c r="C40" s="23"/>
      <c r="D40" s="23"/>
      <c r="E40" s="195"/>
      <c r="F40" s="23"/>
      <c r="G40" s="188"/>
      <c r="H40" s="457"/>
      <c r="I40" s="51"/>
      <c r="J40" s="457"/>
    </row>
    <row r="41" spans="1:10" ht="6.75" customHeight="1" thickBot="1">
      <c r="A41" s="16"/>
      <c r="B41" s="29"/>
      <c r="C41" s="28"/>
      <c r="D41" s="28"/>
      <c r="E41" s="200"/>
      <c r="F41" s="28"/>
      <c r="G41" s="191"/>
      <c r="H41" s="458"/>
      <c r="I41" s="56"/>
      <c r="J41" s="458"/>
    </row>
    <row r="42" ht="9.75" customHeight="1" thickBot="1" thickTop="1">
      <c r="A42" s="4"/>
    </row>
    <row r="43" spans="1:8" ht="12.75">
      <c r="A43" s="496" t="s">
        <v>143</v>
      </c>
      <c r="B43" s="501">
        <v>450</v>
      </c>
      <c r="C43" s="502">
        <v>500</v>
      </c>
      <c r="D43" s="503">
        <v>550</v>
      </c>
      <c r="E43" s="504">
        <v>600</v>
      </c>
      <c r="F43" s="319">
        <v>550</v>
      </c>
      <c r="G43" s="378">
        <f>F43*0.865</f>
        <v>475.75</v>
      </c>
      <c r="H43" s="495"/>
    </row>
    <row r="44" spans="1:8" ht="12.75">
      <c r="A44" s="497" t="s">
        <v>190</v>
      </c>
      <c r="B44" s="505">
        <v>435</v>
      </c>
      <c r="C44" s="506">
        <v>500</v>
      </c>
      <c r="D44" s="507">
        <v>560</v>
      </c>
      <c r="E44" s="508">
        <v>620</v>
      </c>
      <c r="F44" s="391">
        <f>G44/0.807</f>
        <v>557.6208178438661</v>
      </c>
      <c r="G44" s="392">
        <v>450</v>
      </c>
      <c r="H44" s="499"/>
    </row>
    <row r="45" spans="1:8" ht="12.75">
      <c r="A45" s="497" t="s">
        <v>191</v>
      </c>
      <c r="B45" s="505">
        <v>0</v>
      </c>
      <c r="C45" s="506">
        <v>0</v>
      </c>
      <c r="D45" s="507">
        <v>1264</v>
      </c>
      <c r="E45" s="508">
        <v>1264</v>
      </c>
      <c r="F45" s="391">
        <f>G45/0.807</f>
        <v>991.3258983890953</v>
      </c>
      <c r="G45" s="392">
        <v>800</v>
      </c>
      <c r="H45" s="499"/>
    </row>
    <row r="46" spans="1:8" ht="13.5" thickBot="1">
      <c r="A46" s="498" t="s">
        <v>192</v>
      </c>
      <c r="B46" s="509">
        <v>124</v>
      </c>
      <c r="C46" s="510">
        <v>124</v>
      </c>
      <c r="D46" s="511">
        <v>124</v>
      </c>
      <c r="E46" s="512">
        <v>124</v>
      </c>
      <c r="F46" s="341">
        <f>G46/0.807</f>
        <v>123.91573729863691</v>
      </c>
      <c r="G46" s="244">
        <v>100</v>
      </c>
      <c r="H46" s="499"/>
    </row>
    <row r="47" spans="1:11" ht="9.75" customHeight="1" thickBot="1">
      <c r="A47" s="500"/>
      <c r="B47" s="83"/>
      <c r="C47" s="83"/>
      <c r="D47" s="83"/>
      <c r="E47" s="83"/>
      <c r="F47" s="83"/>
      <c r="G47" s="83"/>
      <c r="H47" s="495"/>
      <c r="I47" s="83"/>
      <c r="J47" s="76"/>
      <c r="K47" s="76"/>
    </row>
    <row r="48" ht="9.75" customHeight="1" thickBot="1" thickTop="1"/>
    <row r="49" spans="1:4" ht="13.5" thickTop="1">
      <c r="A49" s="941" t="s">
        <v>96</v>
      </c>
      <c r="B49" s="836" t="s">
        <v>147</v>
      </c>
      <c r="C49" s="837"/>
      <c r="D49" s="237">
        <f>(D50*7.3*D51)</f>
        <v>12126.9722256</v>
      </c>
    </row>
    <row r="50" spans="1:4" ht="12.75">
      <c r="A50" s="869"/>
      <c r="B50" s="943" t="s">
        <v>294</v>
      </c>
      <c r="C50" s="944"/>
      <c r="D50" s="299">
        <v>52.524</v>
      </c>
    </row>
    <row r="51" spans="1:4" ht="12.75">
      <c r="A51" s="869"/>
      <c r="B51" s="945"/>
      <c r="C51" s="946"/>
      <c r="D51" s="235">
        <v>31.628</v>
      </c>
    </row>
    <row r="52" spans="1:4" ht="13.5" thickBot="1">
      <c r="A52" s="942"/>
      <c r="B52" s="947"/>
      <c r="C52" s="948"/>
      <c r="D52" s="300"/>
    </row>
    <row r="53" spans="1:4" ht="12.75">
      <c r="A53" s="868" t="s">
        <v>118</v>
      </c>
      <c r="B53" s="935" t="s">
        <v>147</v>
      </c>
      <c r="C53" s="936"/>
      <c r="D53" s="372">
        <f>(D54*0.4255+D55*0.539+D56*0.0355)</f>
        <v>18293.02</v>
      </c>
    </row>
    <row r="54" spans="1:4" ht="12.75">
      <c r="A54" s="869"/>
      <c r="B54" s="943" t="s">
        <v>293</v>
      </c>
      <c r="C54" s="996"/>
      <c r="D54" s="236">
        <v>18500</v>
      </c>
    </row>
    <row r="55" spans="1:4" ht="12.75">
      <c r="A55" s="869"/>
      <c r="B55" s="959"/>
      <c r="C55" s="960"/>
      <c r="D55" s="236">
        <v>18880</v>
      </c>
    </row>
    <row r="56" spans="1:4" ht="13.5" thickBot="1">
      <c r="A56" s="942"/>
      <c r="B56" s="947"/>
      <c r="C56" s="948"/>
      <c r="D56" s="373">
        <v>6900</v>
      </c>
    </row>
  </sheetData>
  <mergeCells count="61">
    <mergeCell ref="J32:J33"/>
    <mergeCell ref="J34:J35"/>
    <mergeCell ref="A1:H1"/>
    <mergeCell ref="J15:J17"/>
    <mergeCell ref="J19:J21"/>
    <mergeCell ref="J28:J29"/>
    <mergeCell ref="J30:J31"/>
    <mergeCell ref="F32:F33"/>
    <mergeCell ref="G32:G33"/>
    <mergeCell ref="H32:H33"/>
    <mergeCell ref="E34:E35"/>
    <mergeCell ref="B54:C56"/>
    <mergeCell ref="A53:A56"/>
    <mergeCell ref="A49:A52"/>
    <mergeCell ref="B49:C49"/>
    <mergeCell ref="B50:C52"/>
    <mergeCell ref="B53:C53"/>
    <mergeCell ref="F34:F35"/>
    <mergeCell ref="G34:G35"/>
    <mergeCell ref="H34:H35"/>
    <mergeCell ref="B32:B33"/>
    <mergeCell ref="C32:C33"/>
    <mergeCell ref="D32:D33"/>
    <mergeCell ref="E32:E33"/>
    <mergeCell ref="B34:B35"/>
    <mergeCell ref="C34:C35"/>
    <mergeCell ref="D34:D35"/>
    <mergeCell ref="G19:G21"/>
    <mergeCell ref="H19:H21"/>
    <mergeCell ref="C19:C21"/>
    <mergeCell ref="D19:D21"/>
    <mergeCell ref="E19:E21"/>
    <mergeCell ref="F19:F21"/>
    <mergeCell ref="F30:F31"/>
    <mergeCell ref="G30:G31"/>
    <mergeCell ref="H30:H31"/>
    <mergeCell ref="I30:I31"/>
    <mergeCell ref="B30:B31"/>
    <mergeCell ref="C30:C31"/>
    <mergeCell ref="D30:D31"/>
    <mergeCell ref="E30:E31"/>
    <mergeCell ref="I15:I17"/>
    <mergeCell ref="B28:B29"/>
    <mergeCell ref="C28:C29"/>
    <mergeCell ref="D28:D29"/>
    <mergeCell ref="E28:E29"/>
    <mergeCell ref="F28:F29"/>
    <mergeCell ref="G28:G29"/>
    <mergeCell ref="H28:H29"/>
    <mergeCell ref="I28:I29"/>
    <mergeCell ref="B19:B21"/>
    <mergeCell ref="D3:F3"/>
    <mergeCell ref="A2:H2"/>
    <mergeCell ref="G3:H3"/>
    <mergeCell ref="B15:B17"/>
    <mergeCell ref="C15:C17"/>
    <mergeCell ref="D15:D17"/>
    <mergeCell ref="E15:E17"/>
    <mergeCell ref="F15:F17"/>
    <mergeCell ref="G15:G17"/>
    <mergeCell ref="H15:H1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N33"/>
  <sheetViews>
    <sheetView workbookViewId="0" topLeftCell="A1">
      <selection activeCell="A1" sqref="A1:AN1"/>
    </sheetView>
  </sheetViews>
  <sheetFormatPr defaultColWidth="9.00390625" defaultRowHeight="12.75"/>
  <cols>
    <col min="1" max="4" width="7.75390625" style="0" customWidth="1"/>
    <col min="5" max="6" width="7.75390625" style="0" hidden="1" customWidth="1"/>
    <col min="7" max="7" width="7.75390625" style="0" customWidth="1"/>
    <col min="8" max="9" width="7.75390625" style="0" hidden="1" customWidth="1"/>
    <col min="10" max="10" width="7.75390625" style="0" customWidth="1"/>
    <col min="11" max="12" width="9.75390625" style="0" customWidth="1"/>
    <col min="13" max="15" width="9.75390625" style="0" hidden="1" customWidth="1"/>
    <col min="16" max="16" width="9.75390625" style="0" customWidth="1"/>
    <col min="17" max="23" width="9.75390625" style="0" hidden="1" customWidth="1"/>
    <col min="24" max="24" width="9.75390625" style="0" customWidth="1"/>
    <col min="25" max="26" width="9.75390625" style="0" hidden="1" customWidth="1"/>
    <col min="27" max="27" width="9.75390625" style="0" customWidth="1"/>
    <col min="28" max="31" width="9.75390625" style="0" hidden="1" customWidth="1"/>
    <col min="32" max="34" width="7.75390625" style="0" customWidth="1"/>
    <col min="37" max="38" width="8.875" style="0" hidden="1" customWidth="1"/>
    <col min="40" max="40" width="7.75390625" style="0" customWidth="1"/>
  </cols>
  <sheetData>
    <row r="1" spans="1:40" ht="18">
      <c r="A1" s="852" t="s">
        <v>166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I1" s="852"/>
      <c r="AJ1" s="852"/>
      <c r="AK1" s="852"/>
      <c r="AL1" s="852"/>
      <c r="AM1" s="852"/>
      <c r="AN1" s="852"/>
    </row>
    <row r="2" spans="1:40" ht="18" hidden="1">
      <c r="A2" s="852" t="s">
        <v>287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  <c r="AB2" s="852"/>
      <c r="AC2" s="852"/>
      <c r="AD2" s="852"/>
      <c r="AE2" s="852"/>
      <c r="AF2" s="852"/>
      <c r="AG2" s="852"/>
      <c r="AH2" s="852"/>
      <c r="AI2" s="852"/>
      <c r="AJ2" s="852"/>
      <c r="AK2" s="852"/>
      <c r="AL2" s="852"/>
      <c r="AM2" s="852"/>
      <c r="AN2" s="852"/>
    </row>
    <row r="3" spans="1:40" ht="18">
      <c r="A3" s="852" t="s">
        <v>186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2"/>
      <c r="AK3" s="852"/>
      <c r="AL3" s="852"/>
      <c r="AM3" s="852"/>
      <c r="AN3" s="852"/>
    </row>
    <row r="4" spans="1:40" ht="15.75" thickBot="1">
      <c r="A4" s="832" t="s">
        <v>217</v>
      </c>
      <c r="B4" s="832"/>
      <c r="C4" s="832"/>
      <c r="D4" s="1052" t="s">
        <v>292</v>
      </c>
      <c r="E4" s="704"/>
      <c r="F4" s="704"/>
      <c r="G4" s="704"/>
      <c r="H4" s="704"/>
      <c r="I4" s="704"/>
      <c r="J4" s="704"/>
      <c r="K4" s="704"/>
      <c r="L4" s="434"/>
      <c r="M4" s="434"/>
      <c r="N4" s="434"/>
      <c r="O4" s="434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J4" s="731" t="s">
        <v>289</v>
      </c>
      <c r="AK4" s="731"/>
      <c r="AL4" s="731"/>
      <c r="AM4" s="731"/>
      <c r="AN4" s="731"/>
    </row>
    <row r="5" spans="1:40" ht="19.5" customHeight="1" thickTop="1">
      <c r="A5" s="1053" t="s">
        <v>156</v>
      </c>
      <c r="B5" s="1054" t="s">
        <v>157</v>
      </c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4"/>
      <c r="S5" s="1034"/>
      <c r="T5" s="1034"/>
      <c r="U5" s="1034"/>
      <c r="V5" s="1034"/>
      <c r="W5" s="1034"/>
      <c r="X5" s="1034"/>
      <c r="Y5" s="1034"/>
      <c r="Z5" s="1034"/>
      <c r="AA5" s="1034"/>
      <c r="AB5" s="1034"/>
      <c r="AC5" s="1034"/>
      <c r="AD5" s="1034"/>
      <c r="AE5" s="1055"/>
      <c r="AF5" s="1033" t="s">
        <v>160</v>
      </c>
      <c r="AG5" s="1034"/>
      <c r="AH5" s="1034"/>
      <c r="AI5" s="1034"/>
      <c r="AJ5" s="1034"/>
      <c r="AK5" s="1034"/>
      <c r="AL5" s="1034"/>
      <c r="AM5" s="1034"/>
      <c r="AN5" s="883"/>
    </row>
    <row r="6" spans="1:40" ht="19.5" customHeight="1">
      <c r="A6" s="981"/>
      <c r="B6" s="1035" t="s">
        <v>213</v>
      </c>
      <c r="C6" s="1038" t="s">
        <v>220</v>
      </c>
      <c r="D6" s="1039"/>
      <c r="E6" s="1039"/>
      <c r="F6" s="1039"/>
      <c r="G6" s="1039"/>
      <c r="H6" s="1039"/>
      <c r="I6" s="1039"/>
      <c r="J6" s="1040"/>
      <c r="K6" s="1041" t="s">
        <v>197</v>
      </c>
      <c r="L6" s="1039"/>
      <c r="M6" s="1039"/>
      <c r="N6" s="1039"/>
      <c r="O6" s="1039"/>
      <c r="P6" s="1039"/>
      <c r="Q6" s="1039"/>
      <c r="R6" s="1039"/>
      <c r="S6" s="1039"/>
      <c r="T6" s="1039"/>
      <c r="U6" s="1039"/>
      <c r="V6" s="1039"/>
      <c r="W6" s="1039"/>
      <c r="X6" s="1039"/>
      <c r="Y6" s="1039"/>
      <c r="Z6" s="1039"/>
      <c r="AA6" s="1039"/>
      <c r="AB6" s="1039"/>
      <c r="AC6" s="1039"/>
      <c r="AD6" s="1039"/>
      <c r="AE6" s="1040"/>
      <c r="AF6" s="1041" t="s">
        <v>158</v>
      </c>
      <c r="AG6" s="1039"/>
      <c r="AH6" s="1040"/>
      <c r="AI6" s="1042" t="s">
        <v>159</v>
      </c>
      <c r="AJ6" s="1042"/>
      <c r="AK6" s="1042"/>
      <c r="AL6" s="1042"/>
      <c r="AM6" s="1042"/>
      <c r="AN6" s="1043" t="s">
        <v>165</v>
      </c>
    </row>
    <row r="7" spans="1:40" ht="19.5" customHeight="1">
      <c r="A7" s="981"/>
      <c r="B7" s="1036"/>
      <c r="C7" s="1046" t="s">
        <v>158</v>
      </c>
      <c r="D7" s="1049" t="s">
        <v>159</v>
      </c>
      <c r="E7" s="1050"/>
      <c r="F7" s="1050"/>
      <c r="G7" s="1050"/>
      <c r="H7" s="1050"/>
      <c r="I7" s="1050"/>
      <c r="J7" s="1051"/>
      <c r="K7" s="1012" t="s">
        <v>158</v>
      </c>
      <c r="L7" s="1056" t="s">
        <v>159</v>
      </c>
      <c r="M7" s="1057"/>
      <c r="N7" s="1057"/>
      <c r="O7" s="1057"/>
      <c r="P7" s="1057"/>
      <c r="Q7" s="1057"/>
      <c r="R7" s="1057"/>
      <c r="S7" s="1057"/>
      <c r="T7" s="1057"/>
      <c r="U7" s="1057"/>
      <c r="V7" s="1057"/>
      <c r="W7" s="1057"/>
      <c r="X7" s="1057"/>
      <c r="Y7" s="1057"/>
      <c r="Z7" s="1057"/>
      <c r="AA7" s="1057"/>
      <c r="AB7" s="1057"/>
      <c r="AC7" s="1057"/>
      <c r="AD7" s="1057"/>
      <c r="AE7" s="1058"/>
      <c r="AF7" s="1022" t="s">
        <v>164</v>
      </c>
      <c r="AG7" s="1016" t="s">
        <v>161</v>
      </c>
      <c r="AH7" s="708" t="s">
        <v>119</v>
      </c>
      <c r="AI7" s="1019" t="s">
        <v>207</v>
      </c>
      <c r="AJ7" s="1019" t="s">
        <v>163</v>
      </c>
      <c r="AK7" s="997" t="s">
        <v>211</v>
      </c>
      <c r="AL7" s="1000" t="s">
        <v>212</v>
      </c>
      <c r="AM7" s="1003" t="s">
        <v>205</v>
      </c>
      <c r="AN7" s="1044"/>
    </row>
    <row r="8" spans="1:40" ht="19.5" customHeight="1">
      <c r="A8" s="981"/>
      <c r="B8" s="1036"/>
      <c r="C8" s="1047"/>
      <c r="D8" s="1006" t="s">
        <v>163</v>
      </c>
      <c r="E8" s="1008" t="s">
        <v>218</v>
      </c>
      <c r="F8" s="1010" t="s">
        <v>219</v>
      </c>
      <c r="G8" s="1012" t="s">
        <v>207</v>
      </c>
      <c r="H8" s="1014" t="s">
        <v>208</v>
      </c>
      <c r="I8" s="1010" t="s">
        <v>210</v>
      </c>
      <c r="J8" s="1012" t="s">
        <v>254</v>
      </c>
      <c r="K8" s="1020"/>
      <c r="L8" s="1024" t="s">
        <v>198</v>
      </c>
      <c r="M8" s="1024"/>
      <c r="N8" s="1024"/>
      <c r="O8" s="1024"/>
      <c r="P8" s="1024"/>
      <c r="Q8" s="1024"/>
      <c r="R8" s="1024"/>
      <c r="S8" s="1024"/>
      <c r="T8" s="1024"/>
      <c r="U8" s="1024"/>
      <c r="V8" s="1024"/>
      <c r="W8" s="1024"/>
      <c r="X8" s="1024"/>
      <c r="Y8" s="1024"/>
      <c r="Z8" s="1024"/>
      <c r="AA8" s="1006" t="s">
        <v>265</v>
      </c>
      <c r="AB8" s="1025" t="s">
        <v>209</v>
      </c>
      <c r="AC8" s="1027" t="s">
        <v>261</v>
      </c>
      <c r="AD8" s="1029" t="s">
        <v>262</v>
      </c>
      <c r="AE8" s="1031" t="s">
        <v>242</v>
      </c>
      <c r="AF8" s="1022"/>
      <c r="AG8" s="1017"/>
      <c r="AH8" s="708"/>
      <c r="AI8" s="1020"/>
      <c r="AJ8" s="1020"/>
      <c r="AK8" s="998"/>
      <c r="AL8" s="1001"/>
      <c r="AM8" s="1004"/>
      <c r="AN8" s="1044"/>
    </row>
    <row r="9" spans="1:40" ht="45" customHeight="1" thickBot="1">
      <c r="A9" s="982"/>
      <c r="B9" s="1037"/>
      <c r="C9" s="1048"/>
      <c r="D9" s="1007"/>
      <c r="E9" s="1009"/>
      <c r="F9" s="1011"/>
      <c r="G9" s="1013"/>
      <c r="H9" s="1015"/>
      <c r="I9" s="1011"/>
      <c r="J9" s="1013"/>
      <c r="K9" s="1021"/>
      <c r="L9" s="421" t="s">
        <v>196</v>
      </c>
      <c r="M9" s="537" t="s">
        <v>256</v>
      </c>
      <c r="N9" s="538" t="s">
        <v>257</v>
      </c>
      <c r="O9" s="539" t="s">
        <v>258</v>
      </c>
      <c r="P9" s="540" t="s">
        <v>275</v>
      </c>
      <c r="Q9" s="413" t="s">
        <v>259</v>
      </c>
      <c r="R9" s="413" t="s">
        <v>260</v>
      </c>
      <c r="S9" s="536" t="s">
        <v>258</v>
      </c>
      <c r="T9" s="542" t="s">
        <v>255</v>
      </c>
      <c r="U9" s="540" t="s">
        <v>261</v>
      </c>
      <c r="V9" s="420" t="s">
        <v>262</v>
      </c>
      <c r="W9" s="541" t="s">
        <v>242</v>
      </c>
      <c r="X9" s="587" t="s">
        <v>206</v>
      </c>
      <c r="Y9" s="540" t="s">
        <v>263</v>
      </c>
      <c r="Z9" s="540" t="s">
        <v>264</v>
      </c>
      <c r="AA9" s="1023"/>
      <c r="AB9" s="1026"/>
      <c r="AC9" s="1028"/>
      <c r="AD9" s="1030"/>
      <c r="AE9" s="1032"/>
      <c r="AF9" s="1023"/>
      <c r="AG9" s="1018"/>
      <c r="AH9" s="710"/>
      <c r="AI9" s="1021"/>
      <c r="AJ9" s="1021"/>
      <c r="AK9" s="999"/>
      <c r="AL9" s="1002"/>
      <c r="AM9" s="1005"/>
      <c r="AN9" s="1045"/>
    </row>
    <row r="10" spans="1:40" ht="19.5" customHeight="1">
      <c r="A10" s="248">
        <v>2005</v>
      </c>
      <c r="B10" s="492">
        <f aca="true" t="shared" si="0" ref="B10:B15">C10+K10</f>
        <v>852.9469999999999</v>
      </c>
      <c r="C10" s="460">
        <v>500</v>
      </c>
      <c r="D10" s="459">
        <f aca="true" t="shared" si="1" ref="D10:D15">E10+F10</f>
        <v>70</v>
      </c>
      <c r="E10" s="461">
        <v>50</v>
      </c>
      <c r="F10" s="462">
        <v>20</v>
      </c>
      <c r="G10" s="463">
        <v>338</v>
      </c>
      <c r="H10" s="461">
        <f>'Tabuľka 4 HR a MR'!B16/1000</f>
        <v>81.075</v>
      </c>
      <c r="I10" s="462">
        <f>'Tabuľka 4 HR a MR'!B17/1000</f>
        <v>11</v>
      </c>
      <c r="J10" s="463">
        <f aca="true" t="shared" si="2" ref="J10:J15">H10+I10</f>
        <v>92.075</v>
      </c>
      <c r="K10" s="463">
        <f aca="true" t="shared" si="3" ref="K10:K15">L10+P10+X10+AA10</f>
        <v>352.94699999999995</v>
      </c>
      <c r="L10" s="463">
        <f aca="true" t="shared" si="4" ref="L10:L15">M10+N10+O10</f>
        <v>49</v>
      </c>
      <c r="M10" s="461">
        <v>12.5</v>
      </c>
      <c r="N10" s="465">
        <f>'Tabuľka 2 NZR'!B37/1000</f>
        <v>35</v>
      </c>
      <c r="O10" s="462">
        <f>'Tabuľka 2 NZR'!B39/1000</f>
        <v>1.5</v>
      </c>
      <c r="P10" s="464">
        <f aca="true" t="shared" si="5" ref="P10:P15">Q10+R10+S10+T10</f>
        <v>134.521</v>
      </c>
      <c r="Q10" s="464">
        <f>'Tabuľka 4 HR a MR'!B24/1000</f>
        <v>96</v>
      </c>
      <c r="R10" s="464">
        <f>'Tabuľka 4 HR a MR'!B29/1000</f>
        <v>6</v>
      </c>
      <c r="S10" s="468">
        <f>'Tabuľka 4 HR a MR'!B34/1000</f>
        <v>0.6</v>
      </c>
      <c r="T10" s="463">
        <f aca="true" t="shared" si="6" ref="T10:T15">U10+V10+W10</f>
        <v>31.921</v>
      </c>
      <c r="U10" s="464">
        <f>'Tabuľka 5 Ústredie a závody'!B24/1000</f>
        <v>9.582</v>
      </c>
      <c r="V10" s="465">
        <f>'Tabuľka 5 Ústredie a závody'!B32/1000</f>
        <v>8.48</v>
      </c>
      <c r="W10" s="462">
        <f>'Tabuľka 5 Ústredie a závody'!B37/1000</f>
        <v>13.859</v>
      </c>
      <c r="X10" s="461">
        <f aca="true" t="shared" si="7" ref="X10:X15">Y10+Z10</f>
        <v>80.00999999999999</v>
      </c>
      <c r="Y10" s="464">
        <f>'Tabuľka 4 HR a MR'!B25/1000</f>
        <v>47.01</v>
      </c>
      <c r="Z10" s="464">
        <f>'Tabuľka 4 HR a MR'!B30/1000</f>
        <v>33</v>
      </c>
      <c r="AA10" s="459">
        <f aca="true" t="shared" si="8" ref="AA10:AA15">AB10+AC10+AD10+AE10</f>
        <v>89.416</v>
      </c>
      <c r="AB10" s="543">
        <f>'Tabuľka 5 Ústredie a závody'!B27/1000</f>
        <v>12</v>
      </c>
      <c r="AC10" s="464">
        <f>'Tabuľka 5 Ústredie a závody'!B23/1000</f>
        <v>27.5</v>
      </c>
      <c r="AD10" s="465">
        <f>'Tabuľka 5 Ústredie a závody'!B31/1000</f>
        <v>7</v>
      </c>
      <c r="AE10" s="462">
        <f>'Tabuľka 5 Ústredie a závody'!B36/1000</f>
        <v>42.916</v>
      </c>
      <c r="AF10" s="459">
        <v>2500</v>
      </c>
      <c r="AG10" s="467">
        <v>300</v>
      </c>
      <c r="AH10" s="468">
        <f aca="true" t="shared" si="9" ref="AH10:AH15">SUM(AF10:AG10)</f>
        <v>2800</v>
      </c>
      <c r="AI10" s="463">
        <f>('Tabuľka 2 NZR'!B15/1000)-G10</f>
        <v>773.3201938028374</v>
      </c>
      <c r="AJ10" s="463">
        <v>0</v>
      </c>
      <c r="AK10" s="468">
        <f>('Tabuľka 2 NZR'!B24/1000)-L10</f>
        <v>181.63672789561923</v>
      </c>
      <c r="AL10" s="466">
        <v>2</v>
      </c>
      <c r="AM10" s="463">
        <f aca="true" t="shared" si="10" ref="AM10:AM15">AK10+AL10</f>
        <v>183.63672789561923</v>
      </c>
      <c r="AN10" s="469">
        <f aca="true" t="shared" si="11" ref="AN10:AN15">AF10+AG10-AI10-AJ10-AM10</f>
        <v>1843.0430783015433</v>
      </c>
    </row>
    <row r="11" spans="1:40" ht="19.5" customHeight="1">
      <c r="A11" s="249">
        <v>2006</v>
      </c>
      <c r="B11" s="493">
        <f t="shared" si="0"/>
        <v>669.8614629346162</v>
      </c>
      <c r="C11" s="470">
        <f>D11+G11+J11</f>
        <v>136.82299999999998</v>
      </c>
      <c r="D11" s="471">
        <f t="shared" si="1"/>
        <v>40</v>
      </c>
      <c r="E11" s="472">
        <v>0</v>
      </c>
      <c r="F11" s="473">
        <v>40</v>
      </c>
      <c r="G11" s="474">
        <v>0</v>
      </c>
      <c r="H11" s="472">
        <f>'Tabuľka 4 HR a MR'!C16/1000</f>
        <v>85.823</v>
      </c>
      <c r="I11" s="473">
        <f>'Tabuľka 4 HR a MR'!C17/1000</f>
        <v>11</v>
      </c>
      <c r="J11" s="474">
        <f t="shared" si="2"/>
        <v>96.823</v>
      </c>
      <c r="K11" s="474">
        <f t="shared" si="3"/>
        <v>533.0384629346162</v>
      </c>
      <c r="L11" s="474">
        <f t="shared" si="4"/>
        <v>242.89646293461618</v>
      </c>
      <c r="M11" s="472">
        <f>'Tabuľka 2 NZR'!C30/1000</f>
        <v>204.5714629346162</v>
      </c>
      <c r="N11" s="476">
        <f>'Tabuľka 2 NZR'!C37/1000</f>
        <v>36.75</v>
      </c>
      <c r="O11" s="473">
        <f>'Tabuľka 2 NZR'!C39/1000</f>
        <v>1.575</v>
      </c>
      <c r="P11" s="475">
        <f t="shared" si="5"/>
        <v>121.623</v>
      </c>
      <c r="Q11" s="475">
        <f>'Tabuľka 4 HR a MR'!C24/1000</f>
        <v>73</v>
      </c>
      <c r="R11" s="475">
        <f>'Tabuľka 4 HR a MR'!C29/1000</f>
        <v>6.3</v>
      </c>
      <c r="S11" s="479">
        <f>'Tabuľka 4 HR a MR'!C34/1000</f>
        <v>0.65</v>
      </c>
      <c r="T11" s="474">
        <f t="shared" si="6"/>
        <v>41.673</v>
      </c>
      <c r="U11" s="475">
        <f>'Tabuľka 5 Ústredie a závody'!C24/1000</f>
        <v>17.901</v>
      </c>
      <c r="V11" s="476">
        <f>'Tabuľka 5 Ústredie a závody'!C32/1000</f>
        <v>9.15</v>
      </c>
      <c r="W11" s="473">
        <f>'Tabuľka 5 Ústredie a závody'!C37/1000</f>
        <v>14.622</v>
      </c>
      <c r="X11" s="472">
        <f t="shared" si="7"/>
        <v>72</v>
      </c>
      <c r="Y11" s="475">
        <f>'Tabuľka 4 HR a MR'!C25/1000</f>
        <v>47</v>
      </c>
      <c r="Z11" s="475">
        <f>'Tabuľka 4 HR a MR'!C30/1000</f>
        <v>25</v>
      </c>
      <c r="AA11" s="471">
        <f t="shared" si="8"/>
        <v>96.519</v>
      </c>
      <c r="AB11" s="544">
        <f>'Tabuľka 5 Ústredie a závody'!C27/1000</f>
        <v>12</v>
      </c>
      <c r="AC11" s="475">
        <f>'Tabuľka 5 Ústredie a závody'!C23/1000</f>
        <v>31.6</v>
      </c>
      <c r="AD11" s="476">
        <f>'Tabuľka 5 Ústredie a závody'!C31/1000</f>
        <v>7</v>
      </c>
      <c r="AE11" s="473">
        <f>'Tabuľka 5 Ústredie a závody'!C36/1000</f>
        <v>45.919</v>
      </c>
      <c r="AF11" s="471">
        <f>AN10</f>
        <v>1843.0430783015433</v>
      </c>
      <c r="AG11" s="478">
        <v>678</v>
      </c>
      <c r="AH11" s="479">
        <f t="shared" si="9"/>
        <v>2521.0430783015436</v>
      </c>
      <c r="AI11" s="474">
        <f>('Tabuľka 2 NZR'!C15/1000)-G11</f>
        <v>917.2136084436703</v>
      </c>
      <c r="AJ11" s="474">
        <v>450</v>
      </c>
      <c r="AK11" s="479">
        <v>0</v>
      </c>
      <c r="AL11" s="477">
        <v>0</v>
      </c>
      <c r="AM11" s="474">
        <f t="shared" si="10"/>
        <v>0</v>
      </c>
      <c r="AN11" s="480">
        <f t="shared" si="11"/>
        <v>1153.8294698578734</v>
      </c>
    </row>
    <row r="12" spans="1:40" ht="19.5" customHeight="1">
      <c r="A12" s="249">
        <v>2007</v>
      </c>
      <c r="B12" s="493">
        <f t="shared" si="0"/>
        <v>704.729036281799</v>
      </c>
      <c r="C12" s="470">
        <f>D12+G12+J12</f>
        <v>144.369</v>
      </c>
      <c r="D12" s="471">
        <f t="shared" si="1"/>
        <v>40</v>
      </c>
      <c r="E12" s="472">
        <v>0</v>
      </c>
      <c r="F12" s="473">
        <v>40</v>
      </c>
      <c r="G12" s="474">
        <v>0</v>
      </c>
      <c r="H12" s="472">
        <f>'Tabuľka 4 HR a MR'!D16/1000</f>
        <v>91.369</v>
      </c>
      <c r="I12" s="473">
        <f>'Tabuľka 4 HR a MR'!D17/1000</f>
        <v>13</v>
      </c>
      <c r="J12" s="474">
        <f t="shared" si="2"/>
        <v>104.369</v>
      </c>
      <c r="K12" s="474">
        <f t="shared" si="3"/>
        <v>560.360036281799</v>
      </c>
      <c r="L12" s="474">
        <f t="shared" si="4"/>
        <v>265.239036281799</v>
      </c>
      <c r="M12" s="472">
        <f>'Tabuľka 2 NZR'!D30/1000</f>
        <v>224.99778628179897</v>
      </c>
      <c r="N12" s="476">
        <f>'Tabuľka 2 NZR'!D37/1000</f>
        <v>38.5875</v>
      </c>
      <c r="O12" s="473">
        <f>'Tabuľka 2 NZR'!D39/1000</f>
        <v>1.65375</v>
      </c>
      <c r="P12" s="475">
        <f t="shared" si="5"/>
        <v>116.488</v>
      </c>
      <c r="Q12" s="475">
        <f>'Tabuľka 4 HR a MR'!D24/1000</f>
        <v>65</v>
      </c>
      <c r="R12" s="475">
        <f>'Tabuľka 4 HR a MR'!D29/1000</f>
        <v>6.7</v>
      </c>
      <c r="S12" s="479">
        <f>'Tabuľka 4 HR a MR'!D34/1000</f>
        <v>0.7</v>
      </c>
      <c r="T12" s="474">
        <f t="shared" si="6"/>
        <v>44.087999999999994</v>
      </c>
      <c r="U12" s="475">
        <f>'Tabuľka 5 Ústredie a závody'!D24/1000</f>
        <v>18.801</v>
      </c>
      <c r="V12" s="476">
        <f>'Tabuľka 5 Ústredie a závody'!D32/1000</f>
        <v>9.877</v>
      </c>
      <c r="W12" s="473">
        <f>'Tabuľka 5 Ústredie a závody'!D37/1000</f>
        <v>15.41</v>
      </c>
      <c r="X12" s="472">
        <f t="shared" si="7"/>
        <v>78</v>
      </c>
      <c r="Y12" s="475">
        <f>'Tabuľka 4 HR a MR'!D25/1000</f>
        <v>47</v>
      </c>
      <c r="Z12" s="475">
        <f>'Tabuľka 4 HR a MR'!D30/1000</f>
        <v>31</v>
      </c>
      <c r="AA12" s="471">
        <f t="shared" si="8"/>
        <v>100.63300000000001</v>
      </c>
      <c r="AB12" s="544">
        <f>'Tabuľka 5 Ústredie a závody'!D27/1000</f>
        <v>13</v>
      </c>
      <c r="AC12" s="475">
        <f>'Tabuľka 5 Ústredie a závody'!D23/1000</f>
        <v>31.5</v>
      </c>
      <c r="AD12" s="476">
        <f>'Tabuľka 5 Ústredie a závody'!D31/1000</f>
        <v>7</v>
      </c>
      <c r="AE12" s="473">
        <f>'Tabuľka 5 Ústredie a závody'!D36/1000</f>
        <v>49.133</v>
      </c>
      <c r="AF12" s="471">
        <f>AN11</f>
        <v>1153.8294698578734</v>
      </c>
      <c r="AG12" s="478">
        <v>850</v>
      </c>
      <c r="AH12" s="479">
        <f t="shared" si="9"/>
        <v>2003.8294698578734</v>
      </c>
      <c r="AI12" s="474">
        <f>('Tabuľka 2 NZR'!D15/1000)-G12</f>
        <v>943.3781747701144</v>
      </c>
      <c r="AJ12" s="474">
        <v>450</v>
      </c>
      <c r="AK12" s="479">
        <v>0</v>
      </c>
      <c r="AL12" s="477">
        <v>0</v>
      </c>
      <c r="AM12" s="474">
        <f t="shared" si="10"/>
        <v>0</v>
      </c>
      <c r="AN12" s="480">
        <f t="shared" si="11"/>
        <v>610.451295087759</v>
      </c>
    </row>
    <row r="13" spans="1:40" ht="19.5" customHeight="1" thickBot="1">
      <c r="A13" s="646">
        <v>2008</v>
      </c>
      <c r="B13" s="647">
        <f t="shared" si="0"/>
        <v>733.3461995180041</v>
      </c>
      <c r="C13" s="648">
        <f>D13+G13+J13</f>
        <v>123.5</v>
      </c>
      <c r="D13" s="649">
        <f t="shared" si="1"/>
        <v>40</v>
      </c>
      <c r="E13" s="650">
        <v>0</v>
      </c>
      <c r="F13" s="651">
        <v>40</v>
      </c>
      <c r="G13" s="652">
        <v>0</v>
      </c>
      <c r="H13" s="650">
        <f>'Tabuľka 4 HR a MR'!E16/1000</f>
        <v>70.5</v>
      </c>
      <c r="I13" s="651">
        <f>'Tabuľka 4 HR a MR'!E17/1000</f>
        <v>13</v>
      </c>
      <c r="J13" s="652">
        <f t="shared" si="2"/>
        <v>83.5</v>
      </c>
      <c r="K13" s="652">
        <f t="shared" si="3"/>
        <v>609.8461995180041</v>
      </c>
      <c r="L13" s="652">
        <f t="shared" si="4"/>
        <v>305.20319951800417</v>
      </c>
      <c r="M13" s="650">
        <f>'Tabuľka 2 NZR'!E30/1000</f>
        <v>262.9498870180042</v>
      </c>
      <c r="N13" s="653">
        <f>'Tabuľka 2 NZR'!E37/1000</f>
        <v>40.516875</v>
      </c>
      <c r="O13" s="651">
        <f>'Tabuľka 2 NZR'!E39/1000</f>
        <v>1.7364375</v>
      </c>
      <c r="P13" s="654">
        <f t="shared" si="5"/>
        <v>115.572</v>
      </c>
      <c r="Q13" s="654">
        <f>'Tabuľka 4 HR a MR'!E24/1000</f>
        <v>60</v>
      </c>
      <c r="R13" s="654">
        <f>'Tabuľka 4 HR a MR'!E29/1000</f>
        <v>7</v>
      </c>
      <c r="S13" s="655">
        <f>'Tabuľka 4 HR a MR'!E34/1000</f>
        <v>0.75</v>
      </c>
      <c r="T13" s="652">
        <f t="shared" si="6"/>
        <v>47.821999999999996</v>
      </c>
      <c r="U13" s="654">
        <f>'Tabuľka 5 Ústredie a závody'!E24/1000</f>
        <v>20.755</v>
      </c>
      <c r="V13" s="653">
        <f>'Tabuľka 5 Ústredie a závody'!E32/1000</f>
        <v>10.664</v>
      </c>
      <c r="W13" s="651">
        <f>'Tabuľka 5 Ústredie a závody'!E37/1000</f>
        <v>16.403</v>
      </c>
      <c r="X13" s="650">
        <f t="shared" si="7"/>
        <v>84</v>
      </c>
      <c r="Y13" s="654">
        <f>'Tabuľka 4 HR a MR'!E25/1000</f>
        <v>47</v>
      </c>
      <c r="Z13" s="654">
        <f>'Tabuľka 4 HR a MR'!E30/1000</f>
        <v>37</v>
      </c>
      <c r="AA13" s="649">
        <f t="shared" si="8"/>
        <v>105.071</v>
      </c>
      <c r="AB13" s="656">
        <f>'Tabuľka 5 Ústredie a závody'!E27/1000</f>
        <v>13</v>
      </c>
      <c r="AC13" s="654">
        <f>'Tabuľka 5 Ústredie a závody'!E23/1000</f>
        <v>32.5</v>
      </c>
      <c r="AD13" s="653">
        <f>'Tabuľka 5 Ústredie a závody'!E31/1000</f>
        <v>7</v>
      </c>
      <c r="AE13" s="651">
        <f>'Tabuľka 5 Ústredie a závody'!E36/1000</f>
        <v>52.571</v>
      </c>
      <c r="AF13" s="649">
        <f>AN12</f>
        <v>610.451295087759</v>
      </c>
      <c r="AG13" s="657">
        <v>850</v>
      </c>
      <c r="AH13" s="655">
        <f t="shared" si="9"/>
        <v>1460.451295087759</v>
      </c>
      <c r="AI13" s="652">
        <f>('Tabuľka 2 NZR'!E15/1000)-G13</f>
        <v>875.0595849177334</v>
      </c>
      <c r="AJ13" s="652">
        <v>450</v>
      </c>
      <c r="AK13" s="655">
        <v>0</v>
      </c>
      <c r="AL13" s="658">
        <v>0</v>
      </c>
      <c r="AM13" s="652">
        <f t="shared" si="10"/>
        <v>0</v>
      </c>
      <c r="AN13" s="659">
        <f t="shared" si="11"/>
        <v>135.3917101700256</v>
      </c>
    </row>
    <row r="14" spans="1:40" ht="19.5" customHeight="1" hidden="1">
      <c r="A14" s="607">
        <v>2009</v>
      </c>
      <c r="B14" s="608">
        <f t="shared" si="0"/>
        <v>777.8599752822273</v>
      </c>
      <c r="C14" s="609">
        <f>D14+G14+J14</f>
        <v>139</v>
      </c>
      <c r="D14" s="610">
        <f t="shared" si="1"/>
        <v>40</v>
      </c>
      <c r="E14" s="611">
        <v>0</v>
      </c>
      <c r="F14" s="612">
        <v>40</v>
      </c>
      <c r="G14" s="613">
        <v>0</v>
      </c>
      <c r="H14" s="611">
        <f>'Tabuľka 4 HR a MR'!F16/1000</f>
        <v>85</v>
      </c>
      <c r="I14" s="612">
        <f>'Tabuľka 4 HR a MR'!F17/1000</f>
        <v>14</v>
      </c>
      <c r="J14" s="613">
        <f t="shared" si="2"/>
        <v>99</v>
      </c>
      <c r="K14" s="613">
        <f t="shared" si="3"/>
        <v>638.8599752822273</v>
      </c>
      <c r="L14" s="613">
        <f t="shared" si="4"/>
        <v>330.1969752822273</v>
      </c>
      <c r="M14" s="611">
        <f>'Tabuľka 2 NZR'!F30/1000</f>
        <v>285.8309971572273</v>
      </c>
      <c r="N14" s="614">
        <f>'Tabuľka 2 NZR'!F37/1000</f>
        <v>42.54271875</v>
      </c>
      <c r="O14" s="612">
        <f>'Tabuľka 2 NZR'!F39/1000</f>
        <v>1.8232593750000001</v>
      </c>
      <c r="P14" s="615">
        <f t="shared" si="5"/>
        <v>109.386</v>
      </c>
      <c r="Q14" s="615">
        <f>'Tabuľka 4 HR a MR'!F24/1000</f>
        <v>49.54</v>
      </c>
      <c r="R14" s="615">
        <f>'Tabuľka 4 HR a MR'!F29/1000</f>
        <v>7.4</v>
      </c>
      <c r="S14" s="616">
        <f>'Tabuľka 4 HR a MR'!F34/1000</f>
        <v>0.8</v>
      </c>
      <c r="T14" s="613">
        <f t="shared" si="6"/>
        <v>51.646</v>
      </c>
      <c r="U14" s="615">
        <f>'Tabuľka 5 Ústredie a závody'!F24/1000</f>
        <v>22.416</v>
      </c>
      <c r="V14" s="614">
        <f>'Tabuľka 5 Ústredie a závody'!F32/1000</f>
        <v>11.516</v>
      </c>
      <c r="W14" s="612">
        <f>'Tabuľka 5 Ústredie a závody'!F37/1000</f>
        <v>17.714</v>
      </c>
      <c r="X14" s="611">
        <f t="shared" si="7"/>
        <v>87</v>
      </c>
      <c r="Y14" s="615">
        <f>'Tabuľka 4 HR a MR'!F25/1000</f>
        <v>47</v>
      </c>
      <c r="Z14" s="615">
        <f>'Tabuľka 4 HR a MR'!F30/1000</f>
        <v>40</v>
      </c>
      <c r="AA14" s="610">
        <f t="shared" si="8"/>
        <v>112.277</v>
      </c>
      <c r="AB14" s="617">
        <f>'Tabuľka 5 Ústredie a závody'!F27/1000</f>
        <v>14</v>
      </c>
      <c r="AC14" s="615">
        <f>'Tabuľka 5 Ústredie a závody'!F23/1000</f>
        <v>34</v>
      </c>
      <c r="AD14" s="614">
        <f>'Tabuľka 5 Ústredie a závody'!F31/1000</f>
        <v>7.5</v>
      </c>
      <c r="AE14" s="612">
        <f>'Tabuľka 5 Ústredie a závody'!F36/1000</f>
        <v>56.777</v>
      </c>
      <c r="AF14" s="610">
        <f>AN13</f>
        <v>135.3917101700256</v>
      </c>
      <c r="AG14" s="618">
        <v>0</v>
      </c>
      <c r="AH14" s="616">
        <f t="shared" si="9"/>
        <v>135.3917101700256</v>
      </c>
      <c r="AI14" s="613">
        <f>('Tabuľka 2 NZR'!F15/1000)-G14</f>
        <v>120.08440540136338</v>
      </c>
      <c r="AJ14" s="613">
        <v>0</v>
      </c>
      <c r="AK14" s="616">
        <v>0</v>
      </c>
      <c r="AL14" s="619">
        <v>0</v>
      </c>
      <c r="AM14" s="613">
        <f t="shared" si="10"/>
        <v>0</v>
      </c>
      <c r="AN14" s="620">
        <f t="shared" si="11"/>
        <v>15.307304768662206</v>
      </c>
    </row>
    <row r="15" spans="1:40" ht="19.5" customHeight="1" hidden="1" thickBot="1">
      <c r="A15" s="621">
        <v>2010</v>
      </c>
      <c r="B15" s="622">
        <f t="shared" si="0"/>
        <v>817.2134774831779</v>
      </c>
      <c r="C15" s="623">
        <f>D15+G15+J15</f>
        <v>145</v>
      </c>
      <c r="D15" s="624">
        <f t="shared" si="1"/>
        <v>40</v>
      </c>
      <c r="E15" s="625">
        <v>0</v>
      </c>
      <c r="F15" s="626">
        <v>40</v>
      </c>
      <c r="G15" s="627">
        <v>0</v>
      </c>
      <c r="H15" s="625">
        <f>'Tabuľka 4 HR a MR'!G16/1000</f>
        <v>90</v>
      </c>
      <c r="I15" s="626">
        <f>'Tabuľka 4 HR a MR'!G17/1000</f>
        <v>15</v>
      </c>
      <c r="J15" s="627">
        <f t="shared" si="2"/>
        <v>105</v>
      </c>
      <c r="K15" s="627">
        <f t="shared" si="3"/>
        <v>672.2134774831779</v>
      </c>
      <c r="L15" s="627">
        <f t="shared" si="4"/>
        <v>354.13447748317793</v>
      </c>
      <c r="M15" s="625">
        <f>'Tabuľka 2 NZR'!G30/1000</f>
        <v>307.55020045192794</v>
      </c>
      <c r="N15" s="628">
        <f>'Tabuľka 2 NZR'!G37/1000</f>
        <v>44.669854687500006</v>
      </c>
      <c r="O15" s="626">
        <f>'Tabuľka 2 NZR'!G39/1000</f>
        <v>1.9144223437500003</v>
      </c>
      <c r="P15" s="629">
        <f t="shared" si="5"/>
        <v>109.75999999999999</v>
      </c>
      <c r="Q15" s="629">
        <f>'Tabuľka 4 HR a MR'!G24/1000</f>
        <v>45.33</v>
      </c>
      <c r="R15" s="629">
        <f>'Tabuľka 4 HR a MR'!G29/1000</f>
        <v>7.8</v>
      </c>
      <c r="S15" s="630">
        <f>'Tabuľka 4 HR a MR'!G34/1000</f>
        <v>0.85</v>
      </c>
      <c r="T15" s="627">
        <f t="shared" si="6"/>
        <v>55.78</v>
      </c>
      <c r="U15" s="629">
        <f>'Tabuľka 5 Ústredie a závody'!G24/1000</f>
        <v>24.209</v>
      </c>
      <c r="V15" s="628">
        <f>'Tabuľka 5 Ústredie a závody'!G32/1000</f>
        <v>12.438</v>
      </c>
      <c r="W15" s="626">
        <f>'Tabuľka 5 Ústredie a závody'!G37/1000</f>
        <v>19.133</v>
      </c>
      <c r="X15" s="625">
        <f t="shared" si="7"/>
        <v>90</v>
      </c>
      <c r="Y15" s="629">
        <f>'Tabuľka 4 HR a MR'!G25/1000</f>
        <v>47</v>
      </c>
      <c r="Z15" s="629">
        <f>'Tabuľka 4 HR a MR'!G30/1000</f>
        <v>43</v>
      </c>
      <c r="AA15" s="624">
        <f t="shared" si="8"/>
        <v>118.319</v>
      </c>
      <c r="AB15" s="631">
        <f>'Tabuľka 5 Ústredie a závody'!G27/1000</f>
        <v>14</v>
      </c>
      <c r="AC15" s="629">
        <f>'Tabuľka 5 Ústredie a závody'!G23/1000</f>
        <v>35.5</v>
      </c>
      <c r="AD15" s="628">
        <f>'Tabuľka 5 Ústredie a závody'!G31/1000</f>
        <v>7.5</v>
      </c>
      <c r="AE15" s="626">
        <f>'Tabuľka 5 Ústredie a závody'!G36/1000</f>
        <v>61.319</v>
      </c>
      <c r="AF15" s="624">
        <f>AN14</f>
        <v>15.307304768662206</v>
      </c>
      <c r="AG15" s="632">
        <v>0</v>
      </c>
      <c r="AH15" s="630">
        <f t="shared" si="9"/>
        <v>15.307304768662206</v>
      </c>
      <c r="AI15" s="627">
        <f>('Tabuľka 2 NZR'!G15/1000)-G15</f>
        <v>120.08440540136307</v>
      </c>
      <c r="AJ15" s="627">
        <v>0</v>
      </c>
      <c r="AK15" s="630">
        <v>0</v>
      </c>
      <c r="AL15" s="633">
        <v>0</v>
      </c>
      <c r="AM15" s="627">
        <f t="shared" si="10"/>
        <v>0</v>
      </c>
      <c r="AN15" s="634">
        <f t="shared" si="11"/>
        <v>-104.77710063270086</v>
      </c>
    </row>
    <row r="16" spans="1:40" ht="19.5" customHeight="1" thickBot="1" thickTop="1">
      <c r="A16" s="247" t="s">
        <v>162</v>
      </c>
      <c r="B16" s="494">
        <f aca="true" t="shared" si="12" ref="B16:AE16">SUM(B10:B13)</f>
        <v>2960.8836987344193</v>
      </c>
      <c r="C16" s="481">
        <f t="shared" si="12"/>
        <v>904.692</v>
      </c>
      <c r="D16" s="482">
        <f t="shared" si="12"/>
        <v>190</v>
      </c>
      <c r="E16" s="483">
        <f t="shared" si="12"/>
        <v>50</v>
      </c>
      <c r="F16" s="484">
        <f t="shared" si="12"/>
        <v>140</v>
      </c>
      <c r="G16" s="485">
        <f t="shared" si="12"/>
        <v>338</v>
      </c>
      <c r="H16" s="483">
        <f t="shared" si="12"/>
        <v>328.767</v>
      </c>
      <c r="I16" s="484">
        <f t="shared" si="12"/>
        <v>48</v>
      </c>
      <c r="J16" s="485">
        <f t="shared" si="12"/>
        <v>376.767</v>
      </c>
      <c r="K16" s="485">
        <f t="shared" si="12"/>
        <v>2056.1916987344193</v>
      </c>
      <c r="L16" s="485">
        <f t="shared" si="12"/>
        <v>862.3386987344193</v>
      </c>
      <c r="M16" s="483">
        <f t="shared" si="12"/>
        <v>705.0191362344194</v>
      </c>
      <c r="N16" s="487">
        <f t="shared" si="12"/>
        <v>150.854375</v>
      </c>
      <c r="O16" s="484">
        <f t="shared" si="12"/>
        <v>6.4651875</v>
      </c>
      <c r="P16" s="486">
        <f t="shared" si="12"/>
        <v>488.204</v>
      </c>
      <c r="Q16" s="486">
        <f t="shared" si="12"/>
        <v>294</v>
      </c>
      <c r="R16" s="486">
        <f t="shared" si="12"/>
        <v>26</v>
      </c>
      <c r="S16" s="490">
        <f t="shared" si="12"/>
        <v>2.7</v>
      </c>
      <c r="T16" s="485">
        <f t="shared" si="12"/>
        <v>165.504</v>
      </c>
      <c r="U16" s="486">
        <f t="shared" si="12"/>
        <v>67.039</v>
      </c>
      <c r="V16" s="487">
        <f t="shared" si="12"/>
        <v>38.17100000000001</v>
      </c>
      <c r="W16" s="484">
        <f t="shared" si="12"/>
        <v>60.294000000000004</v>
      </c>
      <c r="X16" s="483">
        <f t="shared" si="12"/>
        <v>314.01</v>
      </c>
      <c r="Y16" s="486">
        <f t="shared" si="12"/>
        <v>188.01</v>
      </c>
      <c r="Z16" s="486">
        <f t="shared" si="12"/>
        <v>126</v>
      </c>
      <c r="AA16" s="482">
        <f t="shared" si="12"/>
        <v>391.639</v>
      </c>
      <c r="AB16" s="545">
        <f t="shared" si="12"/>
        <v>50</v>
      </c>
      <c r="AC16" s="486">
        <f t="shared" si="12"/>
        <v>123.1</v>
      </c>
      <c r="AD16" s="487">
        <f t="shared" si="12"/>
        <v>28</v>
      </c>
      <c r="AE16" s="484">
        <f t="shared" si="12"/>
        <v>190.539</v>
      </c>
      <c r="AF16" s="482"/>
      <c r="AG16" s="489">
        <f>SUM(AG10:AG13)</f>
        <v>2678</v>
      </c>
      <c r="AH16" s="490"/>
      <c r="AI16" s="485">
        <f>SUM(AI10:AI13)</f>
        <v>3508.971561934355</v>
      </c>
      <c r="AJ16" s="485">
        <f>SUM(AJ10:AJ13)</f>
        <v>1350</v>
      </c>
      <c r="AK16" s="490">
        <f>SUM(AK9:AK12)</f>
        <v>181.63672789561923</v>
      </c>
      <c r="AL16" s="488">
        <f>SUM(AL9:AL12)</f>
        <v>2</v>
      </c>
      <c r="AM16" s="485">
        <f>SUM(AM10:AM13)</f>
        <v>183.63672789561923</v>
      </c>
      <c r="AN16" s="491"/>
    </row>
    <row r="17" spans="1:40" ht="19.5" customHeight="1" hidden="1" thickBot="1" thickTop="1">
      <c r="A17" s="247" t="s">
        <v>162</v>
      </c>
      <c r="B17" s="494">
        <f aca="true" t="shared" si="13" ref="B17:AE17">SUM(B10:B15)</f>
        <v>4555.957151499824</v>
      </c>
      <c r="C17" s="481">
        <f t="shared" si="13"/>
        <v>1188.692</v>
      </c>
      <c r="D17" s="482">
        <f t="shared" si="13"/>
        <v>270</v>
      </c>
      <c r="E17" s="483">
        <f t="shared" si="13"/>
        <v>50</v>
      </c>
      <c r="F17" s="484">
        <f t="shared" si="13"/>
        <v>220</v>
      </c>
      <c r="G17" s="485">
        <f t="shared" si="13"/>
        <v>338</v>
      </c>
      <c r="H17" s="483">
        <f t="shared" si="13"/>
        <v>503.767</v>
      </c>
      <c r="I17" s="484">
        <f t="shared" si="13"/>
        <v>77</v>
      </c>
      <c r="J17" s="485">
        <f t="shared" si="13"/>
        <v>580.767</v>
      </c>
      <c r="K17" s="485">
        <f t="shared" si="13"/>
        <v>3367.2651514998247</v>
      </c>
      <c r="L17" s="485">
        <f t="shared" si="13"/>
        <v>1546.6701514998247</v>
      </c>
      <c r="M17" s="483">
        <f t="shared" si="13"/>
        <v>1298.4003338435746</v>
      </c>
      <c r="N17" s="487">
        <f t="shared" si="13"/>
        <v>238.0669484375</v>
      </c>
      <c r="O17" s="484">
        <f t="shared" si="13"/>
        <v>10.202869218750001</v>
      </c>
      <c r="P17" s="486">
        <f t="shared" si="13"/>
        <v>707.35</v>
      </c>
      <c r="Q17" s="486">
        <f t="shared" si="13"/>
        <v>388.87</v>
      </c>
      <c r="R17" s="486">
        <f t="shared" si="13"/>
        <v>41.199999999999996</v>
      </c>
      <c r="S17" s="490">
        <f t="shared" si="13"/>
        <v>4.35</v>
      </c>
      <c r="T17" s="485">
        <f t="shared" si="13"/>
        <v>272.92999999999995</v>
      </c>
      <c r="U17" s="486">
        <f t="shared" si="13"/>
        <v>113.664</v>
      </c>
      <c r="V17" s="487">
        <f t="shared" si="13"/>
        <v>62.12500000000001</v>
      </c>
      <c r="W17" s="484">
        <f t="shared" si="13"/>
        <v>97.141</v>
      </c>
      <c r="X17" s="483">
        <f t="shared" si="13"/>
        <v>491.01</v>
      </c>
      <c r="Y17" s="486">
        <f t="shared" si="13"/>
        <v>282.01</v>
      </c>
      <c r="Z17" s="486">
        <f t="shared" si="13"/>
        <v>209</v>
      </c>
      <c r="AA17" s="482">
        <f t="shared" si="13"/>
        <v>622.235</v>
      </c>
      <c r="AB17" s="545">
        <f t="shared" si="13"/>
        <v>78</v>
      </c>
      <c r="AC17" s="486">
        <f t="shared" si="13"/>
        <v>192.6</v>
      </c>
      <c r="AD17" s="487">
        <f t="shared" si="13"/>
        <v>43</v>
      </c>
      <c r="AE17" s="484">
        <f t="shared" si="13"/>
        <v>308.635</v>
      </c>
      <c r="AF17" s="482"/>
      <c r="AG17" s="489">
        <f>SUM(AG10:AG15)</f>
        <v>2678</v>
      </c>
      <c r="AH17" s="490"/>
      <c r="AI17" s="485">
        <f>SUM(AI10:AI15)</f>
        <v>3749.1403727370816</v>
      </c>
      <c r="AJ17" s="485">
        <f>SUM(AJ10:AJ15)</f>
        <v>1350</v>
      </c>
      <c r="AK17" s="490">
        <f>SUM(AK10:AK13)</f>
        <v>181.63672789561923</v>
      </c>
      <c r="AL17" s="488">
        <f>SUM(AL10:AL13)</f>
        <v>2</v>
      </c>
      <c r="AM17" s="485">
        <f>SUM(AM10:AM15)</f>
        <v>183.63672789561923</v>
      </c>
      <c r="AN17" s="491"/>
    </row>
    <row r="18" ht="13.5" thickTop="1"/>
    <row r="20" spans="1:40" ht="15.75" thickBot="1">
      <c r="A20" s="832" t="s">
        <v>217</v>
      </c>
      <c r="B20" s="832"/>
      <c r="C20" s="832"/>
      <c r="D20" s="1052" t="s">
        <v>291</v>
      </c>
      <c r="E20" s="704"/>
      <c r="F20" s="704"/>
      <c r="G20" s="704"/>
      <c r="H20" s="704"/>
      <c r="I20" s="704"/>
      <c r="J20" s="704"/>
      <c r="K20" s="704"/>
      <c r="L20" s="704"/>
      <c r="M20" s="434"/>
      <c r="N20" s="434"/>
      <c r="O20" s="434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J20" s="731" t="s">
        <v>290</v>
      </c>
      <c r="AK20" s="731"/>
      <c r="AL20" s="731"/>
      <c r="AM20" s="731"/>
      <c r="AN20" s="731"/>
    </row>
    <row r="21" spans="1:40" ht="19.5" customHeight="1" thickTop="1">
      <c r="A21" s="1053" t="s">
        <v>156</v>
      </c>
      <c r="B21" s="1054" t="s">
        <v>157</v>
      </c>
      <c r="C21" s="1034"/>
      <c r="D21" s="1034"/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  <c r="AD21" s="1034"/>
      <c r="AE21" s="1055"/>
      <c r="AF21" s="1033" t="s">
        <v>160</v>
      </c>
      <c r="AG21" s="1034"/>
      <c r="AH21" s="1034"/>
      <c r="AI21" s="1034"/>
      <c r="AJ21" s="1034"/>
      <c r="AK21" s="1034"/>
      <c r="AL21" s="1034"/>
      <c r="AM21" s="1034"/>
      <c r="AN21" s="883"/>
    </row>
    <row r="22" spans="1:40" ht="19.5" customHeight="1">
      <c r="A22" s="981"/>
      <c r="B22" s="1035" t="s">
        <v>213</v>
      </c>
      <c r="C22" s="1038" t="s">
        <v>220</v>
      </c>
      <c r="D22" s="1039"/>
      <c r="E22" s="1039"/>
      <c r="F22" s="1039"/>
      <c r="G22" s="1039"/>
      <c r="H22" s="1039"/>
      <c r="I22" s="1039"/>
      <c r="J22" s="1040"/>
      <c r="K22" s="1041" t="s">
        <v>197</v>
      </c>
      <c r="L22" s="1039"/>
      <c r="M22" s="1039"/>
      <c r="N22" s="1039"/>
      <c r="O22" s="1039"/>
      <c r="P22" s="1039"/>
      <c r="Q22" s="1039"/>
      <c r="R22" s="1039"/>
      <c r="S22" s="1039"/>
      <c r="T22" s="1039"/>
      <c r="U22" s="1039"/>
      <c r="V22" s="1039"/>
      <c r="W22" s="1039"/>
      <c r="X22" s="1039"/>
      <c r="Y22" s="1039"/>
      <c r="Z22" s="1039"/>
      <c r="AA22" s="1039"/>
      <c r="AB22" s="1039"/>
      <c r="AC22" s="1039"/>
      <c r="AD22" s="1039"/>
      <c r="AE22" s="1040"/>
      <c r="AF22" s="1041" t="s">
        <v>158</v>
      </c>
      <c r="AG22" s="1039"/>
      <c r="AH22" s="1040"/>
      <c r="AI22" s="1042" t="s">
        <v>159</v>
      </c>
      <c r="AJ22" s="1042"/>
      <c r="AK22" s="1042"/>
      <c r="AL22" s="1042"/>
      <c r="AM22" s="1042"/>
      <c r="AN22" s="1043" t="s">
        <v>165</v>
      </c>
    </row>
    <row r="23" spans="1:40" ht="19.5" customHeight="1">
      <c r="A23" s="981"/>
      <c r="B23" s="1036"/>
      <c r="C23" s="1046" t="s">
        <v>158</v>
      </c>
      <c r="D23" s="1049" t="s">
        <v>159</v>
      </c>
      <c r="E23" s="1050"/>
      <c r="F23" s="1050"/>
      <c r="G23" s="1050"/>
      <c r="H23" s="1050"/>
      <c r="I23" s="1050"/>
      <c r="J23" s="1051"/>
      <c r="K23" s="1012" t="s">
        <v>158</v>
      </c>
      <c r="L23" s="1056" t="s">
        <v>159</v>
      </c>
      <c r="M23" s="1057"/>
      <c r="N23" s="1057"/>
      <c r="O23" s="1057"/>
      <c r="P23" s="1057"/>
      <c r="Q23" s="1057"/>
      <c r="R23" s="1057"/>
      <c r="S23" s="1057"/>
      <c r="T23" s="1057"/>
      <c r="U23" s="1057"/>
      <c r="V23" s="1057"/>
      <c r="W23" s="1057"/>
      <c r="X23" s="1057"/>
      <c r="Y23" s="1057"/>
      <c r="Z23" s="1057"/>
      <c r="AA23" s="1057"/>
      <c r="AB23" s="1057"/>
      <c r="AC23" s="1057"/>
      <c r="AD23" s="1057"/>
      <c r="AE23" s="1058"/>
      <c r="AF23" s="1022" t="s">
        <v>164</v>
      </c>
      <c r="AG23" s="1016" t="s">
        <v>161</v>
      </c>
      <c r="AH23" s="708" t="s">
        <v>119</v>
      </c>
      <c r="AI23" s="1019" t="s">
        <v>207</v>
      </c>
      <c r="AJ23" s="1019" t="s">
        <v>163</v>
      </c>
      <c r="AK23" s="997" t="s">
        <v>211</v>
      </c>
      <c r="AL23" s="1000" t="s">
        <v>212</v>
      </c>
      <c r="AM23" s="1003" t="s">
        <v>205</v>
      </c>
      <c r="AN23" s="1044"/>
    </row>
    <row r="24" spans="1:40" ht="12.75">
      <c r="A24" s="981"/>
      <c r="B24" s="1036"/>
      <c r="C24" s="1047"/>
      <c r="D24" s="1006" t="s">
        <v>163</v>
      </c>
      <c r="E24" s="1008" t="s">
        <v>218</v>
      </c>
      <c r="F24" s="1010" t="s">
        <v>219</v>
      </c>
      <c r="G24" s="1012" t="s">
        <v>207</v>
      </c>
      <c r="H24" s="1014" t="s">
        <v>208</v>
      </c>
      <c r="I24" s="1010" t="s">
        <v>210</v>
      </c>
      <c r="J24" s="1012" t="s">
        <v>254</v>
      </c>
      <c r="K24" s="1020"/>
      <c r="L24" s="1024" t="s">
        <v>198</v>
      </c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1024"/>
      <c r="Y24" s="1024"/>
      <c r="Z24" s="1024"/>
      <c r="AA24" s="1006" t="s">
        <v>265</v>
      </c>
      <c r="AB24" s="1025" t="s">
        <v>209</v>
      </c>
      <c r="AC24" s="1027" t="s">
        <v>261</v>
      </c>
      <c r="AD24" s="1029" t="s">
        <v>262</v>
      </c>
      <c r="AE24" s="1031" t="s">
        <v>242</v>
      </c>
      <c r="AF24" s="1022"/>
      <c r="AG24" s="1017"/>
      <c r="AH24" s="708"/>
      <c r="AI24" s="1020"/>
      <c r="AJ24" s="1020"/>
      <c r="AK24" s="998"/>
      <c r="AL24" s="1001"/>
      <c r="AM24" s="1004"/>
      <c r="AN24" s="1044"/>
    </row>
    <row r="25" spans="1:40" ht="48.75" thickBot="1">
      <c r="A25" s="982"/>
      <c r="B25" s="1037"/>
      <c r="C25" s="1048"/>
      <c r="D25" s="1007"/>
      <c r="E25" s="1009"/>
      <c r="F25" s="1011"/>
      <c r="G25" s="1013"/>
      <c r="H25" s="1015"/>
      <c r="I25" s="1011"/>
      <c r="J25" s="1013"/>
      <c r="K25" s="1021"/>
      <c r="L25" s="421" t="s">
        <v>196</v>
      </c>
      <c r="M25" s="537" t="s">
        <v>256</v>
      </c>
      <c r="N25" s="538" t="s">
        <v>257</v>
      </c>
      <c r="O25" s="539" t="s">
        <v>258</v>
      </c>
      <c r="P25" s="540" t="s">
        <v>275</v>
      </c>
      <c r="Q25" s="413" t="s">
        <v>259</v>
      </c>
      <c r="R25" s="413" t="s">
        <v>260</v>
      </c>
      <c r="S25" s="536" t="s">
        <v>258</v>
      </c>
      <c r="T25" s="542" t="s">
        <v>255</v>
      </c>
      <c r="U25" s="540" t="s">
        <v>261</v>
      </c>
      <c r="V25" s="420" t="s">
        <v>262</v>
      </c>
      <c r="W25" s="541" t="s">
        <v>242</v>
      </c>
      <c r="X25" s="587" t="s">
        <v>206</v>
      </c>
      <c r="Y25" s="540" t="s">
        <v>263</v>
      </c>
      <c r="Z25" s="540" t="s">
        <v>264</v>
      </c>
      <c r="AA25" s="1023"/>
      <c r="AB25" s="1026"/>
      <c r="AC25" s="1028"/>
      <c r="AD25" s="1030"/>
      <c r="AE25" s="1032"/>
      <c r="AF25" s="1023"/>
      <c r="AG25" s="1018"/>
      <c r="AH25" s="710"/>
      <c r="AI25" s="1021"/>
      <c r="AJ25" s="1021"/>
      <c r="AK25" s="999"/>
      <c r="AL25" s="1002"/>
      <c r="AM25" s="1005"/>
      <c r="AN25" s="1045"/>
    </row>
    <row r="26" spans="1:40" ht="19.5" customHeight="1">
      <c r="A26" s="248">
        <v>2005</v>
      </c>
      <c r="B26" s="492">
        <f aca="true" t="shared" si="14" ref="B26:B31">C26+K26</f>
        <v>852.9469999999999</v>
      </c>
      <c r="C26" s="460">
        <v>500</v>
      </c>
      <c r="D26" s="459">
        <f aca="true" t="shared" si="15" ref="D26:D31">E26+F26</f>
        <v>70</v>
      </c>
      <c r="E26" s="461">
        <f aca="true" t="shared" si="16" ref="E26:I31">E10</f>
        <v>50</v>
      </c>
      <c r="F26" s="462">
        <f t="shared" si="16"/>
        <v>20</v>
      </c>
      <c r="G26" s="463">
        <f t="shared" si="16"/>
        <v>338</v>
      </c>
      <c r="H26" s="461">
        <f t="shared" si="16"/>
        <v>81.075</v>
      </c>
      <c r="I26" s="462">
        <f t="shared" si="16"/>
        <v>11</v>
      </c>
      <c r="J26" s="463">
        <f aca="true" t="shared" si="17" ref="J26:J31">H26+I26</f>
        <v>92.075</v>
      </c>
      <c r="K26" s="463">
        <f aca="true" t="shared" si="18" ref="K26:K31">L26+P26+X26+AA26</f>
        <v>352.94699999999995</v>
      </c>
      <c r="L26" s="463">
        <f aca="true" t="shared" si="19" ref="L26:L31">M26+N26+O26</f>
        <v>49</v>
      </c>
      <c r="M26" s="461">
        <v>12.5</v>
      </c>
      <c r="N26" s="465">
        <f aca="true" t="shared" si="20" ref="N26:O31">N10</f>
        <v>35</v>
      </c>
      <c r="O26" s="462">
        <f t="shared" si="20"/>
        <v>1.5</v>
      </c>
      <c r="P26" s="464">
        <f aca="true" t="shared" si="21" ref="P26:P31">Q26+R26+S26+T26</f>
        <v>134.521</v>
      </c>
      <c r="Q26" s="464">
        <f aca="true" t="shared" si="22" ref="Q26:S31">Q10</f>
        <v>96</v>
      </c>
      <c r="R26" s="464">
        <f t="shared" si="22"/>
        <v>6</v>
      </c>
      <c r="S26" s="468">
        <f t="shared" si="22"/>
        <v>0.6</v>
      </c>
      <c r="T26" s="463">
        <f aca="true" t="shared" si="23" ref="T26:T31">U26+V26+W26</f>
        <v>31.921</v>
      </c>
      <c r="U26" s="464">
        <f aca="true" t="shared" si="24" ref="U26:W31">U10</f>
        <v>9.582</v>
      </c>
      <c r="V26" s="465">
        <f t="shared" si="24"/>
        <v>8.48</v>
      </c>
      <c r="W26" s="462">
        <f t="shared" si="24"/>
        <v>13.859</v>
      </c>
      <c r="X26" s="461">
        <f aca="true" t="shared" si="25" ref="X26:X31">Y26+Z26</f>
        <v>80.00999999999999</v>
      </c>
      <c r="Y26" s="464">
        <f aca="true" t="shared" si="26" ref="Y26:Z31">Y10</f>
        <v>47.01</v>
      </c>
      <c r="Z26" s="464">
        <f t="shared" si="26"/>
        <v>33</v>
      </c>
      <c r="AA26" s="459">
        <f aca="true" t="shared" si="27" ref="AA26:AA31">AB26+AC26+AD26+AE26</f>
        <v>89.416</v>
      </c>
      <c r="AB26" s="543">
        <f aca="true" t="shared" si="28" ref="AB26:AE31">AB10</f>
        <v>12</v>
      </c>
      <c r="AC26" s="464">
        <f t="shared" si="28"/>
        <v>27.5</v>
      </c>
      <c r="AD26" s="465">
        <f t="shared" si="28"/>
        <v>7</v>
      </c>
      <c r="AE26" s="462">
        <f t="shared" si="28"/>
        <v>42.916</v>
      </c>
      <c r="AF26" s="459">
        <v>2500</v>
      </c>
      <c r="AG26" s="467">
        <v>300</v>
      </c>
      <c r="AH26" s="468">
        <f aca="true" t="shared" si="29" ref="AH26:AH31">SUM(AF26:AG26)</f>
        <v>2800</v>
      </c>
      <c r="AI26" s="463">
        <f>AI10</f>
        <v>773.3201938028374</v>
      </c>
      <c r="AJ26" s="463">
        <f>AJ10</f>
        <v>0</v>
      </c>
      <c r="AK26" s="468">
        <f>AK10</f>
        <v>181.63672789561923</v>
      </c>
      <c r="AL26" s="466">
        <f>AL10</f>
        <v>2</v>
      </c>
      <c r="AM26" s="463">
        <f aca="true" t="shared" si="30" ref="AM26:AM31">AK26+AL26</f>
        <v>183.63672789561923</v>
      </c>
      <c r="AN26" s="469">
        <f aca="true" t="shared" si="31" ref="AN26:AN31">AF26+AG26-AI26-AJ26-AM26</f>
        <v>1843.0430783015433</v>
      </c>
    </row>
    <row r="27" spans="1:40" ht="19.5" customHeight="1">
      <c r="A27" s="249">
        <v>2006</v>
      </c>
      <c r="B27" s="493">
        <f t="shared" si="14"/>
        <v>803.3397671091187</v>
      </c>
      <c r="C27" s="470">
        <f>D27+G27+J27</f>
        <v>136.82299999999998</v>
      </c>
      <c r="D27" s="471">
        <f t="shared" si="15"/>
        <v>40</v>
      </c>
      <c r="E27" s="472">
        <f t="shared" si="16"/>
        <v>0</v>
      </c>
      <c r="F27" s="473">
        <f t="shared" si="16"/>
        <v>40</v>
      </c>
      <c r="G27" s="474">
        <f t="shared" si="16"/>
        <v>0</v>
      </c>
      <c r="H27" s="472">
        <f t="shared" si="16"/>
        <v>85.823</v>
      </c>
      <c r="I27" s="473">
        <f t="shared" si="16"/>
        <v>11</v>
      </c>
      <c r="J27" s="474">
        <f t="shared" si="17"/>
        <v>96.823</v>
      </c>
      <c r="K27" s="474">
        <f t="shared" si="18"/>
        <v>666.5167671091187</v>
      </c>
      <c r="L27" s="474">
        <f t="shared" si="19"/>
        <v>376.37476710911875</v>
      </c>
      <c r="M27" s="472">
        <f>'Tabuľka 1 NZR'!H161/1000</f>
        <v>338.04976710911876</v>
      </c>
      <c r="N27" s="476">
        <f t="shared" si="20"/>
        <v>36.75</v>
      </c>
      <c r="O27" s="473">
        <f t="shared" si="20"/>
        <v>1.575</v>
      </c>
      <c r="P27" s="475">
        <f t="shared" si="21"/>
        <v>121.623</v>
      </c>
      <c r="Q27" s="475">
        <f t="shared" si="22"/>
        <v>73</v>
      </c>
      <c r="R27" s="475">
        <f t="shared" si="22"/>
        <v>6.3</v>
      </c>
      <c r="S27" s="479">
        <f t="shared" si="22"/>
        <v>0.65</v>
      </c>
      <c r="T27" s="474">
        <f t="shared" si="23"/>
        <v>41.673</v>
      </c>
      <c r="U27" s="475">
        <f t="shared" si="24"/>
        <v>17.901</v>
      </c>
      <c r="V27" s="476">
        <f t="shared" si="24"/>
        <v>9.15</v>
      </c>
      <c r="W27" s="473">
        <f t="shared" si="24"/>
        <v>14.622</v>
      </c>
      <c r="X27" s="472">
        <f t="shared" si="25"/>
        <v>72</v>
      </c>
      <c r="Y27" s="475">
        <f t="shared" si="26"/>
        <v>47</v>
      </c>
      <c r="Z27" s="475">
        <f t="shared" si="26"/>
        <v>25</v>
      </c>
      <c r="AA27" s="471">
        <f t="shared" si="27"/>
        <v>96.519</v>
      </c>
      <c r="AB27" s="544">
        <f t="shared" si="28"/>
        <v>12</v>
      </c>
      <c r="AC27" s="475">
        <f t="shared" si="28"/>
        <v>31.6</v>
      </c>
      <c r="AD27" s="476">
        <f t="shared" si="28"/>
        <v>7</v>
      </c>
      <c r="AE27" s="473">
        <f t="shared" si="28"/>
        <v>45.919</v>
      </c>
      <c r="AF27" s="471">
        <f>AN26</f>
        <v>1843.0430783015433</v>
      </c>
      <c r="AG27" s="478">
        <v>478</v>
      </c>
      <c r="AH27" s="479">
        <f t="shared" si="29"/>
        <v>2321.0430783015436</v>
      </c>
      <c r="AI27" s="474">
        <f>AI11</f>
        <v>917.2136084436703</v>
      </c>
      <c r="AJ27" s="474">
        <v>0</v>
      </c>
      <c r="AK27" s="479">
        <f aca="true" t="shared" si="32" ref="AK27:AL31">AK11</f>
        <v>0</v>
      </c>
      <c r="AL27" s="477">
        <f t="shared" si="32"/>
        <v>0</v>
      </c>
      <c r="AM27" s="474">
        <f t="shared" si="30"/>
        <v>0</v>
      </c>
      <c r="AN27" s="480">
        <f t="shared" si="31"/>
        <v>1403.8294698578734</v>
      </c>
    </row>
    <row r="28" spans="1:40" ht="19.5" customHeight="1">
      <c r="A28" s="249">
        <v>2007</v>
      </c>
      <c r="B28" s="493">
        <f t="shared" si="14"/>
        <v>919.0714181882792</v>
      </c>
      <c r="C28" s="470">
        <f>D28+G28+J28</f>
        <v>144.369</v>
      </c>
      <c r="D28" s="471">
        <f t="shared" si="15"/>
        <v>40</v>
      </c>
      <c r="E28" s="472">
        <f t="shared" si="16"/>
        <v>0</v>
      </c>
      <c r="F28" s="473">
        <f t="shared" si="16"/>
        <v>40</v>
      </c>
      <c r="G28" s="474">
        <f t="shared" si="16"/>
        <v>0</v>
      </c>
      <c r="H28" s="472">
        <f t="shared" si="16"/>
        <v>91.369</v>
      </c>
      <c r="I28" s="473">
        <f t="shared" si="16"/>
        <v>13</v>
      </c>
      <c r="J28" s="474">
        <f t="shared" si="17"/>
        <v>104.369</v>
      </c>
      <c r="K28" s="474">
        <f t="shared" si="18"/>
        <v>774.7024181882791</v>
      </c>
      <c r="L28" s="474">
        <f t="shared" si="19"/>
        <v>479.58141818827903</v>
      </c>
      <c r="M28" s="472">
        <f>'Tabuľka 1 NZR'!J161/1000</f>
        <v>439.34016818827905</v>
      </c>
      <c r="N28" s="476">
        <f t="shared" si="20"/>
        <v>38.5875</v>
      </c>
      <c r="O28" s="473">
        <f t="shared" si="20"/>
        <v>1.65375</v>
      </c>
      <c r="P28" s="475">
        <f t="shared" si="21"/>
        <v>116.488</v>
      </c>
      <c r="Q28" s="475">
        <f t="shared" si="22"/>
        <v>65</v>
      </c>
      <c r="R28" s="475">
        <f t="shared" si="22"/>
        <v>6.7</v>
      </c>
      <c r="S28" s="479">
        <f t="shared" si="22"/>
        <v>0.7</v>
      </c>
      <c r="T28" s="474">
        <f t="shared" si="23"/>
        <v>44.087999999999994</v>
      </c>
      <c r="U28" s="475">
        <f t="shared" si="24"/>
        <v>18.801</v>
      </c>
      <c r="V28" s="476">
        <f t="shared" si="24"/>
        <v>9.877</v>
      </c>
      <c r="W28" s="473">
        <f t="shared" si="24"/>
        <v>15.41</v>
      </c>
      <c r="X28" s="472">
        <f t="shared" si="25"/>
        <v>78</v>
      </c>
      <c r="Y28" s="475">
        <f t="shared" si="26"/>
        <v>47</v>
      </c>
      <c r="Z28" s="475">
        <f t="shared" si="26"/>
        <v>31</v>
      </c>
      <c r="AA28" s="471">
        <f t="shared" si="27"/>
        <v>100.63300000000001</v>
      </c>
      <c r="AB28" s="544">
        <f t="shared" si="28"/>
        <v>13</v>
      </c>
      <c r="AC28" s="475">
        <f t="shared" si="28"/>
        <v>31.5</v>
      </c>
      <c r="AD28" s="476">
        <f t="shared" si="28"/>
        <v>7</v>
      </c>
      <c r="AE28" s="473">
        <f t="shared" si="28"/>
        <v>49.133</v>
      </c>
      <c r="AF28" s="471">
        <f>AN27</f>
        <v>1403.8294698578734</v>
      </c>
      <c r="AG28" s="478">
        <v>650</v>
      </c>
      <c r="AH28" s="479">
        <f t="shared" si="29"/>
        <v>2053.8294698578734</v>
      </c>
      <c r="AI28" s="474">
        <f>AI12</f>
        <v>943.3781747701144</v>
      </c>
      <c r="AJ28" s="474">
        <v>0</v>
      </c>
      <c r="AK28" s="479">
        <f t="shared" si="32"/>
        <v>0</v>
      </c>
      <c r="AL28" s="477">
        <f t="shared" si="32"/>
        <v>0</v>
      </c>
      <c r="AM28" s="474">
        <f t="shared" si="30"/>
        <v>0</v>
      </c>
      <c r="AN28" s="480">
        <f t="shared" si="31"/>
        <v>1110.451295087759</v>
      </c>
    </row>
    <row r="29" spans="1:40" ht="19.5" customHeight="1" thickBot="1">
      <c r="A29" s="646">
        <v>2008</v>
      </c>
      <c r="B29" s="647">
        <f t="shared" si="14"/>
        <v>1034.9820812787011</v>
      </c>
      <c r="C29" s="648">
        <f>D29+G29+J29</f>
        <v>123.5</v>
      </c>
      <c r="D29" s="649">
        <f t="shared" si="15"/>
        <v>40</v>
      </c>
      <c r="E29" s="650">
        <f t="shared" si="16"/>
        <v>0</v>
      </c>
      <c r="F29" s="651">
        <f t="shared" si="16"/>
        <v>40</v>
      </c>
      <c r="G29" s="652">
        <f t="shared" si="16"/>
        <v>0</v>
      </c>
      <c r="H29" s="650">
        <f t="shared" si="16"/>
        <v>70.5</v>
      </c>
      <c r="I29" s="651">
        <f t="shared" si="16"/>
        <v>13</v>
      </c>
      <c r="J29" s="652">
        <f t="shared" si="17"/>
        <v>83.5</v>
      </c>
      <c r="K29" s="652">
        <f t="shared" si="18"/>
        <v>911.4820812787011</v>
      </c>
      <c r="L29" s="652">
        <f t="shared" si="19"/>
        <v>606.8390812787011</v>
      </c>
      <c r="M29" s="650">
        <f>'Tabuľka 1 NZR'!L161/1000</f>
        <v>564.5857687787011</v>
      </c>
      <c r="N29" s="653">
        <f t="shared" si="20"/>
        <v>40.516875</v>
      </c>
      <c r="O29" s="651">
        <f t="shared" si="20"/>
        <v>1.7364375</v>
      </c>
      <c r="P29" s="654">
        <f t="shared" si="21"/>
        <v>115.572</v>
      </c>
      <c r="Q29" s="654">
        <f t="shared" si="22"/>
        <v>60</v>
      </c>
      <c r="R29" s="654">
        <f t="shared" si="22"/>
        <v>7</v>
      </c>
      <c r="S29" s="655">
        <f t="shared" si="22"/>
        <v>0.75</v>
      </c>
      <c r="T29" s="652">
        <f t="shared" si="23"/>
        <v>47.821999999999996</v>
      </c>
      <c r="U29" s="654">
        <f t="shared" si="24"/>
        <v>20.755</v>
      </c>
      <c r="V29" s="653">
        <f t="shared" si="24"/>
        <v>10.664</v>
      </c>
      <c r="W29" s="651">
        <f t="shared" si="24"/>
        <v>16.403</v>
      </c>
      <c r="X29" s="650">
        <f t="shared" si="25"/>
        <v>84</v>
      </c>
      <c r="Y29" s="654">
        <f t="shared" si="26"/>
        <v>47</v>
      </c>
      <c r="Z29" s="654">
        <f t="shared" si="26"/>
        <v>37</v>
      </c>
      <c r="AA29" s="649">
        <f t="shared" si="27"/>
        <v>105.071</v>
      </c>
      <c r="AB29" s="656">
        <f t="shared" si="28"/>
        <v>13</v>
      </c>
      <c r="AC29" s="654">
        <f t="shared" si="28"/>
        <v>32.5</v>
      </c>
      <c r="AD29" s="653">
        <f t="shared" si="28"/>
        <v>7</v>
      </c>
      <c r="AE29" s="651">
        <f t="shared" si="28"/>
        <v>52.571</v>
      </c>
      <c r="AF29" s="649">
        <f>AN28</f>
        <v>1110.451295087759</v>
      </c>
      <c r="AG29" s="657">
        <v>650</v>
      </c>
      <c r="AH29" s="655">
        <f t="shared" si="29"/>
        <v>1760.451295087759</v>
      </c>
      <c r="AI29" s="652">
        <f>AI13</f>
        <v>875.0595849177334</v>
      </c>
      <c r="AJ29" s="652">
        <v>0</v>
      </c>
      <c r="AK29" s="655">
        <f t="shared" si="32"/>
        <v>0</v>
      </c>
      <c r="AL29" s="658">
        <f t="shared" si="32"/>
        <v>0</v>
      </c>
      <c r="AM29" s="652">
        <f t="shared" si="30"/>
        <v>0</v>
      </c>
      <c r="AN29" s="659">
        <f t="shared" si="31"/>
        <v>885.3917101700256</v>
      </c>
    </row>
    <row r="30" spans="1:40" ht="19.5" customHeight="1" hidden="1">
      <c r="A30" s="607">
        <v>2009</v>
      </c>
      <c r="B30" s="608">
        <f t="shared" si="14"/>
        <v>1008.6320942413349</v>
      </c>
      <c r="C30" s="609">
        <f>D30+G30+J30</f>
        <v>139</v>
      </c>
      <c r="D30" s="610">
        <f t="shared" si="15"/>
        <v>40</v>
      </c>
      <c r="E30" s="611">
        <f t="shared" si="16"/>
        <v>0</v>
      </c>
      <c r="F30" s="612">
        <f t="shared" si="16"/>
        <v>40</v>
      </c>
      <c r="G30" s="613">
        <f t="shared" si="16"/>
        <v>0</v>
      </c>
      <c r="H30" s="611">
        <f t="shared" si="16"/>
        <v>85</v>
      </c>
      <c r="I30" s="612">
        <f t="shared" si="16"/>
        <v>14</v>
      </c>
      <c r="J30" s="613">
        <f t="shared" si="17"/>
        <v>99</v>
      </c>
      <c r="K30" s="613">
        <f t="shared" si="18"/>
        <v>869.6320942413349</v>
      </c>
      <c r="L30" s="613">
        <f t="shared" si="19"/>
        <v>560.9690942413349</v>
      </c>
      <c r="M30" s="611">
        <f>'Tabuľka 1 NZR'!N161/1000</f>
        <v>516.603116116335</v>
      </c>
      <c r="N30" s="614">
        <f t="shared" si="20"/>
        <v>42.54271875</v>
      </c>
      <c r="O30" s="612">
        <f t="shared" si="20"/>
        <v>1.8232593750000001</v>
      </c>
      <c r="P30" s="615">
        <f t="shared" si="21"/>
        <v>109.386</v>
      </c>
      <c r="Q30" s="615">
        <f t="shared" si="22"/>
        <v>49.54</v>
      </c>
      <c r="R30" s="615">
        <f t="shared" si="22"/>
        <v>7.4</v>
      </c>
      <c r="S30" s="616">
        <f t="shared" si="22"/>
        <v>0.8</v>
      </c>
      <c r="T30" s="613">
        <f t="shared" si="23"/>
        <v>51.646</v>
      </c>
      <c r="U30" s="615">
        <f t="shared" si="24"/>
        <v>22.416</v>
      </c>
      <c r="V30" s="614">
        <f t="shared" si="24"/>
        <v>11.516</v>
      </c>
      <c r="W30" s="612">
        <f t="shared" si="24"/>
        <v>17.714</v>
      </c>
      <c r="X30" s="611">
        <f t="shared" si="25"/>
        <v>87</v>
      </c>
      <c r="Y30" s="615">
        <f t="shared" si="26"/>
        <v>47</v>
      </c>
      <c r="Z30" s="615">
        <f t="shared" si="26"/>
        <v>40</v>
      </c>
      <c r="AA30" s="610">
        <f t="shared" si="27"/>
        <v>112.277</v>
      </c>
      <c r="AB30" s="617">
        <f t="shared" si="28"/>
        <v>14</v>
      </c>
      <c r="AC30" s="615">
        <f t="shared" si="28"/>
        <v>34</v>
      </c>
      <c r="AD30" s="614">
        <f t="shared" si="28"/>
        <v>7.5</v>
      </c>
      <c r="AE30" s="612">
        <f t="shared" si="28"/>
        <v>56.777</v>
      </c>
      <c r="AF30" s="610">
        <f>AN29</f>
        <v>885.3917101700256</v>
      </c>
      <c r="AG30" s="618">
        <v>0</v>
      </c>
      <c r="AH30" s="616">
        <f t="shared" si="29"/>
        <v>885.3917101700256</v>
      </c>
      <c r="AI30" s="613">
        <f>AI14</f>
        <v>120.08440540136338</v>
      </c>
      <c r="AJ30" s="613">
        <f>AJ14</f>
        <v>0</v>
      </c>
      <c r="AK30" s="616">
        <f t="shared" si="32"/>
        <v>0</v>
      </c>
      <c r="AL30" s="619">
        <f t="shared" si="32"/>
        <v>0</v>
      </c>
      <c r="AM30" s="613">
        <f t="shared" si="30"/>
        <v>0</v>
      </c>
      <c r="AN30" s="620">
        <f t="shared" si="31"/>
        <v>765.3073047686622</v>
      </c>
    </row>
    <row r="31" spans="1:40" ht="19.5" customHeight="1" hidden="1" thickBot="1">
      <c r="A31" s="621">
        <v>2010</v>
      </c>
      <c r="B31" s="622">
        <f t="shared" si="14"/>
        <v>1065.6851007793366</v>
      </c>
      <c r="C31" s="623">
        <f>D31+G31+J31</f>
        <v>145</v>
      </c>
      <c r="D31" s="624">
        <f t="shared" si="15"/>
        <v>40</v>
      </c>
      <c r="E31" s="625">
        <f t="shared" si="16"/>
        <v>0</v>
      </c>
      <c r="F31" s="626">
        <f t="shared" si="16"/>
        <v>40</v>
      </c>
      <c r="G31" s="627">
        <f t="shared" si="16"/>
        <v>0</v>
      </c>
      <c r="H31" s="625">
        <f t="shared" si="16"/>
        <v>90</v>
      </c>
      <c r="I31" s="626">
        <f t="shared" si="16"/>
        <v>15</v>
      </c>
      <c r="J31" s="627">
        <f t="shared" si="17"/>
        <v>105</v>
      </c>
      <c r="K31" s="627">
        <f t="shared" si="18"/>
        <v>920.6851007793365</v>
      </c>
      <c r="L31" s="627">
        <f t="shared" si="19"/>
        <v>602.6061007793365</v>
      </c>
      <c r="M31" s="625">
        <f>'Tabuľka 1 NZR'!P161/1000</f>
        <v>556.0218237480866</v>
      </c>
      <c r="N31" s="628">
        <f t="shared" si="20"/>
        <v>44.669854687500006</v>
      </c>
      <c r="O31" s="626">
        <f t="shared" si="20"/>
        <v>1.9144223437500003</v>
      </c>
      <c r="P31" s="629">
        <f t="shared" si="21"/>
        <v>109.75999999999999</v>
      </c>
      <c r="Q31" s="629">
        <f t="shared" si="22"/>
        <v>45.33</v>
      </c>
      <c r="R31" s="629">
        <f t="shared" si="22"/>
        <v>7.8</v>
      </c>
      <c r="S31" s="630">
        <f t="shared" si="22"/>
        <v>0.85</v>
      </c>
      <c r="T31" s="627">
        <f t="shared" si="23"/>
        <v>55.78</v>
      </c>
      <c r="U31" s="629">
        <f t="shared" si="24"/>
        <v>24.209</v>
      </c>
      <c r="V31" s="628">
        <f t="shared" si="24"/>
        <v>12.438</v>
      </c>
      <c r="W31" s="626">
        <f t="shared" si="24"/>
        <v>19.133</v>
      </c>
      <c r="X31" s="625">
        <f t="shared" si="25"/>
        <v>90</v>
      </c>
      <c r="Y31" s="629">
        <f t="shared" si="26"/>
        <v>47</v>
      </c>
      <c r="Z31" s="629">
        <f t="shared" si="26"/>
        <v>43</v>
      </c>
      <c r="AA31" s="624">
        <f t="shared" si="27"/>
        <v>118.319</v>
      </c>
      <c r="AB31" s="631">
        <f t="shared" si="28"/>
        <v>14</v>
      </c>
      <c r="AC31" s="629">
        <f t="shared" si="28"/>
        <v>35.5</v>
      </c>
      <c r="AD31" s="628">
        <f t="shared" si="28"/>
        <v>7.5</v>
      </c>
      <c r="AE31" s="626">
        <f t="shared" si="28"/>
        <v>61.319</v>
      </c>
      <c r="AF31" s="624">
        <f>AN30</f>
        <v>765.3073047686622</v>
      </c>
      <c r="AG31" s="632">
        <v>0</v>
      </c>
      <c r="AH31" s="630">
        <f t="shared" si="29"/>
        <v>765.3073047686622</v>
      </c>
      <c r="AI31" s="627">
        <f>AI15</f>
        <v>120.08440540136307</v>
      </c>
      <c r="AJ31" s="627">
        <f>AJ15</f>
        <v>0</v>
      </c>
      <c r="AK31" s="630">
        <f t="shared" si="32"/>
        <v>0</v>
      </c>
      <c r="AL31" s="633">
        <f t="shared" si="32"/>
        <v>0</v>
      </c>
      <c r="AM31" s="627">
        <f t="shared" si="30"/>
        <v>0</v>
      </c>
      <c r="AN31" s="634">
        <f t="shared" si="31"/>
        <v>645.2228993672992</v>
      </c>
    </row>
    <row r="32" spans="1:40" ht="19.5" customHeight="1" thickBot="1" thickTop="1">
      <c r="A32" s="247" t="s">
        <v>162</v>
      </c>
      <c r="B32" s="494">
        <f aca="true" t="shared" si="33" ref="B32:AE32">SUM(B26:B29)</f>
        <v>3610.3402665760987</v>
      </c>
      <c r="C32" s="481">
        <f t="shared" si="33"/>
        <v>904.692</v>
      </c>
      <c r="D32" s="482">
        <f t="shared" si="33"/>
        <v>190</v>
      </c>
      <c r="E32" s="483">
        <f t="shared" si="33"/>
        <v>50</v>
      </c>
      <c r="F32" s="484">
        <f t="shared" si="33"/>
        <v>140</v>
      </c>
      <c r="G32" s="485">
        <f t="shared" si="33"/>
        <v>338</v>
      </c>
      <c r="H32" s="483">
        <f t="shared" si="33"/>
        <v>328.767</v>
      </c>
      <c r="I32" s="484">
        <f t="shared" si="33"/>
        <v>48</v>
      </c>
      <c r="J32" s="485">
        <f t="shared" si="33"/>
        <v>376.767</v>
      </c>
      <c r="K32" s="485">
        <f t="shared" si="33"/>
        <v>2705.6482665760986</v>
      </c>
      <c r="L32" s="485">
        <f t="shared" si="33"/>
        <v>1511.7952665760988</v>
      </c>
      <c r="M32" s="483">
        <f t="shared" si="33"/>
        <v>1354.475704076099</v>
      </c>
      <c r="N32" s="487">
        <f t="shared" si="33"/>
        <v>150.854375</v>
      </c>
      <c r="O32" s="484">
        <f t="shared" si="33"/>
        <v>6.4651875</v>
      </c>
      <c r="P32" s="486">
        <f t="shared" si="33"/>
        <v>488.204</v>
      </c>
      <c r="Q32" s="486">
        <f t="shared" si="33"/>
        <v>294</v>
      </c>
      <c r="R32" s="486">
        <f t="shared" si="33"/>
        <v>26</v>
      </c>
      <c r="S32" s="490">
        <f t="shared" si="33"/>
        <v>2.7</v>
      </c>
      <c r="T32" s="485">
        <f t="shared" si="33"/>
        <v>165.504</v>
      </c>
      <c r="U32" s="486">
        <f t="shared" si="33"/>
        <v>67.039</v>
      </c>
      <c r="V32" s="487">
        <f t="shared" si="33"/>
        <v>38.17100000000001</v>
      </c>
      <c r="W32" s="484">
        <f t="shared" si="33"/>
        <v>60.294000000000004</v>
      </c>
      <c r="X32" s="483">
        <f t="shared" si="33"/>
        <v>314.01</v>
      </c>
      <c r="Y32" s="486">
        <f t="shared" si="33"/>
        <v>188.01</v>
      </c>
      <c r="Z32" s="486">
        <f t="shared" si="33"/>
        <v>126</v>
      </c>
      <c r="AA32" s="482">
        <f t="shared" si="33"/>
        <v>391.639</v>
      </c>
      <c r="AB32" s="545">
        <f t="shared" si="33"/>
        <v>50</v>
      </c>
      <c r="AC32" s="486">
        <f t="shared" si="33"/>
        <v>123.1</v>
      </c>
      <c r="AD32" s="487">
        <f t="shared" si="33"/>
        <v>28</v>
      </c>
      <c r="AE32" s="484">
        <f t="shared" si="33"/>
        <v>190.539</v>
      </c>
      <c r="AF32" s="482"/>
      <c r="AG32" s="489">
        <f>SUM(AG26:AG29)</f>
        <v>2078</v>
      </c>
      <c r="AH32" s="490"/>
      <c r="AI32" s="485">
        <f>SUM(AI26:AI29)</f>
        <v>3508.971561934355</v>
      </c>
      <c r="AJ32" s="485">
        <f>SUM(AJ26:AJ29)</f>
        <v>0</v>
      </c>
      <c r="AK32" s="490">
        <f>SUM(AK25:AK28)</f>
        <v>181.63672789561923</v>
      </c>
      <c r="AL32" s="488">
        <f>SUM(AL25:AL28)</f>
        <v>2</v>
      </c>
      <c r="AM32" s="485">
        <f>SUM(AM26:AM29)</f>
        <v>183.63672789561923</v>
      </c>
      <c r="AN32" s="491"/>
    </row>
    <row r="33" spans="1:40" ht="17.25" hidden="1" thickBot="1" thickTop="1">
      <c r="A33" s="247" t="s">
        <v>162</v>
      </c>
      <c r="B33" s="494">
        <f aca="true" t="shared" si="34" ref="B33:AE33">SUM(B26:B31)</f>
        <v>5684.65746159677</v>
      </c>
      <c r="C33" s="481">
        <f t="shared" si="34"/>
        <v>1188.692</v>
      </c>
      <c r="D33" s="482">
        <f t="shared" si="34"/>
        <v>270</v>
      </c>
      <c r="E33" s="483">
        <f t="shared" si="34"/>
        <v>50</v>
      </c>
      <c r="F33" s="484">
        <f t="shared" si="34"/>
        <v>220</v>
      </c>
      <c r="G33" s="485">
        <f t="shared" si="34"/>
        <v>338</v>
      </c>
      <c r="H33" s="483">
        <f t="shared" si="34"/>
        <v>503.767</v>
      </c>
      <c r="I33" s="484">
        <f t="shared" si="34"/>
        <v>77</v>
      </c>
      <c r="J33" s="485">
        <f t="shared" si="34"/>
        <v>580.767</v>
      </c>
      <c r="K33" s="485">
        <f t="shared" si="34"/>
        <v>4495.96546159677</v>
      </c>
      <c r="L33" s="485">
        <f t="shared" si="34"/>
        <v>2675.3704615967704</v>
      </c>
      <c r="M33" s="483">
        <f t="shared" si="34"/>
        <v>2427.1006439405205</v>
      </c>
      <c r="N33" s="487">
        <f t="shared" si="34"/>
        <v>238.0669484375</v>
      </c>
      <c r="O33" s="484">
        <f t="shared" si="34"/>
        <v>10.202869218750001</v>
      </c>
      <c r="P33" s="486">
        <f t="shared" si="34"/>
        <v>707.35</v>
      </c>
      <c r="Q33" s="486">
        <f t="shared" si="34"/>
        <v>388.87</v>
      </c>
      <c r="R33" s="486">
        <f t="shared" si="34"/>
        <v>41.199999999999996</v>
      </c>
      <c r="S33" s="490">
        <f t="shared" si="34"/>
        <v>4.35</v>
      </c>
      <c r="T33" s="485">
        <f t="shared" si="34"/>
        <v>272.92999999999995</v>
      </c>
      <c r="U33" s="486">
        <f t="shared" si="34"/>
        <v>113.664</v>
      </c>
      <c r="V33" s="487">
        <f t="shared" si="34"/>
        <v>62.12500000000001</v>
      </c>
      <c r="W33" s="484">
        <f t="shared" si="34"/>
        <v>97.141</v>
      </c>
      <c r="X33" s="483">
        <f t="shared" si="34"/>
        <v>491.01</v>
      </c>
      <c r="Y33" s="486">
        <f t="shared" si="34"/>
        <v>282.01</v>
      </c>
      <c r="Z33" s="486">
        <f t="shared" si="34"/>
        <v>209</v>
      </c>
      <c r="AA33" s="482">
        <f t="shared" si="34"/>
        <v>622.235</v>
      </c>
      <c r="AB33" s="545">
        <f t="shared" si="34"/>
        <v>78</v>
      </c>
      <c r="AC33" s="486">
        <f t="shared" si="34"/>
        <v>192.6</v>
      </c>
      <c r="AD33" s="487">
        <f t="shared" si="34"/>
        <v>43</v>
      </c>
      <c r="AE33" s="484">
        <f t="shared" si="34"/>
        <v>308.635</v>
      </c>
      <c r="AF33" s="482"/>
      <c r="AG33" s="489">
        <f>SUM(AG26:AG31)</f>
        <v>2078</v>
      </c>
      <c r="AH33" s="490"/>
      <c r="AI33" s="485">
        <f>SUM(AI26:AI31)</f>
        <v>3749.1403727370816</v>
      </c>
      <c r="AJ33" s="485">
        <f>SUM(AJ26:AJ31)</f>
        <v>0</v>
      </c>
      <c r="AK33" s="490">
        <f>SUM(AK26:AK29)</f>
        <v>181.63672789561923</v>
      </c>
      <c r="AL33" s="488">
        <f>SUM(AL26:AL29)</f>
        <v>2</v>
      </c>
      <c r="AM33" s="485">
        <f>SUM(AM26:AM31)</f>
        <v>183.63672789561923</v>
      </c>
      <c r="AN33" s="491"/>
    </row>
    <row r="34" ht="13.5" thickTop="1"/>
  </sheetData>
  <mergeCells count="77">
    <mergeCell ref="A2:AN2"/>
    <mergeCell ref="AC8:AC9"/>
    <mergeCell ref="AD8:AD9"/>
    <mergeCell ref="AE8:AE9"/>
    <mergeCell ref="B5:AE5"/>
    <mergeCell ref="K6:AE6"/>
    <mergeCell ref="L7:AE7"/>
    <mergeCell ref="AB8:AB9"/>
    <mergeCell ref="I8:I9"/>
    <mergeCell ref="J8:J9"/>
    <mergeCell ref="D7:J7"/>
    <mergeCell ref="D8:D9"/>
    <mergeCell ref="E8:E9"/>
    <mergeCell ref="F8:F9"/>
    <mergeCell ref="G8:G9"/>
    <mergeCell ref="H8:H9"/>
    <mergeCell ref="AL7:AL9"/>
    <mergeCell ref="L8:Z8"/>
    <mergeCell ref="AJ4:AN4"/>
    <mergeCell ref="AF7:AF9"/>
    <mergeCell ref="AG7:AG9"/>
    <mergeCell ref="AH7:AH9"/>
    <mergeCell ref="AI7:AI9"/>
    <mergeCell ref="AJ7:AJ9"/>
    <mergeCell ref="AM7:AM9"/>
    <mergeCell ref="AA8:AA9"/>
    <mergeCell ref="AJ20:AN20"/>
    <mergeCell ref="A1:AN1"/>
    <mergeCell ref="A5:A9"/>
    <mergeCell ref="AF5:AN5"/>
    <mergeCell ref="AF6:AH6"/>
    <mergeCell ref="AI6:AM6"/>
    <mergeCell ref="AN6:AN9"/>
    <mergeCell ref="C7:C9"/>
    <mergeCell ref="A3:AN3"/>
    <mergeCell ref="AK7:AK9"/>
    <mergeCell ref="D4:K4"/>
    <mergeCell ref="A21:A25"/>
    <mergeCell ref="B21:AE21"/>
    <mergeCell ref="L23:AE23"/>
    <mergeCell ref="A20:C20"/>
    <mergeCell ref="D20:L20"/>
    <mergeCell ref="K7:K9"/>
    <mergeCell ref="A4:C4"/>
    <mergeCell ref="B6:B9"/>
    <mergeCell ref="C6:J6"/>
    <mergeCell ref="AF21:AN21"/>
    <mergeCell ref="B22:B25"/>
    <mergeCell ref="C22:J22"/>
    <mergeCell ref="K22:AE22"/>
    <mergeCell ref="AF22:AH22"/>
    <mergeCell ref="AI22:AM22"/>
    <mergeCell ref="AN22:AN25"/>
    <mergeCell ref="C23:C25"/>
    <mergeCell ref="D23:J23"/>
    <mergeCell ref="K23:K25"/>
    <mergeCell ref="AF23:AF25"/>
    <mergeCell ref="L24:Z24"/>
    <mergeCell ref="AA24:AA25"/>
    <mergeCell ref="AB24:AB25"/>
    <mergeCell ref="AC24:AC25"/>
    <mergeCell ref="AD24:AD25"/>
    <mergeCell ref="AE24:AE25"/>
    <mergeCell ref="AG23:AG25"/>
    <mergeCell ref="AH23:AH25"/>
    <mergeCell ref="AI23:AI25"/>
    <mergeCell ref="AJ23:AJ25"/>
    <mergeCell ref="AK23:AK25"/>
    <mergeCell ref="AL23:AL25"/>
    <mergeCell ref="AM23:AM25"/>
    <mergeCell ref="D24:D25"/>
    <mergeCell ref="E24:E25"/>
    <mergeCell ref="F24:F25"/>
    <mergeCell ref="G24:G25"/>
    <mergeCell ref="H24:H25"/>
    <mergeCell ref="I24:I25"/>
    <mergeCell ref="J24:J25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38"/>
  <sheetViews>
    <sheetView workbookViewId="0" topLeftCell="A1">
      <selection activeCell="A1" sqref="A1:N1"/>
    </sheetView>
  </sheetViews>
  <sheetFormatPr defaultColWidth="9.00390625" defaultRowHeight="12.75"/>
  <cols>
    <col min="1" max="1" width="40.875" style="0" customWidth="1"/>
    <col min="2" max="5" width="12.75390625" style="0" customWidth="1"/>
    <col min="6" max="7" width="12.75390625" style="0" hidden="1" customWidth="1"/>
    <col min="8" max="8" width="14.00390625" style="0" customWidth="1"/>
    <col min="9" max="10" width="14.00390625" style="0" hidden="1" customWidth="1"/>
    <col min="13" max="13" width="9.625" style="0" bestFit="1" customWidth="1"/>
  </cols>
  <sheetData>
    <row r="1" spans="1:8" ht="15" customHeight="1">
      <c r="A1" s="713" t="s">
        <v>229</v>
      </c>
      <c r="B1" s="714"/>
      <c r="C1" s="714"/>
      <c r="D1" s="714"/>
      <c r="E1" s="714"/>
      <c r="F1" s="714"/>
      <c r="G1" s="714"/>
      <c r="H1" s="715"/>
    </row>
    <row r="2" spans="1:8" ht="15" customHeight="1" hidden="1">
      <c r="A2" s="713" t="s">
        <v>284</v>
      </c>
      <c r="B2" s="714"/>
      <c r="C2" s="714"/>
      <c r="D2" s="714"/>
      <c r="E2" s="714"/>
      <c r="F2" s="714"/>
      <c r="G2" s="714"/>
      <c r="H2" s="715"/>
    </row>
    <row r="3" spans="1:8" s="1" customFormat="1" ht="17.25" customHeight="1" thickBot="1">
      <c r="A3" s="15" t="s">
        <v>27</v>
      </c>
      <c r="B3" s="3"/>
      <c r="C3" s="2"/>
      <c r="D3" s="731"/>
      <c r="E3" s="704"/>
      <c r="F3" s="704"/>
      <c r="G3" s="731" t="s">
        <v>142</v>
      </c>
      <c r="H3" s="731"/>
    </row>
    <row r="4" spans="1:10" s="1" customFormat="1" ht="39.75" customHeight="1" thickBot="1" thickTop="1">
      <c r="A4" s="35" t="s">
        <v>0</v>
      </c>
      <c r="B4" s="36" t="s">
        <v>20</v>
      </c>
      <c r="C4" s="38" t="s">
        <v>23</v>
      </c>
      <c r="D4" s="38" t="s">
        <v>24</v>
      </c>
      <c r="E4" s="192" t="s">
        <v>25</v>
      </c>
      <c r="F4" s="38" t="s">
        <v>114</v>
      </c>
      <c r="G4" s="147" t="s">
        <v>115</v>
      </c>
      <c r="H4" s="30" t="s">
        <v>153</v>
      </c>
      <c r="I4" s="30" t="s">
        <v>116</v>
      </c>
      <c r="J4" s="30" t="s">
        <v>153</v>
      </c>
    </row>
    <row r="5" spans="1:10" s="1" customFormat="1" ht="9.75" customHeight="1" thickBot="1" thickTop="1">
      <c r="A5" s="17" t="s">
        <v>4</v>
      </c>
      <c r="B5" s="139" t="s">
        <v>5</v>
      </c>
      <c r="C5" s="20" t="s">
        <v>6</v>
      </c>
      <c r="D5" s="20" t="s">
        <v>7</v>
      </c>
      <c r="E5" s="193" t="s">
        <v>9</v>
      </c>
      <c r="F5" s="20" t="s">
        <v>10</v>
      </c>
      <c r="G5" s="148" t="s">
        <v>11</v>
      </c>
      <c r="H5" s="31" t="s">
        <v>12</v>
      </c>
      <c r="I5" s="31" t="s">
        <v>12</v>
      </c>
      <c r="J5" s="31" t="s">
        <v>12</v>
      </c>
    </row>
    <row r="6" spans="1:10" s="12" customFormat="1" ht="17.25" hidden="1" thickBot="1" thickTop="1">
      <c r="A6" s="39" t="s">
        <v>176</v>
      </c>
      <c r="B6" s="141" t="e">
        <f>B12+#REF!</f>
        <v>#REF!</v>
      </c>
      <c r="C6" s="142" t="e">
        <f>C12+#REF!</f>
        <v>#REF!</v>
      </c>
      <c r="D6" s="142" t="e">
        <f>D12+#REF!</f>
        <v>#REF!</v>
      </c>
      <c r="E6" s="142" t="e">
        <f>E12+#REF!</f>
        <v>#REF!</v>
      </c>
      <c r="F6" s="142" t="e">
        <f>F12+#REF!</f>
        <v>#REF!</v>
      </c>
      <c r="G6" s="167" t="e">
        <f>G12+#REF!</f>
        <v>#REF!</v>
      </c>
      <c r="H6" s="32" t="e">
        <f>H12+#REF!</f>
        <v>#REF!</v>
      </c>
      <c r="I6" s="32" t="e">
        <f>I12+#REF!</f>
        <v>#REF!</v>
      </c>
      <c r="J6" s="32" t="e">
        <f>J12+#REF!</f>
        <v>#REF!</v>
      </c>
    </row>
    <row r="7" spans="1:10" s="12" customFormat="1" ht="17.25" thickBot="1" thickTop="1">
      <c r="A7" s="362" t="s">
        <v>1</v>
      </c>
      <c r="B7" s="363">
        <f aca="true" t="shared" si="0" ref="B7:I7">B12+B20</f>
        <v>274685</v>
      </c>
      <c r="C7" s="364">
        <f t="shared" si="0"/>
        <v>248773</v>
      </c>
      <c r="D7" s="364">
        <f t="shared" si="0"/>
        <v>254769</v>
      </c>
      <c r="E7" s="364">
        <f t="shared" si="0"/>
        <v>235250</v>
      </c>
      <c r="F7" s="364">
        <f t="shared" si="0"/>
        <v>243740</v>
      </c>
      <c r="G7" s="365">
        <f t="shared" si="0"/>
        <v>248980</v>
      </c>
      <c r="H7" s="366">
        <f t="shared" si="0"/>
        <v>1013477</v>
      </c>
      <c r="I7" s="32">
        <f t="shared" si="0"/>
        <v>1015187</v>
      </c>
      <c r="J7" s="366">
        <f>J12+J20</f>
        <v>1506197</v>
      </c>
    </row>
    <row r="8" spans="1:10" s="12" customFormat="1" ht="17.25" hidden="1" thickBot="1" thickTop="1">
      <c r="A8" s="361" t="s">
        <v>178</v>
      </c>
      <c r="B8" s="367" t="e">
        <f>B13+#REF!</f>
        <v>#REF!</v>
      </c>
      <c r="C8" s="368" t="e">
        <f>C13+#REF!</f>
        <v>#REF!</v>
      </c>
      <c r="D8" s="368" t="e">
        <f>D13+#REF!</f>
        <v>#REF!</v>
      </c>
      <c r="E8" s="369" t="e">
        <f>E13+#REF!</f>
        <v>#REF!</v>
      </c>
      <c r="F8" s="370" t="e">
        <f>F13+#REF!</f>
        <v>#REF!</v>
      </c>
      <c r="G8" s="370" t="e">
        <f>G13+#REF!</f>
        <v>#REF!</v>
      </c>
      <c r="H8" s="371" t="e">
        <f>H13+#REF!</f>
        <v>#REF!</v>
      </c>
      <c r="I8" s="337"/>
      <c r="J8" s="371" t="e">
        <f>J13+#REF!</f>
        <v>#REF!</v>
      </c>
    </row>
    <row r="9" spans="1:10" s="12" customFormat="1" ht="17.25" hidden="1" thickBot="1" thickTop="1">
      <c r="A9" s="39" t="s">
        <v>177</v>
      </c>
      <c r="B9" s="141" t="e">
        <f>B13+#REF!</f>
        <v>#REF!</v>
      </c>
      <c r="C9" s="142" t="e">
        <f>C13+#REF!</f>
        <v>#REF!</v>
      </c>
      <c r="D9" s="142" t="e">
        <f>D13+#REF!</f>
        <v>#REF!</v>
      </c>
      <c r="E9" s="137" t="e">
        <f>E13+#REF!</f>
        <v>#REF!</v>
      </c>
      <c r="F9" s="141" t="e">
        <f>F13+#REF!</f>
        <v>#REF!</v>
      </c>
      <c r="G9" s="141" t="e">
        <f>G13+#REF!</f>
        <v>#REF!</v>
      </c>
      <c r="H9" s="32" t="e">
        <f>H13+#REF!</f>
        <v>#REF!</v>
      </c>
      <c r="I9" s="337"/>
      <c r="J9" s="32" t="e">
        <f>J13+#REF!</f>
        <v>#REF!</v>
      </c>
    </row>
    <row r="10" spans="1:10" s="1" customFormat="1" ht="15.75" thickTop="1">
      <c r="A10" s="41" t="s">
        <v>2</v>
      </c>
      <c r="B10" s="168"/>
      <c r="C10" s="23"/>
      <c r="D10" s="23"/>
      <c r="E10" s="195"/>
      <c r="F10" s="23"/>
      <c r="G10" s="149"/>
      <c r="H10" s="33"/>
      <c r="I10" s="33"/>
      <c r="J10" s="33"/>
    </row>
    <row r="11" spans="1:10" s="1" customFormat="1" ht="6" customHeight="1" thickBot="1">
      <c r="A11" s="6"/>
      <c r="B11" s="21"/>
      <c r="C11" s="23"/>
      <c r="D11" s="23"/>
      <c r="E11" s="195"/>
      <c r="F11" s="23"/>
      <c r="G11" s="149"/>
      <c r="H11" s="33"/>
      <c r="I11" s="33"/>
      <c r="J11" s="33"/>
    </row>
    <row r="12" spans="1:10" s="12" customFormat="1" ht="16.5" customHeight="1" thickBot="1" thickTop="1">
      <c r="A12" s="40" t="s">
        <v>3</v>
      </c>
      <c r="B12" s="143">
        <f aca="true" t="shared" si="1" ref="B12:H12">B15+B16+B17</f>
        <v>92075</v>
      </c>
      <c r="C12" s="144">
        <f t="shared" si="1"/>
        <v>96823</v>
      </c>
      <c r="D12" s="144">
        <f t="shared" si="1"/>
        <v>104369</v>
      </c>
      <c r="E12" s="196">
        <f t="shared" si="1"/>
        <v>83500</v>
      </c>
      <c r="F12" s="196">
        <f t="shared" si="1"/>
        <v>99000</v>
      </c>
      <c r="G12" s="196">
        <f t="shared" si="1"/>
        <v>105000</v>
      </c>
      <c r="H12" s="32">
        <f t="shared" si="1"/>
        <v>376767</v>
      </c>
      <c r="I12" s="32">
        <f>I15</f>
        <v>580767</v>
      </c>
      <c r="J12" s="32">
        <f>J15+J16+J17</f>
        <v>580767</v>
      </c>
    </row>
    <row r="13" spans="1:10" s="12" customFormat="1" ht="16.5" customHeight="1" hidden="1">
      <c r="A13" s="40" t="s">
        <v>179</v>
      </c>
      <c r="B13" s="143" t="e">
        <f>#REF!</f>
        <v>#REF!</v>
      </c>
      <c r="C13" s="144" t="e">
        <f>#REF!</f>
        <v>#REF!</v>
      </c>
      <c r="D13" s="144" t="e">
        <f>#REF!</f>
        <v>#REF!</v>
      </c>
      <c r="E13" s="196" t="e">
        <f>#REF!</f>
        <v>#REF!</v>
      </c>
      <c r="F13" s="144" t="e">
        <f>#REF!</f>
        <v>#REF!</v>
      </c>
      <c r="G13" s="196" t="e">
        <f>#REF!</f>
        <v>#REF!</v>
      </c>
      <c r="H13" s="32" t="e">
        <f>#REF!</f>
        <v>#REF!</v>
      </c>
      <c r="I13" s="337"/>
      <c r="J13" s="32" t="e">
        <f>#REF!</f>
        <v>#REF!</v>
      </c>
    </row>
    <row r="14" spans="1:10" s="1" customFormat="1" ht="6" customHeight="1" thickTop="1">
      <c r="A14" s="7"/>
      <c r="B14" s="21"/>
      <c r="C14" s="23"/>
      <c r="D14" s="23"/>
      <c r="E14" s="195"/>
      <c r="F14" s="23"/>
      <c r="G14" s="149"/>
      <c r="H14" s="33"/>
      <c r="I14" s="33"/>
      <c r="J14" s="33"/>
    </row>
    <row r="15" spans="1:10" s="1" customFormat="1" ht="24.75" customHeight="1">
      <c r="A15" s="45" t="s">
        <v>230</v>
      </c>
      <c r="B15" s="516">
        <v>0</v>
      </c>
      <c r="C15" s="184">
        <v>0</v>
      </c>
      <c r="D15" s="184">
        <v>0</v>
      </c>
      <c r="E15" s="514">
        <v>0</v>
      </c>
      <c r="F15" s="184">
        <v>0</v>
      </c>
      <c r="G15" s="186">
        <v>0</v>
      </c>
      <c r="H15" s="43">
        <f>B15+C15+D15+E15</f>
        <v>0</v>
      </c>
      <c r="I15" s="724">
        <f>SUM(B15:G18)</f>
        <v>580767</v>
      </c>
      <c r="J15" s="43">
        <f>B15+C15+D15+E15+F15+G15</f>
        <v>0</v>
      </c>
    </row>
    <row r="16" spans="1:10" s="1" customFormat="1" ht="24.75" customHeight="1">
      <c r="A16" s="53" t="s">
        <v>231</v>
      </c>
      <c r="B16" s="48">
        <v>81075</v>
      </c>
      <c r="C16" s="50">
        <v>85823</v>
      </c>
      <c r="D16" s="50">
        <v>91369</v>
      </c>
      <c r="E16" s="197">
        <v>70500</v>
      </c>
      <c r="F16" s="50">
        <v>85000</v>
      </c>
      <c r="G16" s="136">
        <v>90000</v>
      </c>
      <c r="H16" s="519">
        <f>B16+C16+D16+E16</f>
        <v>328767</v>
      </c>
      <c r="I16" s="992"/>
      <c r="J16" s="519">
        <f>B16+C16+D16+E16+F16+G16</f>
        <v>503767</v>
      </c>
    </row>
    <row r="17" spans="1:10" s="1" customFormat="1" ht="24.75" customHeight="1">
      <c r="A17" s="53" t="s">
        <v>253</v>
      </c>
      <c r="B17" s="48">
        <v>11000</v>
      </c>
      <c r="C17" s="50">
        <v>11000</v>
      </c>
      <c r="D17" s="50">
        <v>13000</v>
      </c>
      <c r="E17" s="197">
        <v>13000</v>
      </c>
      <c r="F17" s="50">
        <v>14000</v>
      </c>
      <c r="G17" s="136">
        <v>15000</v>
      </c>
      <c r="H17" s="519">
        <f>B17+C17+D17+E17</f>
        <v>48000</v>
      </c>
      <c r="I17" s="992"/>
      <c r="J17" s="519">
        <f>B17+C17+D17+E17+F17+G17</f>
        <v>77000</v>
      </c>
    </row>
    <row r="18" spans="1:10" s="1" customFormat="1" ht="12.75" customHeight="1">
      <c r="A18" s="46"/>
      <c r="B18" s="517"/>
      <c r="C18" s="185"/>
      <c r="D18" s="185"/>
      <c r="E18" s="515"/>
      <c r="F18" s="518"/>
      <c r="G18" s="513"/>
      <c r="H18" s="44"/>
      <c r="I18" s="725"/>
      <c r="J18" s="44"/>
    </row>
    <row r="19" spans="1:10" s="1" customFormat="1" ht="6" customHeight="1" thickBot="1">
      <c r="A19" s="170"/>
      <c r="B19" s="48"/>
      <c r="C19" s="50"/>
      <c r="D19" s="50"/>
      <c r="E19" s="197"/>
      <c r="F19" s="50"/>
      <c r="G19" s="136"/>
      <c r="H19" s="51"/>
      <c r="I19" s="51"/>
      <c r="J19" s="51"/>
    </row>
    <row r="20" spans="1:10" s="10" customFormat="1" ht="16.5" customHeight="1" thickBot="1" thickTop="1">
      <c r="A20" s="349" t="s">
        <v>28</v>
      </c>
      <c r="B20" s="357">
        <f aca="true" t="shared" si="2" ref="B20:H20">B23+B28+B33</f>
        <v>182610</v>
      </c>
      <c r="C20" s="350">
        <f t="shared" si="2"/>
        <v>151950</v>
      </c>
      <c r="D20" s="350">
        <f t="shared" si="2"/>
        <v>150400</v>
      </c>
      <c r="E20" s="350">
        <f t="shared" si="2"/>
        <v>151750</v>
      </c>
      <c r="F20" s="350">
        <f t="shared" si="2"/>
        <v>144740</v>
      </c>
      <c r="G20" s="350">
        <f t="shared" si="2"/>
        <v>143980</v>
      </c>
      <c r="H20" s="352">
        <f t="shared" si="2"/>
        <v>636710</v>
      </c>
      <c r="I20" s="54">
        <f>I24+I29+I34</f>
        <v>434420</v>
      </c>
      <c r="J20" s="352">
        <f>J23+J28+J33</f>
        <v>925430</v>
      </c>
    </row>
    <row r="21" spans="1:10" s="10" customFormat="1" ht="6" customHeight="1" thickTop="1">
      <c r="A21" s="521"/>
      <c r="B21" s="522"/>
      <c r="C21" s="523"/>
      <c r="D21" s="523"/>
      <c r="E21" s="523"/>
      <c r="F21" s="523"/>
      <c r="G21" s="524"/>
      <c r="H21" s="531"/>
      <c r="I21" s="344"/>
      <c r="J21" s="531"/>
    </row>
    <row r="22" spans="1:10" s="10" customFormat="1" ht="6" customHeight="1" thickBot="1">
      <c r="A22" s="521"/>
      <c r="B22" s="522"/>
      <c r="C22" s="523"/>
      <c r="D22" s="523"/>
      <c r="E22" s="523"/>
      <c r="F22" s="523"/>
      <c r="G22" s="524"/>
      <c r="H22" s="531"/>
      <c r="I22" s="344"/>
      <c r="J22" s="531"/>
    </row>
    <row r="23" spans="1:10" s="10" customFormat="1" ht="18" customHeight="1" thickBot="1">
      <c r="A23" s="529" t="s">
        <v>117</v>
      </c>
      <c r="B23" s="526">
        <f aca="true" t="shared" si="3" ref="B23:H23">B24+B25</f>
        <v>143010</v>
      </c>
      <c r="C23" s="527">
        <f t="shared" si="3"/>
        <v>120000</v>
      </c>
      <c r="D23" s="527">
        <f t="shared" si="3"/>
        <v>112000</v>
      </c>
      <c r="E23" s="527">
        <f t="shared" si="3"/>
        <v>107000</v>
      </c>
      <c r="F23" s="527">
        <f t="shared" si="3"/>
        <v>96540</v>
      </c>
      <c r="G23" s="527">
        <f t="shared" si="3"/>
        <v>92330</v>
      </c>
      <c r="H23" s="532">
        <f t="shared" si="3"/>
        <v>482010</v>
      </c>
      <c r="I23" s="344"/>
      <c r="J23" s="532">
        <f>J24+J25</f>
        <v>670880</v>
      </c>
    </row>
    <row r="24" spans="1:10" s="1" customFormat="1" ht="24.75" customHeight="1">
      <c r="A24" s="520" t="s">
        <v>232</v>
      </c>
      <c r="B24" s="21">
        <v>96000</v>
      </c>
      <c r="C24" s="23">
        <v>73000</v>
      </c>
      <c r="D24" s="23">
        <v>65000</v>
      </c>
      <c r="E24" s="23">
        <v>60000</v>
      </c>
      <c r="F24" s="23">
        <v>49540</v>
      </c>
      <c r="G24" s="23">
        <v>45330</v>
      </c>
      <c r="H24" s="530">
        <f>B24+C24+D24+E24</f>
        <v>294000</v>
      </c>
      <c r="I24" s="724">
        <f>SUM(B24:G24)</f>
        <v>388870</v>
      </c>
      <c r="J24" s="530">
        <f>B24+C24+D24+E24+F24+G24</f>
        <v>388870</v>
      </c>
    </row>
    <row r="25" spans="1:10" s="1" customFormat="1" ht="24.75" customHeight="1">
      <c r="A25" s="53" t="s">
        <v>233</v>
      </c>
      <c r="B25" s="48">
        <v>47010</v>
      </c>
      <c r="C25" s="50">
        <v>47000</v>
      </c>
      <c r="D25" s="50">
        <v>47000</v>
      </c>
      <c r="E25" s="50">
        <v>47000</v>
      </c>
      <c r="F25" s="50">
        <v>47000</v>
      </c>
      <c r="G25" s="50">
        <v>47000</v>
      </c>
      <c r="H25" s="519">
        <f>B25+C25+D25+E25</f>
        <v>188010</v>
      </c>
      <c r="I25" s="995"/>
      <c r="J25" s="519">
        <f>B25+C25+D25+E25+F25+G25</f>
        <v>282010</v>
      </c>
    </row>
    <row r="26" spans="1:10" s="1" customFormat="1" ht="6" customHeight="1">
      <c r="A26" s="7"/>
      <c r="B26" s="21"/>
      <c r="C26" s="23"/>
      <c r="D26" s="23"/>
      <c r="E26" s="195"/>
      <c r="F26" s="23"/>
      <c r="G26" s="149"/>
      <c r="H26" s="457"/>
      <c r="I26" s="44"/>
      <c r="J26" s="457"/>
    </row>
    <row r="27" spans="1:10" s="1" customFormat="1" ht="6" customHeight="1" thickBot="1">
      <c r="A27" s="7"/>
      <c r="B27" s="21"/>
      <c r="C27" s="23"/>
      <c r="D27" s="23"/>
      <c r="E27" s="195"/>
      <c r="F27" s="23"/>
      <c r="G27" s="149"/>
      <c r="H27" s="533"/>
      <c r="I27" s="33"/>
      <c r="J27" s="533"/>
    </row>
    <row r="28" spans="1:10" s="1" customFormat="1" ht="18" customHeight="1" thickBot="1">
      <c r="A28" s="529" t="s">
        <v>167</v>
      </c>
      <c r="B28" s="526">
        <f aca="true" t="shared" si="4" ref="B28:H28">B29+B30</f>
        <v>39000</v>
      </c>
      <c r="C28" s="527">
        <f t="shared" si="4"/>
        <v>31300</v>
      </c>
      <c r="D28" s="527">
        <f t="shared" si="4"/>
        <v>37700</v>
      </c>
      <c r="E28" s="527">
        <f t="shared" si="4"/>
        <v>44000</v>
      </c>
      <c r="F28" s="527">
        <f t="shared" si="4"/>
        <v>47400</v>
      </c>
      <c r="G28" s="527">
        <f t="shared" si="4"/>
        <v>50800</v>
      </c>
      <c r="H28" s="532">
        <f t="shared" si="4"/>
        <v>152000</v>
      </c>
      <c r="I28" s="33"/>
      <c r="J28" s="532">
        <f>J29+J30</f>
        <v>250200</v>
      </c>
    </row>
    <row r="29" spans="1:10" s="1" customFormat="1" ht="24.75" customHeight="1">
      <c r="A29" s="525" t="s">
        <v>234</v>
      </c>
      <c r="B29" s="517">
        <v>6000</v>
      </c>
      <c r="C29" s="185">
        <v>6300</v>
      </c>
      <c r="D29" s="185">
        <v>6700</v>
      </c>
      <c r="E29" s="515">
        <v>7000</v>
      </c>
      <c r="F29" s="185">
        <v>7400</v>
      </c>
      <c r="G29" s="187">
        <v>7800</v>
      </c>
      <c r="H29" s="33">
        <f>B29+C29+D29+E29</f>
        <v>26000</v>
      </c>
      <c r="I29" s="43">
        <f>SUM(B29:G29)</f>
        <v>41200</v>
      </c>
      <c r="J29" s="33">
        <f>B29+C29+D29+E29+F29+G29</f>
        <v>41200</v>
      </c>
    </row>
    <row r="30" spans="1:10" s="1" customFormat="1" ht="24.75" customHeight="1">
      <c r="A30" s="53" t="s">
        <v>235</v>
      </c>
      <c r="B30" s="48">
        <v>33000</v>
      </c>
      <c r="C30" s="50">
        <v>25000</v>
      </c>
      <c r="D30" s="50">
        <v>31000</v>
      </c>
      <c r="E30" s="197">
        <v>37000</v>
      </c>
      <c r="F30" s="50">
        <v>40000</v>
      </c>
      <c r="G30" s="136">
        <v>43000</v>
      </c>
      <c r="H30" s="43">
        <f>B30+C30+D30+E30</f>
        <v>126000</v>
      </c>
      <c r="I30" s="43"/>
      <c r="J30" s="43">
        <f>B30+C30+D30+E30+F30+G30</f>
        <v>209000</v>
      </c>
    </row>
    <row r="31" spans="1:10" s="1" customFormat="1" ht="6" customHeight="1">
      <c r="A31" s="8"/>
      <c r="B31" s="21"/>
      <c r="C31" s="23"/>
      <c r="D31" s="23"/>
      <c r="E31" s="514"/>
      <c r="F31" s="184"/>
      <c r="G31" s="186"/>
      <c r="H31" s="457"/>
      <c r="I31" s="51"/>
      <c r="J31" s="457"/>
    </row>
    <row r="32" spans="1:10" s="1" customFormat="1" ht="6" customHeight="1" thickBot="1">
      <c r="A32" s="8"/>
      <c r="B32" s="21"/>
      <c r="C32" s="23"/>
      <c r="D32" s="23"/>
      <c r="E32" s="534"/>
      <c r="F32" s="535"/>
      <c r="G32" s="534"/>
      <c r="H32" s="533"/>
      <c r="I32" s="51"/>
      <c r="J32" s="533"/>
    </row>
    <row r="33" spans="1:10" s="1" customFormat="1" ht="18" customHeight="1" thickBot="1">
      <c r="A33" s="529" t="s">
        <v>238</v>
      </c>
      <c r="B33" s="526">
        <f aca="true" t="shared" si="5" ref="B33:H33">B34+B35</f>
        <v>600</v>
      </c>
      <c r="C33" s="527">
        <f t="shared" si="5"/>
        <v>650</v>
      </c>
      <c r="D33" s="527">
        <f t="shared" si="5"/>
        <v>700</v>
      </c>
      <c r="E33" s="527">
        <f t="shared" si="5"/>
        <v>750</v>
      </c>
      <c r="F33" s="527">
        <f t="shared" si="5"/>
        <v>800</v>
      </c>
      <c r="G33" s="527">
        <f t="shared" si="5"/>
        <v>850</v>
      </c>
      <c r="H33" s="532">
        <f t="shared" si="5"/>
        <v>2700</v>
      </c>
      <c r="I33" s="51"/>
      <c r="J33" s="532">
        <f>J34+J35</f>
        <v>4350</v>
      </c>
    </row>
    <row r="34" spans="1:10" s="1" customFormat="1" ht="24.75" customHeight="1">
      <c r="A34" s="525" t="s">
        <v>236</v>
      </c>
      <c r="B34" s="517">
        <v>600</v>
      </c>
      <c r="C34" s="185">
        <v>650</v>
      </c>
      <c r="D34" s="185">
        <v>700</v>
      </c>
      <c r="E34" s="185">
        <v>750</v>
      </c>
      <c r="F34" s="185">
        <v>800</v>
      </c>
      <c r="G34" s="185">
        <v>850</v>
      </c>
      <c r="H34" s="44">
        <f>B34+C34+D34+E34</f>
        <v>2700</v>
      </c>
      <c r="I34" s="51">
        <f>SUM(B34:G34)</f>
        <v>4350</v>
      </c>
      <c r="J34" s="44">
        <f>B34+C34+D34+E34+F34+G34</f>
        <v>4350</v>
      </c>
    </row>
    <row r="35" spans="1:10" s="1" customFormat="1" ht="24.75" customHeight="1">
      <c r="A35" s="53" t="s">
        <v>237</v>
      </c>
      <c r="B35" s="48">
        <v>0</v>
      </c>
      <c r="C35" s="50">
        <v>0</v>
      </c>
      <c r="D35" s="50">
        <v>0</v>
      </c>
      <c r="E35" s="50">
        <v>0</v>
      </c>
      <c r="F35" s="50">
        <f>E35*1.05</f>
        <v>0</v>
      </c>
      <c r="G35" s="50">
        <f>F35*1.05</f>
        <v>0</v>
      </c>
      <c r="H35" s="51">
        <f>B35+C35+D35+E35</f>
        <v>0</v>
      </c>
      <c r="I35" s="51"/>
      <c r="J35" s="51">
        <f>B35+C35+D35+E35+F35+G35</f>
        <v>0</v>
      </c>
    </row>
    <row r="36" spans="1:10" s="1" customFormat="1" ht="6" customHeight="1">
      <c r="A36" s="8"/>
      <c r="B36" s="21"/>
      <c r="C36" s="23"/>
      <c r="D36" s="23"/>
      <c r="E36" s="195"/>
      <c r="F36" s="23"/>
      <c r="G36" s="188"/>
      <c r="H36" s="457"/>
      <c r="I36" s="51"/>
      <c r="J36" s="457"/>
    </row>
    <row r="37" spans="1:10" ht="6.75" customHeight="1" thickBot="1">
      <c r="A37" s="16"/>
      <c r="B37" s="29"/>
      <c r="C37" s="28"/>
      <c r="D37" s="28"/>
      <c r="E37" s="200"/>
      <c r="F37" s="28"/>
      <c r="G37" s="191"/>
      <c r="H37" s="458"/>
      <c r="I37" s="56"/>
      <c r="J37" s="458"/>
    </row>
    <row r="38" ht="9.75" customHeight="1" thickTop="1">
      <c r="A38" s="4"/>
    </row>
  </sheetData>
  <mergeCells count="6">
    <mergeCell ref="A1:H1"/>
    <mergeCell ref="I24:I25"/>
    <mergeCell ref="I15:I18"/>
    <mergeCell ref="A2:H2"/>
    <mergeCell ref="D3:F3"/>
    <mergeCell ref="G3:H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40"/>
  <sheetViews>
    <sheetView workbookViewId="0" topLeftCell="A1">
      <selection activeCell="A1" sqref="A1:H1"/>
    </sheetView>
  </sheetViews>
  <sheetFormatPr defaultColWidth="9.00390625" defaultRowHeight="12.75"/>
  <cols>
    <col min="1" max="1" width="40.875" style="0" customWidth="1"/>
    <col min="2" max="5" width="12.75390625" style="0" customWidth="1"/>
    <col min="6" max="7" width="12.75390625" style="0" hidden="1" customWidth="1"/>
    <col min="8" max="8" width="14.00390625" style="0" customWidth="1"/>
    <col min="9" max="9" width="14.00390625" style="0" hidden="1" customWidth="1"/>
    <col min="13" max="13" width="9.625" style="0" bestFit="1" customWidth="1"/>
  </cols>
  <sheetData>
    <row r="1" spans="1:8" ht="15" customHeight="1">
      <c r="A1" s="713" t="s">
        <v>239</v>
      </c>
      <c r="B1" s="714"/>
      <c r="C1" s="714"/>
      <c r="D1" s="714"/>
      <c r="E1" s="714"/>
      <c r="F1" s="714"/>
      <c r="G1" s="714"/>
      <c r="H1" s="715"/>
    </row>
    <row r="2" spans="1:8" ht="15" customHeight="1" hidden="1">
      <c r="A2" s="713" t="s">
        <v>282</v>
      </c>
      <c r="B2" s="714"/>
      <c r="C2" s="714"/>
      <c r="D2" s="714"/>
      <c r="E2" s="714"/>
      <c r="F2" s="714"/>
      <c r="G2" s="714"/>
      <c r="H2" s="715"/>
    </row>
    <row r="3" spans="1:8" s="1" customFormat="1" ht="17.25" customHeight="1" thickBot="1">
      <c r="A3" s="15" t="s">
        <v>27</v>
      </c>
      <c r="B3" s="3"/>
      <c r="C3" s="2"/>
      <c r="D3" s="731"/>
      <c r="E3" s="704"/>
      <c r="F3" s="704"/>
      <c r="G3" s="731" t="s">
        <v>266</v>
      </c>
      <c r="H3" s="731"/>
    </row>
    <row r="4" spans="1:9" s="1" customFormat="1" ht="39.75" customHeight="1" thickBot="1" thickTop="1">
      <c r="A4" s="35" t="s">
        <v>0</v>
      </c>
      <c r="B4" s="36" t="s">
        <v>20</v>
      </c>
      <c r="C4" s="38" t="s">
        <v>23</v>
      </c>
      <c r="D4" s="38" t="s">
        <v>24</v>
      </c>
      <c r="E4" s="192" t="s">
        <v>25</v>
      </c>
      <c r="F4" s="38" t="s">
        <v>114</v>
      </c>
      <c r="G4" s="147" t="s">
        <v>115</v>
      </c>
      <c r="H4" s="598" t="s">
        <v>153</v>
      </c>
      <c r="I4" s="30" t="s">
        <v>116</v>
      </c>
    </row>
    <row r="5" spans="1:9" s="1" customFormat="1" ht="9.75" customHeight="1" thickBot="1" thickTop="1">
      <c r="A5" s="17" t="s">
        <v>4</v>
      </c>
      <c r="B5" s="139" t="s">
        <v>5</v>
      </c>
      <c r="C5" s="20" t="s">
        <v>6</v>
      </c>
      <c r="D5" s="20" t="s">
        <v>7</v>
      </c>
      <c r="E5" s="193" t="s">
        <v>9</v>
      </c>
      <c r="F5" s="20" t="s">
        <v>10</v>
      </c>
      <c r="G5" s="148" t="s">
        <v>11</v>
      </c>
      <c r="H5" s="599" t="s">
        <v>12</v>
      </c>
      <c r="I5" s="31" t="s">
        <v>283</v>
      </c>
    </row>
    <row r="6" spans="1:9" s="12" customFormat="1" ht="17.25" hidden="1" thickBot="1" thickTop="1">
      <c r="A6" s="39" t="s">
        <v>176</v>
      </c>
      <c r="B6" s="141" t="e">
        <f>B12+#REF!</f>
        <v>#REF!</v>
      </c>
      <c r="C6" s="142" t="e">
        <f>C12+#REF!</f>
        <v>#REF!</v>
      </c>
      <c r="D6" s="142" t="e">
        <f>D12+#REF!</f>
        <v>#REF!</v>
      </c>
      <c r="E6" s="142" t="e">
        <f>E12+#REF!</f>
        <v>#REF!</v>
      </c>
      <c r="F6" s="142" t="e">
        <f>F12+#REF!</f>
        <v>#REF!</v>
      </c>
      <c r="G6" s="167" t="e">
        <f>G12+#REF!</f>
        <v>#REF!</v>
      </c>
      <c r="H6" s="600" t="e">
        <f>H12+#REF!</f>
        <v>#REF!</v>
      </c>
      <c r="I6" s="32" t="e">
        <f>I12+#REF!</f>
        <v>#REF!</v>
      </c>
    </row>
    <row r="7" spans="1:9" s="12" customFormat="1" ht="17.25" thickBot="1" thickTop="1">
      <c r="A7" s="362" t="s">
        <v>1</v>
      </c>
      <c r="B7" s="363">
        <f aca="true" t="shared" si="0" ref="B7:I7">B12+B19</f>
        <v>121337</v>
      </c>
      <c r="C7" s="364">
        <f t="shared" si="0"/>
        <v>138192</v>
      </c>
      <c r="D7" s="364">
        <f t="shared" si="0"/>
        <v>144721</v>
      </c>
      <c r="E7" s="364">
        <f t="shared" si="0"/>
        <v>152893</v>
      </c>
      <c r="F7" s="364">
        <f t="shared" si="0"/>
        <v>98277</v>
      </c>
      <c r="G7" s="365">
        <f t="shared" si="0"/>
        <v>104319</v>
      </c>
      <c r="H7" s="366">
        <f t="shared" si="0"/>
        <v>557143</v>
      </c>
      <c r="I7" s="602">
        <f t="shared" si="0"/>
        <v>895165</v>
      </c>
    </row>
    <row r="8" spans="1:9" s="12" customFormat="1" ht="17.25" hidden="1" thickBot="1" thickTop="1">
      <c r="A8" s="361" t="s">
        <v>178</v>
      </c>
      <c r="B8" s="367" t="e">
        <f>B13+#REF!</f>
        <v>#REF!</v>
      </c>
      <c r="C8" s="368" t="e">
        <f>C13+#REF!</f>
        <v>#REF!</v>
      </c>
      <c r="D8" s="368" t="e">
        <f>D13+#REF!</f>
        <v>#REF!</v>
      </c>
      <c r="E8" s="369" t="e">
        <f>E13+#REF!</f>
        <v>#REF!</v>
      </c>
      <c r="F8" s="370" t="e">
        <f>F13+#REF!</f>
        <v>#REF!</v>
      </c>
      <c r="G8" s="370" t="e">
        <f>G13+#REF!</f>
        <v>#REF!</v>
      </c>
      <c r="H8" s="601" t="e">
        <f>H13+#REF!</f>
        <v>#REF!</v>
      </c>
      <c r="I8" s="337"/>
    </row>
    <row r="9" spans="1:9" s="12" customFormat="1" ht="17.25" hidden="1" thickBot="1" thickTop="1">
      <c r="A9" s="39" t="s">
        <v>177</v>
      </c>
      <c r="B9" s="141" t="e">
        <f>B13+#REF!</f>
        <v>#REF!</v>
      </c>
      <c r="C9" s="142" t="e">
        <f>C13+#REF!</f>
        <v>#REF!</v>
      </c>
      <c r="D9" s="142" t="e">
        <f>D13+#REF!</f>
        <v>#REF!</v>
      </c>
      <c r="E9" s="137" t="e">
        <f>E13+#REF!</f>
        <v>#REF!</v>
      </c>
      <c r="F9" s="141" t="e">
        <f>F13+#REF!</f>
        <v>#REF!</v>
      </c>
      <c r="G9" s="141" t="e">
        <f>G13+#REF!</f>
        <v>#REF!</v>
      </c>
      <c r="H9" s="600" t="e">
        <f>H13+#REF!</f>
        <v>#REF!</v>
      </c>
      <c r="I9" s="337"/>
    </row>
    <row r="10" spans="1:9" s="1" customFormat="1" ht="15.75" thickTop="1">
      <c r="A10" s="41" t="s">
        <v>2</v>
      </c>
      <c r="B10" s="168"/>
      <c r="C10" s="23"/>
      <c r="D10" s="23"/>
      <c r="E10" s="195"/>
      <c r="F10" s="23"/>
      <c r="G10" s="149"/>
      <c r="H10" s="586"/>
      <c r="I10" s="33"/>
    </row>
    <row r="11" spans="1:9" s="1" customFormat="1" ht="6" customHeight="1" thickBot="1">
      <c r="A11" s="6"/>
      <c r="B11" s="21"/>
      <c r="C11" s="23"/>
      <c r="D11" s="23"/>
      <c r="E11" s="195"/>
      <c r="F11" s="23"/>
      <c r="G11" s="149"/>
      <c r="H11" s="586"/>
      <c r="I11" s="33"/>
    </row>
    <row r="12" spans="1:9" s="12" customFormat="1" ht="16.5" customHeight="1" thickBot="1" thickTop="1">
      <c r="A12" s="40" t="s">
        <v>3</v>
      </c>
      <c r="B12" s="143">
        <f aca="true" t="shared" si="1" ref="B12:I12">B15+B16</f>
        <v>0</v>
      </c>
      <c r="C12" s="144">
        <f t="shared" si="1"/>
        <v>0</v>
      </c>
      <c r="D12" s="144">
        <f t="shared" si="1"/>
        <v>0</v>
      </c>
      <c r="E12" s="196">
        <f t="shared" si="1"/>
        <v>0</v>
      </c>
      <c r="F12" s="144">
        <f t="shared" si="1"/>
        <v>0</v>
      </c>
      <c r="G12" s="196">
        <f t="shared" si="1"/>
        <v>0</v>
      </c>
      <c r="H12" s="600">
        <f t="shared" si="1"/>
        <v>0</v>
      </c>
      <c r="I12" s="32">
        <f t="shared" si="1"/>
        <v>0</v>
      </c>
    </row>
    <row r="13" spans="1:9" s="12" customFormat="1" ht="16.5" customHeight="1" hidden="1">
      <c r="A13" s="40" t="s">
        <v>179</v>
      </c>
      <c r="B13" s="143" t="e">
        <f>#REF!</f>
        <v>#REF!</v>
      </c>
      <c r="C13" s="144" t="e">
        <f>#REF!</f>
        <v>#REF!</v>
      </c>
      <c r="D13" s="144" t="e">
        <f>#REF!</f>
        <v>#REF!</v>
      </c>
      <c r="E13" s="196" t="e">
        <f>#REF!</f>
        <v>#REF!</v>
      </c>
      <c r="F13" s="144" t="e">
        <f>#REF!</f>
        <v>#REF!</v>
      </c>
      <c r="G13" s="196" t="e">
        <f>#REF!</f>
        <v>#REF!</v>
      </c>
      <c r="H13" s="600" t="e">
        <f>#REF!</f>
        <v>#REF!</v>
      </c>
      <c r="I13" s="337"/>
    </row>
    <row r="14" spans="1:9" s="1" customFormat="1" ht="6" customHeight="1" thickTop="1">
      <c r="A14" s="7"/>
      <c r="B14" s="21"/>
      <c r="C14" s="23"/>
      <c r="D14" s="23"/>
      <c r="E14" s="195"/>
      <c r="F14" s="23"/>
      <c r="G14" s="149"/>
      <c r="H14" s="586"/>
      <c r="I14" s="33"/>
    </row>
    <row r="15" spans="1:9" s="1" customFormat="1" ht="24.75" customHeight="1">
      <c r="A15" s="45" t="s">
        <v>243</v>
      </c>
      <c r="B15" s="516">
        <v>0</v>
      </c>
      <c r="C15" s="184">
        <v>0</v>
      </c>
      <c r="D15" s="184">
        <v>0</v>
      </c>
      <c r="E15" s="514">
        <v>0</v>
      </c>
      <c r="F15" s="184">
        <v>0</v>
      </c>
      <c r="G15" s="186">
        <v>0</v>
      </c>
      <c r="H15" s="457">
        <f>SUM(B15:E15)</f>
        <v>0</v>
      </c>
      <c r="I15" s="43">
        <f>SUM(B15:G15)</f>
        <v>0</v>
      </c>
    </row>
    <row r="16" spans="1:9" s="1" customFormat="1" ht="24.75" customHeight="1">
      <c r="A16" s="53" t="s">
        <v>244</v>
      </c>
      <c r="B16" s="48">
        <v>0</v>
      </c>
      <c r="C16" s="50">
        <v>0</v>
      </c>
      <c r="D16" s="50">
        <v>0</v>
      </c>
      <c r="E16" s="197">
        <v>0</v>
      </c>
      <c r="F16" s="50">
        <v>0</v>
      </c>
      <c r="G16" s="136">
        <v>0</v>
      </c>
      <c r="H16" s="519">
        <f>SUM(B16:E16)</f>
        <v>0</v>
      </c>
      <c r="I16" s="51">
        <f>SUM(B16:G16)</f>
        <v>0</v>
      </c>
    </row>
    <row r="17" spans="1:9" s="1" customFormat="1" ht="12.75" customHeight="1">
      <c r="A17" s="46"/>
      <c r="B17" s="517"/>
      <c r="C17" s="185"/>
      <c r="D17" s="185"/>
      <c r="E17" s="515"/>
      <c r="F17" s="518"/>
      <c r="G17" s="513"/>
      <c r="H17" s="530"/>
      <c r="I17" s="44"/>
    </row>
    <row r="18" spans="1:9" s="1" customFormat="1" ht="6" customHeight="1" thickBot="1">
      <c r="A18" s="170"/>
      <c r="B18" s="48"/>
      <c r="C18" s="50"/>
      <c r="D18" s="50"/>
      <c r="E18" s="197"/>
      <c r="F18" s="50"/>
      <c r="G18" s="136"/>
      <c r="H18" s="519"/>
      <c r="I18" s="51"/>
    </row>
    <row r="19" spans="1:9" s="10" customFormat="1" ht="16.5" customHeight="1" thickBot="1" thickTop="1">
      <c r="A19" s="349" t="s">
        <v>28</v>
      </c>
      <c r="B19" s="357">
        <f>B22+B30+B35</f>
        <v>121337</v>
      </c>
      <c r="C19" s="350">
        <f>C22+C30+C35</f>
        <v>138192</v>
      </c>
      <c r="D19" s="350">
        <f>D22+D30+D35</f>
        <v>144721</v>
      </c>
      <c r="E19" s="350">
        <f>E22+E30+E35</f>
        <v>152893</v>
      </c>
      <c r="F19" s="350">
        <f>F23+F31+F36</f>
        <v>98277</v>
      </c>
      <c r="G19" s="351">
        <f>G23+G31+G36</f>
        <v>104319</v>
      </c>
      <c r="H19" s="352">
        <f>H22+H30+H35</f>
        <v>557143</v>
      </c>
      <c r="I19" s="603">
        <f>I22+I30+I35</f>
        <v>895165</v>
      </c>
    </row>
    <row r="20" spans="1:9" s="10" customFormat="1" ht="6" customHeight="1" thickTop="1">
      <c r="A20" s="521"/>
      <c r="B20" s="522"/>
      <c r="C20" s="523"/>
      <c r="D20" s="523"/>
      <c r="E20" s="523"/>
      <c r="F20" s="523"/>
      <c r="G20" s="524"/>
      <c r="H20" s="531"/>
      <c r="I20" s="344"/>
    </row>
    <row r="21" spans="1:9" s="10" customFormat="1" ht="6" customHeight="1" thickBot="1">
      <c r="A21" s="521"/>
      <c r="B21" s="522"/>
      <c r="C21" s="523"/>
      <c r="D21" s="523"/>
      <c r="E21" s="523"/>
      <c r="F21" s="523"/>
      <c r="G21" s="524"/>
      <c r="H21" s="531"/>
      <c r="I21" s="344"/>
    </row>
    <row r="22" spans="1:9" s="10" customFormat="1" ht="18" customHeight="1" thickBot="1">
      <c r="A22" s="529" t="s">
        <v>240</v>
      </c>
      <c r="B22" s="526">
        <f aca="true" t="shared" si="2" ref="B22:I22">B23+B24+B27</f>
        <v>49082</v>
      </c>
      <c r="C22" s="527">
        <f t="shared" si="2"/>
        <v>61501</v>
      </c>
      <c r="D22" s="527">
        <f t="shared" si="2"/>
        <v>63301</v>
      </c>
      <c r="E22" s="527">
        <f t="shared" si="2"/>
        <v>66255</v>
      </c>
      <c r="F22" s="527">
        <f t="shared" si="2"/>
        <v>70416</v>
      </c>
      <c r="G22" s="528">
        <f t="shared" si="2"/>
        <v>73709</v>
      </c>
      <c r="H22" s="532">
        <f t="shared" si="2"/>
        <v>240139</v>
      </c>
      <c r="I22" s="604">
        <f t="shared" si="2"/>
        <v>384264</v>
      </c>
    </row>
    <row r="23" spans="1:9" s="1" customFormat="1" ht="24.75" customHeight="1">
      <c r="A23" s="520" t="s">
        <v>274</v>
      </c>
      <c r="B23" s="21">
        <v>27500</v>
      </c>
      <c r="C23" s="23">
        <v>31600</v>
      </c>
      <c r="D23" s="23">
        <v>31500</v>
      </c>
      <c r="E23" s="23">
        <v>32500</v>
      </c>
      <c r="F23" s="23">
        <v>34000</v>
      </c>
      <c r="G23" s="23">
        <v>35500</v>
      </c>
      <c r="H23" s="530">
        <f>SUM(B23:E23)</f>
        <v>123100</v>
      </c>
      <c r="I23" s="44">
        <f>SUM(B23:G23)</f>
        <v>192600</v>
      </c>
    </row>
    <row r="24" spans="1:9" s="1" customFormat="1" ht="24.75" customHeight="1">
      <c r="A24" s="53" t="s">
        <v>241</v>
      </c>
      <c r="B24" s="48">
        <f>Závody!AE6</f>
        <v>9582</v>
      </c>
      <c r="C24" s="50">
        <f>Závody!AF6</f>
        <v>17901</v>
      </c>
      <c r="D24" s="50">
        <f>Závody!AG6</f>
        <v>18801</v>
      </c>
      <c r="E24" s="50">
        <f>Závody!AH6</f>
        <v>20755</v>
      </c>
      <c r="F24" s="50">
        <f>Závody!AI6</f>
        <v>22416</v>
      </c>
      <c r="G24" s="50">
        <f>Závody!AJ6</f>
        <v>24209</v>
      </c>
      <c r="H24" s="519">
        <f>SUM(B24:E24)</f>
        <v>67039</v>
      </c>
      <c r="I24" s="51">
        <f>SUM(B24:G24)</f>
        <v>113664</v>
      </c>
    </row>
    <row r="25" spans="1:9" s="1" customFormat="1" ht="6" customHeight="1">
      <c r="A25" s="7"/>
      <c r="B25" s="21"/>
      <c r="C25" s="23"/>
      <c r="D25" s="23"/>
      <c r="E25" s="195"/>
      <c r="F25" s="23"/>
      <c r="G25" s="149"/>
      <c r="H25" s="457"/>
      <c r="I25" s="43"/>
    </row>
    <row r="26" spans="1:9" s="1" customFormat="1" ht="6" customHeight="1">
      <c r="A26" s="7"/>
      <c r="B26" s="21"/>
      <c r="C26" s="23"/>
      <c r="D26" s="23"/>
      <c r="E26" s="195"/>
      <c r="F26" s="23"/>
      <c r="G26" s="149"/>
      <c r="H26" s="586"/>
      <c r="I26" s="33"/>
    </row>
    <row r="27" spans="1:9" s="1" customFormat="1" ht="24.75" customHeight="1">
      <c r="A27" s="53" t="s">
        <v>269</v>
      </c>
      <c r="B27" s="48">
        <v>12000</v>
      </c>
      <c r="C27" s="50">
        <v>12000</v>
      </c>
      <c r="D27" s="50">
        <v>13000</v>
      </c>
      <c r="E27" s="50">
        <v>13000</v>
      </c>
      <c r="F27" s="50">
        <v>14000</v>
      </c>
      <c r="G27" s="50">
        <v>14000</v>
      </c>
      <c r="H27" s="519">
        <f>SUM(B27:E27)</f>
        <v>50000</v>
      </c>
      <c r="I27" s="51">
        <f>SUM(B27:G27)</f>
        <v>78000</v>
      </c>
    </row>
    <row r="28" spans="1:9" s="1" customFormat="1" ht="6" customHeight="1">
      <c r="A28" s="7"/>
      <c r="B28" s="21"/>
      <c r="C28" s="23"/>
      <c r="D28" s="23"/>
      <c r="E28" s="195"/>
      <c r="F28" s="23"/>
      <c r="G28" s="149"/>
      <c r="H28" s="457"/>
      <c r="I28" s="43"/>
    </row>
    <row r="29" spans="1:9" s="1" customFormat="1" ht="6" customHeight="1" thickBot="1">
      <c r="A29" s="7"/>
      <c r="B29" s="359"/>
      <c r="C29" s="23"/>
      <c r="D29" s="23"/>
      <c r="E29" s="195"/>
      <c r="F29" s="23"/>
      <c r="G29" s="195"/>
      <c r="H29" s="533"/>
      <c r="I29" s="605"/>
    </row>
    <row r="30" spans="1:9" s="1" customFormat="1" ht="18" customHeight="1" thickBot="1">
      <c r="A30" s="529" t="s">
        <v>167</v>
      </c>
      <c r="B30" s="526">
        <f aca="true" t="shared" si="3" ref="B30:I30">B31+B32</f>
        <v>15480</v>
      </c>
      <c r="C30" s="527">
        <f t="shared" si="3"/>
        <v>16150</v>
      </c>
      <c r="D30" s="527">
        <f t="shared" si="3"/>
        <v>16877</v>
      </c>
      <c r="E30" s="527">
        <f t="shared" si="3"/>
        <v>17664</v>
      </c>
      <c r="F30" s="527">
        <f t="shared" si="3"/>
        <v>19016</v>
      </c>
      <c r="G30" s="527">
        <f t="shared" si="3"/>
        <v>19938</v>
      </c>
      <c r="H30" s="532">
        <f t="shared" si="3"/>
        <v>66171</v>
      </c>
      <c r="I30" s="604">
        <f t="shared" si="3"/>
        <v>105125</v>
      </c>
    </row>
    <row r="31" spans="1:9" s="1" customFormat="1" ht="24.75" customHeight="1">
      <c r="A31" s="525" t="s">
        <v>270</v>
      </c>
      <c r="B31" s="517">
        <v>7000</v>
      </c>
      <c r="C31" s="185">
        <v>7000</v>
      </c>
      <c r="D31" s="185">
        <v>7000</v>
      </c>
      <c r="E31" s="515">
        <v>7000</v>
      </c>
      <c r="F31" s="185">
        <v>7500</v>
      </c>
      <c r="G31" s="187">
        <v>7500</v>
      </c>
      <c r="H31" s="586">
        <f>SUM(B31:E31)</f>
        <v>28000</v>
      </c>
      <c r="I31" s="33">
        <f>SUM(B31:G31)</f>
        <v>43000</v>
      </c>
    </row>
    <row r="32" spans="1:9" s="1" customFormat="1" ht="24.75" customHeight="1">
      <c r="A32" s="53" t="s">
        <v>271</v>
      </c>
      <c r="B32" s="48">
        <f>Závody!AE8</f>
        <v>8480</v>
      </c>
      <c r="C32" s="50">
        <f>Závody!AF8</f>
        <v>9150</v>
      </c>
      <c r="D32" s="50">
        <f>Závody!AG8</f>
        <v>9877</v>
      </c>
      <c r="E32" s="197">
        <f>Závody!AH8</f>
        <v>10664</v>
      </c>
      <c r="F32" s="50">
        <f>Závody!AI8</f>
        <v>11516</v>
      </c>
      <c r="G32" s="136">
        <f>Závody!AJ8</f>
        <v>12438</v>
      </c>
      <c r="H32" s="457">
        <f>SUM(B32:E32)</f>
        <v>38171</v>
      </c>
      <c r="I32" s="43">
        <f>SUM(B32:G32)</f>
        <v>62125</v>
      </c>
    </row>
    <row r="33" spans="1:9" s="1" customFormat="1" ht="6" customHeight="1">
      <c r="A33" s="8"/>
      <c r="B33" s="21"/>
      <c r="C33" s="23"/>
      <c r="D33" s="23"/>
      <c r="E33" s="514"/>
      <c r="F33" s="184"/>
      <c r="G33" s="186"/>
      <c r="H33" s="457"/>
      <c r="I33" s="43"/>
    </row>
    <row r="34" spans="1:9" s="1" customFormat="1" ht="6" customHeight="1" thickBot="1">
      <c r="A34" s="8"/>
      <c r="B34" s="21"/>
      <c r="C34" s="23"/>
      <c r="D34" s="23"/>
      <c r="E34" s="534"/>
      <c r="F34" s="535"/>
      <c r="G34" s="534"/>
      <c r="H34" s="533"/>
      <c r="I34" s="605"/>
    </row>
    <row r="35" spans="1:9" s="1" customFormat="1" ht="18" customHeight="1" thickBot="1">
      <c r="A35" s="529" t="s">
        <v>242</v>
      </c>
      <c r="B35" s="526">
        <f aca="true" t="shared" si="4" ref="B35:I35">B36+B37</f>
        <v>56775</v>
      </c>
      <c r="C35" s="527">
        <f t="shared" si="4"/>
        <v>60541</v>
      </c>
      <c r="D35" s="527">
        <f t="shared" si="4"/>
        <v>64543</v>
      </c>
      <c r="E35" s="527">
        <f t="shared" si="4"/>
        <v>68974</v>
      </c>
      <c r="F35" s="527">
        <f t="shared" si="4"/>
        <v>74491</v>
      </c>
      <c r="G35" s="527">
        <f t="shared" si="4"/>
        <v>80452</v>
      </c>
      <c r="H35" s="532">
        <f t="shared" si="4"/>
        <v>250833</v>
      </c>
      <c r="I35" s="604">
        <f t="shared" si="4"/>
        <v>405776</v>
      </c>
    </row>
    <row r="36" spans="1:9" s="1" customFormat="1" ht="24.75" customHeight="1">
      <c r="A36" s="525" t="s">
        <v>272</v>
      </c>
      <c r="B36" s="517">
        <v>42916</v>
      </c>
      <c r="C36" s="185">
        <v>45919</v>
      </c>
      <c r="D36" s="185">
        <v>49133</v>
      </c>
      <c r="E36" s="185">
        <v>52571</v>
      </c>
      <c r="F36" s="185">
        <v>56777</v>
      </c>
      <c r="G36" s="185">
        <v>61319</v>
      </c>
      <c r="H36" s="530">
        <f>SUM(B36:E36)</f>
        <v>190539</v>
      </c>
      <c r="I36" s="44">
        <f>SUM(B36:G36)</f>
        <v>308635</v>
      </c>
    </row>
    <row r="37" spans="1:9" s="1" customFormat="1" ht="24.75" customHeight="1">
      <c r="A37" s="53" t="s">
        <v>273</v>
      </c>
      <c r="B37" s="48">
        <f>Závody!AE4</f>
        <v>13859</v>
      </c>
      <c r="C37" s="50">
        <f>Závody!AF4</f>
        <v>14622</v>
      </c>
      <c r="D37" s="50">
        <f>Závody!AG4</f>
        <v>15410</v>
      </c>
      <c r="E37" s="50">
        <f>Závody!AH4</f>
        <v>16403</v>
      </c>
      <c r="F37" s="50">
        <f>Závody!AI4</f>
        <v>17714</v>
      </c>
      <c r="G37" s="50">
        <f>Závody!AJ4</f>
        <v>19133</v>
      </c>
      <c r="H37" s="519">
        <f>SUM(B37:E37)</f>
        <v>60294</v>
      </c>
      <c r="I37" s="51">
        <f>SUM(B37:G37)</f>
        <v>97141</v>
      </c>
    </row>
    <row r="38" spans="1:9" s="1" customFormat="1" ht="6" customHeight="1">
      <c r="A38" s="8"/>
      <c r="B38" s="21"/>
      <c r="C38" s="23"/>
      <c r="D38" s="23"/>
      <c r="E38" s="195"/>
      <c r="F38" s="23"/>
      <c r="G38" s="188"/>
      <c r="H38" s="457"/>
      <c r="I38" s="43"/>
    </row>
    <row r="39" spans="1:9" ht="6.75" customHeight="1" thickBot="1">
      <c r="A39" s="16"/>
      <c r="B39" s="29"/>
      <c r="C39" s="28"/>
      <c r="D39" s="28"/>
      <c r="E39" s="200"/>
      <c r="F39" s="28"/>
      <c r="G39" s="191"/>
      <c r="H39" s="458"/>
      <c r="I39" s="606"/>
    </row>
    <row r="40" ht="9.75" customHeight="1" thickTop="1">
      <c r="A40" s="4"/>
    </row>
  </sheetData>
  <mergeCells count="4">
    <mergeCell ref="A1:H1"/>
    <mergeCell ref="A2:H2"/>
    <mergeCell ref="D3:F3"/>
    <mergeCell ref="G3:H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2"/>
  <sheetViews>
    <sheetView workbookViewId="0" topLeftCell="A1">
      <selection activeCell="A1" sqref="A1:A2"/>
    </sheetView>
  </sheetViews>
  <sheetFormatPr defaultColWidth="9.00390625" defaultRowHeight="12.75"/>
  <cols>
    <col min="1" max="1" width="12.75390625" style="0" customWidth="1"/>
    <col min="37" max="37" width="12.375" style="0" customWidth="1"/>
  </cols>
  <sheetData>
    <row r="1" spans="1:37" ht="14.25" thickBot="1" thickTop="1">
      <c r="A1" s="705" t="s">
        <v>267</v>
      </c>
      <c r="B1" s="1059" t="s">
        <v>245</v>
      </c>
      <c r="C1" s="1060"/>
      <c r="D1" s="1060"/>
      <c r="E1" s="1060"/>
      <c r="F1" s="1061"/>
      <c r="G1" s="1061"/>
      <c r="H1" s="1062"/>
      <c r="I1" s="1059" t="s">
        <v>246</v>
      </c>
      <c r="J1" s="1060"/>
      <c r="K1" s="1060"/>
      <c r="L1" s="1060"/>
      <c r="M1" s="1061"/>
      <c r="N1" s="1061"/>
      <c r="O1" s="1062"/>
      <c r="P1" s="1059" t="s">
        <v>247</v>
      </c>
      <c r="Q1" s="1060"/>
      <c r="R1" s="1060"/>
      <c r="S1" s="1060"/>
      <c r="T1" s="1061"/>
      <c r="U1" s="1061"/>
      <c r="V1" s="1062"/>
      <c r="W1" s="1065" t="s">
        <v>248</v>
      </c>
      <c r="X1" s="1066"/>
      <c r="Y1" s="1066"/>
      <c r="Z1" s="1060"/>
      <c r="AA1" s="1061"/>
      <c r="AB1" s="1061"/>
      <c r="AC1" s="1062"/>
      <c r="AD1" s="432"/>
      <c r="AE1" s="1067" t="s">
        <v>244</v>
      </c>
      <c r="AF1" s="1068"/>
      <c r="AG1" s="1068"/>
      <c r="AH1" s="1069"/>
      <c r="AI1" s="1069"/>
      <c r="AJ1" s="1069"/>
      <c r="AK1" s="750"/>
    </row>
    <row r="2" spans="1:37" ht="13.5" thickBot="1">
      <c r="A2" s="1063"/>
      <c r="B2" s="562">
        <v>2005</v>
      </c>
      <c r="C2" s="563">
        <v>2006</v>
      </c>
      <c r="D2" s="563">
        <v>2007</v>
      </c>
      <c r="E2" s="564">
        <v>2008</v>
      </c>
      <c r="F2" s="563">
        <v>2009</v>
      </c>
      <c r="G2" s="564">
        <v>2010</v>
      </c>
      <c r="H2" s="565" t="s">
        <v>119</v>
      </c>
      <c r="I2" s="562">
        <v>2005</v>
      </c>
      <c r="J2" s="563">
        <v>2006</v>
      </c>
      <c r="K2" s="563">
        <v>2007</v>
      </c>
      <c r="L2" s="564">
        <v>2008</v>
      </c>
      <c r="M2" s="563">
        <v>2009</v>
      </c>
      <c r="N2" s="564">
        <v>2010</v>
      </c>
      <c r="O2" s="565" t="s">
        <v>119</v>
      </c>
      <c r="P2" s="562">
        <v>2005</v>
      </c>
      <c r="Q2" s="563">
        <v>2006</v>
      </c>
      <c r="R2" s="563">
        <v>2007</v>
      </c>
      <c r="S2" s="564">
        <v>2008</v>
      </c>
      <c r="T2" s="563">
        <v>2009</v>
      </c>
      <c r="U2" s="564">
        <v>2010</v>
      </c>
      <c r="V2" s="565" t="s">
        <v>119</v>
      </c>
      <c r="W2" s="562">
        <v>2005</v>
      </c>
      <c r="X2" s="563">
        <v>2006</v>
      </c>
      <c r="Y2" s="563">
        <v>2007</v>
      </c>
      <c r="Z2" s="564">
        <v>2008</v>
      </c>
      <c r="AA2" s="563">
        <v>2009</v>
      </c>
      <c r="AB2" s="564">
        <v>2010</v>
      </c>
      <c r="AC2" s="565" t="s">
        <v>119</v>
      </c>
      <c r="AD2" s="566"/>
      <c r="AE2" s="567">
        <v>2005</v>
      </c>
      <c r="AF2" s="563">
        <v>2006</v>
      </c>
      <c r="AG2" s="563">
        <v>2007</v>
      </c>
      <c r="AH2" s="564">
        <v>2008</v>
      </c>
      <c r="AI2" s="592">
        <v>2009</v>
      </c>
      <c r="AJ2" s="568">
        <v>2010</v>
      </c>
      <c r="AK2" s="593" t="s">
        <v>119</v>
      </c>
    </row>
    <row r="3" spans="1:37" ht="13.5" thickTop="1">
      <c r="A3" s="555"/>
      <c r="B3" s="556"/>
      <c r="C3" s="557"/>
      <c r="D3" s="557"/>
      <c r="E3" s="558"/>
      <c r="F3" s="557"/>
      <c r="G3" s="558"/>
      <c r="H3" s="559"/>
      <c r="I3" s="556"/>
      <c r="J3" s="557"/>
      <c r="K3" s="557"/>
      <c r="L3" s="558"/>
      <c r="M3" s="557"/>
      <c r="N3" s="558"/>
      <c r="O3" s="559"/>
      <c r="P3" s="556"/>
      <c r="Q3" s="557"/>
      <c r="R3" s="557"/>
      <c r="S3" s="558"/>
      <c r="T3" s="557"/>
      <c r="U3" s="558"/>
      <c r="V3" s="559"/>
      <c r="W3" s="556"/>
      <c r="X3" s="557"/>
      <c r="Y3" s="557"/>
      <c r="Z3" s="558"/>
      <c r="AA3" s="557"/>
      <c r="AB3" s="558"/>
      <c r="AC3" s="559"/>
      <c r="AD3" s="424"/>
      <c r="AE3" s="560"/>
      <c r="AF3" s="557"/>
      <c r="AG3" s="557"/>
      <c r="AH3" s="558"/>
      <c r="AI3" s="557"/>
      <c r="AJ3" s="561"/>
      <c r="AK3" s="594"/>
    </row>
    <row r="4" spans="1:37" ht="24.75" customHeight="1">
      <c r="A4" s="548" t="s">
        <v>249</v>
      </c>
      <c r="B4" s="550">
        <v>3441</v>
      </c>
      <c r="C4" s="546">
        <v>3682</v>
      </c>
      <c r="D4" s="546">
        <v>3940</v>
      </c>
      <c r="E4" s="549">
        <v>4216</v>
      </c>
      <c r="F4" s="546">
        <v>4553</v>
      </c>
      <c r="G4" s="549">
        <v>4918</v>
      </c>
      <c r="H4" s="554">
        <f>SUM(B4:G4)</f>
        <v>24750</v>
      </c>
      <c r="I4" s="550">
        <v>3155</v>
      </c>
      <c r="J4" s="546">
        <v>3282</v>
      </c>
      <c r="K4" s="546">
        <v>3377</v>
      </c>
      <c r="L4" s="549">
        <v>3483</v>
      </c>
      <c r="M4" s="546">
        <v>3761</v>
      </c>
      <c r="N4" s="549">
        <v>4063</v>
      </c>
      <c r="O4" s="554">
        <f>SUM(I4:N4)</f>
        <v>21121</v>
      </c>
      <c r="P4" s="550">
        <v>3388</v>
      </c>
      <c r="Q4" s="546">
        <v>3472</v>
      </c>
      <c r="R4" s="546">
        <v>3572</v>
      </c>
      <c r="S4" s="549">
        <v>3821</v>
      </c>
      <c r="T4" s="546">
        <v>4127</v>
      </c>
      <c r="U4" s="549">
        <v>4457</v>
      </c>
      <c r="V4" s="554">
        <f>SUM(P4:U4)</f>
        <v>22837</v>
      </c>
      <c r="W4" s="550">
        <v>3875</v>
      </c>
      <c r="X4" s="546">
        <v>4186</v>
      </c>
      <c r="Y4" s="546">
        <v>4521</v>
      </c>
      <c r="Z4" s="549">
        <v>4883</v>
      </c>
      <c r="AA4" s="546">
        <v>5273</v>
      </c>
      <c r="AB4" s="549">
        <v>5695</v>
      </c>
      <c r="AC4" s="554">
        <f>SUM(W4:AB4)</f>
        <v>28433</v>
      </c>
      <c r="AD4" s="392"/>
      <c r="AE4" s="551">
        <f aca="true" t="shared" si="0" ref="AE4:AJ4">B4+I4+P4+W4</f>
        <v>13859</v>
      </c>
      <c r="AF4" s="546">
        <f t="shared" si="0"/>
        <v>14622</v>
      </c>
      <c r="AG4" s="546">
        <f t="shared" si="0"/>
        <v>15410</v>
      </c>
      <c r="AH4" s="549">
        <f t="shared" si="0"/>
        <v>16403</v>
      </c>
      <c r="AI4" s="546">
        <f t="shared" si="0"/>
        <v>17714</v>
      </c>
      <c r="AJ4" s="552">
        <f t="shared" si="0"/>
        <v>19133</v>
      </c>
      <c r="AK4" s="595">
        <f>SUM(AE4:AJ4)</f>
        <v>97141</v>
      </c>
    </row>
    <row r="5" spans="1:37" ht="12.75">
      <c r="A5" s="547"/>
      <c r="B5" s="550"/>
      <c r="C5" s="546"/>
      <c r="D5" s="546"/>
      <c r="E5" s="549"/>
      <c r="F5" s="546"/>
      <c r="G5" s="549"/>
      <c r="H5" s="554"/>
      <c r="I5" s="550"/>
      <c r="J5" s="546"/>
      <c r="K5" s="546"/>
      <c r="L5" s="549"/>
      <c r="M5" s="546"/>
      <c r="N5" s="549"/>
      <c r="O5" s="554"/>
      <c r="P5" s="550"/>
      <c r="Q5" s="546"/>
      <c r="R5" s="546"/>
      <c r="S5" s="549"/>
      <c r="T5" s="546"/>
      <c r="U5" s="549"/>
      <c r="V5" s="554"/>
      <c r="W5" s="550"/>
      <c r="X5" s="546"/>
      <c r="Y5" s="546"/>
      <c r="Z5" s="549"/>
      <c r="AA5" s="546"/>
      <c r="AB5" s="549"/>
      <c r="AC5" s="553"/>
      <c r="AD5" s="392"/>
      <c r="AE5" s="551"/>
      <c r="AF5" s="546"/>
      <c r="AG5" s="546"/>
      <c r="AH5" s="549"/>
      <c r="AI5" s="546"/>
      <c r="AJ5" s="552"/>
      <c r="AK5" s="595"/>
    </row>
    <row r="6" spans="1:37" ht="24.75" customHeight="1">
      <c r="A6" s="548" t="s">
        <v>251</v>
      </c>
      <c r="B6" s="550">
        <v>2733</v>
      </c>
      <c r="C6" s="546">
        <v>5063</v>
      </c>
      <c r="D6" s="546">
        <v>5415</v>
      </c>
      <c r="E6" s="549">
        <v>5798</v>
      </c>
      <c r="F6" s="590">
        <v>6262</v>
      </c>
      <c r="G6" s="591">
        <v>6763</v>
      </c>
      <c r="H6" s="554">
        <f>SUM(B6:G6)</f>
        <v>32034</v>
      </c>
      <c r="I6" s="550">
        <v>2996</v>
      </c>
      <c r="J6" s="546">
        <v>5040</v>
      </c>
      <c r="K6" s="546">
        <v>4939</v>
      </c>
      <c r="L6" s="549">
        <v>5810</v>
      </c>
      <c r="M6" s="546">
        <v>6275</v>
      </c>
      <c r="N6" s="549">
        <v>6777</v>
      </c>
      <c r="O6" s="554">
        <f>SUM(I6:N6)</f>
        <v>31837</v>
      </c>
      <c r="P6" s="550">
        <v>2016</v>
      </c>
      <c r="Q6" s="546">
        <v>4288</v>
      </c>
      <c r="R6" s="546">
        <v>4587</v>
      </c>
      <c r="S6" s="549">
        <v>4907</v>
      </c>
      <c r="T6" s="546">
        <v>5300</v>
      </c>
      <c r="U6" s="549">
        <v>5724</v>
      </c>
      <c r="V6" s="554">
        <f>SUM(P6:U6)</f>
        <v>26822</v>
      </c>
      <c r="W6" s="550">
        <v>1837</v>
      </c>
      <c r="X6" s="546">
        <v>3510</v>
      </c>
      <c r="Y6" s="546">
        <v>3860</v>
      </c>
      <c r="Z6" s="549">
        <v>4240</v>
      </c>
      <c r="AA6" s="546">
        <v>4579</v>
      </c>
      <c r="AB6" s="549">
        <v>4945</v>
      </c>
      <c r="AC6" s="554">
        <f>SUM(W6:AB6)</f>
        <v>22971</v>
      </c>
      <c r="AD6" s="392"/>
      <c r="AE6" s="551">
        <f aca="true" t="shared" si="1" ref="AE6:AJ6">B6+I6+P6+W6</f>
        <v>9582</v>
      </c>
      <c r="AF6" s="546">
        <f t="shared" si="1"/>
        <v>17901</v>
      </c>
      <c r="AG6" s="546">
        <f t="shared" si="1"/>
        <v>18801</v>
      </c>
      <c r="AH6" s="549">
        <f t="shared" si="1"/>
        <v>20755</v>
      </c>
      <c r="AI6" s="546">
        <f t="shared" si="1"/>
        <v>22416</v>
      </c>
      <c r="AJ6" s="552">
        <f t="shared" si="1"/>
        <v>24209</v>
      </c>
      <c r="AK6" s="595">
        <f>SUM(AE6:AJ6)</f>
        <v>113664</v>
      </c>
    </row>
    <row r="7" spans="1:37" ht="12.75">
      <c r="A7" s="547"/>
      <c r="B7" s="550"/>
      <c r="C7" s="546"/>
      <c r="D7" s="546"/>
      <c r="E7" s="549"/>
      <c r="F7" s="590"/>
      <c r="G7" s="591"/>
      <c r="H7" s="554"/>
      <c r="I7" s="550"/>
      <c r="J7" s="546"/>
      <c r="K7" s="546"/>
      <c r="L7" s="549"/>
      <c r="M7" s="546"/>
      <c r="N7" s="549"/>
      <c r="O7" s="554"/>
      <c r="P7" s="550"/>
      <c r="Q7" s="546"/>
      <c r="R7" s="546"/>
      <c r="S7" s="549"/>
      <c r="T7" s="546"/>
      <c r="U7" s="549"/>
      <c r="V7" s="554"/>
      <c r="W7" s="550"/>
      <c r="X7" s="546"/>
      <c r="Y7" s="546"/>
      <c r="Z7" s="549"/>
      <c r="AA7" s="546"/>
      <c r="AB7" s="549"/>
      <c r="AC7" s="553"/>
      <c r="AD7" s="392"/>
      <c r="AE7" s="551"/>
      <c r="AF7" s="546"/>
      <c r="AG7" s="546"/>
      <c r="AH7" s="549"/>
      <c r="AI7" s="546"/>
      <c r="AJ7" s="552"/>
      <c r="AK7" s="595"/>
    </row>
    <row r="8" spans="1:37" ht="24.75" customHeight="1">
      <c r="A8" s="548" t="s">
        <v>250</v>
      </c>
      <c r="B8" s="550">
        <v>1945</v>
      </c>
      <c r="C8" s="546">
        <v>2080</v>
      </c>
      <c r="D8" s="546">
        <v>2226</v>
      </c>
      <c r="E8" s="549">
        <v>2382</v>
      </c>
      <c r="F8" s="590">
        <v>2572</v>
      </c>
      <c r="G8" s="591">
        <v>2778</v>
      </c>
      <c r="H8" s="554">
        <f>SUM(B8:G8)</f>
        <v>13983</v>
      </c>
      <c r="I8" s="550">
        <v>1944</v>
      </c>
      <c r="J8" s="546">
        <v>2080</v>
      </c>
      <c r="K8" s="546">
        <v>2226</v>
      </c>
      <c r="L8" s="549">
        <v>2382</v>
      </c>
      <c r="M8" s="546">
        <v>2573</v>
      </c>
      <c r="N8" s="549">
        <v>2778</v>
      </c>
      <c r="O8" s="554">
        <f>SUM(I8:N8)</f>
        <v>13983</v>
      </c>
      <c r="P8" s="550">
        <v>1944</v>
      </c>
      <c r="Q8" s="546">
        <v>2080</v>
      </c>
      <c r="R8" s="546">
        <v>2225</v>
      </c>
      <c r="S8" s="549">
        <v>2380</v>
      </c>
      <c r="T8" s="546">
        <v>2570</v>
      </c>
      <c r="U8" s="549">
        <v>2776</v>
      </c>
      <c r="V8" s="554">
        <f>SUM(P8:U8)</f>
        <v>13975</v>
      </c>
      <c r="W8" s="550">
        <v>2647</v>
      </c>
      <c r="X8" s="546">
        <v>2910</v>
      </c>
      <c r="Y8" s="546">
        <v>3200</v>
      </c>
      <c r="Z8" s="549">
        <v>3520</v>
      </c>
      <c r="AA8" s="546">
        <v>3801</v>
      </c>
      <c r="AB8" s="549">
        <v>4106</v>
      </c>
      <c r="AC8" s="554">
        <f>SUM(W8:AB8)</f>
        <v>20184</v>
      </c>
      <c r="AD8" s="392"/>
      <c r="AE8" s="551">
        <f aca="true" t="shared" si="2" ref="AE8:AJ8">B8+I8+P8+W8</f>
        <v>8480</v>
      </c>
      <c r="AF8" s="546">
        <f t="shared" si="2"/>
        <v>9150</v>
      </c>
      <c r="AG8" s="546">
        <f t="shared" si="2"/>
        <v>9877</v>
      </c>
      <c r="AH8" s="549">
        <f t="shared" si="2"/>
        <v>10664</v>
      </c>
      <c r="AI8" s="546">
        <f t="shared" si="2"/>
        <v>11516</v>
      </c>
      <c r="AJ8" s="552">
        <f t="shared" si="2"/>
        <v>12438</v>
      </c>
      <c r="AK8" s="595">
        <f>SUM(AE8:AJ8)</f>
        <v>62125</v>
      </c>
    </row>
    <row r="9" spans="1:37" ht="13.5" thickBot="1">
      <c r="A9" s="569"/>
      <c r="B9" s="570"/>
      <c r="C9" s="571"/>
      <c r="D9" s="571"/>
      <c r="E9" s="572"/>
      <c r="F9" s="571"/>
      <c r="G9" s="572"/>
      <c r="H9" s="573"/>
      <c r="I9" s="570"/>
      <c r="J9" s="571"/>
      <c r="K9" s="571"/>
      <c r="L9" s="572"/>
      <c r="M9" s="571"/>
      <c r="N9" s="572"/>
      <c r="O9" s="573"/>
      <c r="P9" s="570"/>
      <c r="Q9" s="571"/>
      <c r="R9" s="571"/>
      <c r="S9" s="572"/>
      <c r="T9" s="571"/>
      <c r="U9" s="572"/>
      <c r="V9" s="573"/>
      <c r="W9" s="570"/>
      <c r="X9" s="571"/>
      <c r="Y9" s="571"/>
      <c r="Z9" s="572"/>
      <c r="AA9" s="571"/>
      <c r="AB9" s="572"/>
      <c r="AC9" s="573"/>
      <c r="AD9" s="574"/>
      <c r="AE9" s="575"/>
      <c r="AF9" s="571"/>
      <c r="AG9" s="571"/>
      <c r="AH9" s="572"/>
      <c r="AI9" s="571"/>
      <c r="AJ9" s="576"/>
      <c r="AK9" s="596"/>
    </row>
    <row r="10" spans="1:37" ht="24.75" customHeight="1" thickBot="1" thickTop="1">
      <c r="A10" s="577" t="s">
        <v>119</v>
      </c>
      <c r="B10" s="578">
        <f>B4+B6+B8</f>
        <v>8119</v>
      </c>
      <c r="C10" s="579">
        <f aca="true" t="shared" si="3" ref="C10:AC10">C4+C6+C8</f>
        <v>10825</v>
      </c>
      <c r="D10" s="579">
        <f t="shared" si="3"/>
        <v>11581</v>
      </c>
      <c r="E10" s="580">
        <f t="shared" si="3"/>
        <v>12396</v>
      </c>
      <c r="F10" s="579">
        <f>F4+F6+F8</f>
        <v>13387</v>
      </c>
      <c r="G10" s="580">
        <f>G4+G6+G8</f>
        <v>14459</v>
      </c>
      <c r="H10" s="581">
        <f t="shared" si="3"/>
        <v>70767</v>
      </c>
      <c r="I10" s="578">
        <f t="shared" si="3"/>
        <v>8095</v>
      </c>
      <c r="J10" s="579">
        <f t="shared" si="3"/>
        <v>10402</v>
      </c>
      <c r="K10" s="579">
        <f t="shared" si="3"/>
        <v>10542</v>
      </c>
      <c r="L10" s="580">
        <f t="shared" si="3"/>
        <v>11675</v>
      </c>
      <c r="M10" s="579">
        <f>M4+M6+M8</f>
        <v>12609</v>
      </c>
      <c r="N10" s="580">
        <f>N4+N6+N8</f>
        <v>13618</v>
      </c>
      <c r="O10" s="581">
        <f t="shared" si="3"/>
        <v>66941</v>
      </c>
      <c r="P10" s="578">
        <f t="shared" si="3"/>
        <v>7348</v>
      </c>
      <c r="Q10" s="579">
        <f t="shared" si="3"/>
        <v>9840</v>
      </c>
      <c r="R10" s="579">
        <f t="shared" si="3"/>
        <v>10384</v>
      </c>
      <c r="S10" s="580">
        <f t="shared" si="3"/>
        <v>11108</v>
      </c>
      <c r="T10" s="579">
        <f>T4+T6+T8</f>
        <v>11997</v>
      </c>
      <c r="U10" s="580">
        <f>U4+U6+U8</f>
        <v>12957</v>
      </c>
      <c r="V10" s="581">
        <f t="shared" si="3"/>
        <v>63634</v>
      </c>
      <c r="W10" s="578">
        <f t="shared" si="3"/>
        <v>8359</v>
      </c>
      <c r="X10" s="579">
        <f t="shared" si="3"/>
        <v>10606</v>
      </c>
      <c r="Y10" s="579">
        <f t="shared" si="3"/>
        <v>11581</v>
      </c>
      <c r="Z10" s="580">
        <f t="shared" si="3"/>
        <v>12643</v>
      </c>
      <c r="AA10" s="579">
        <f>AA4+AA6+AA8</f>
        <v>13653</v>
      </c>
      <c r="AB10" s="580">
        <f>AB4+AB6+AB8</f>
        <v>14746</v>
      </c>
      <c r="AC10" s="581">
        <f t="shared" si="3"/>
        <v>71588</v>
      </c>
      <c r="AD10" s="582"/>
      <c r="AE10" s="583">
        <f aca="true" t="shared" si="4" ref="AE10:AJ10">B10+I10+P10+W10</f>
        <v>31921</v>
      </c>
      <c r="AF10" s="579">
        <f t="shared" si="4"/>
        <v>41673</v>
      </c>
      <c r="AG10" s="579">
        <f t="shared" si="4"/>
        <v>44088</v>
      </c>
      <c r="AH10" s="580">
        <f t="shared" si="4"/>
        <v>47822</v>
      </c>
      <c r="AI10" s="579">
        <f t="shared" si="4"/>
        <v>51646</v>
      </c>
      <c r="AJ10" s="584">
        <f t="shared" si="4"/>
        <v>55780</v>
      </c>
      <c r="AK10" s="597">
        <f>AK4+AK6+AK8</f>
        <v>272930</v>
      </c>
    </row>
    <row r="11" ht="13.5" thickTop="1"/>
    <row r="12" spans="1:4" ht="12.75">
      <c r="A12" s="715" t="s">
        <v>268</v>
      </c>
      <c r="B12" s="715"/>
      <c r="C12" s="1064">
        <v>38394</v>
      </c>
      <c r="D12" s="715"/>
    </row>
  </sheetData>
  <mergeCells count="8">
    <mergeCell ref="W1:AC1"/>
    <mergeCell ref="P1:V1"/>
    <mergeCell ref="I1:O1"/>
    <mergeCell ref="AE1:AK1"/>
    <mergeCell ref="B1:H1"/>
    <mergeCell ref="A1:A2"/>
    <mergeCell ref="A12:B12"/>
    <mergeCell ref="C12:D1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SŠHR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Materiál do Vlády Slovenskej republiky</dc:title>
  <dc:subject>Núdzové zásoby ropy</dc:subject>
  <dc:creator>Hrnčírik</dc:creator>
  <cp:keywords>ropa, ropné výrobky, skladovacie kapacity</cp:keywords>
  <dc:description/>
  <cp:lastModifiedBy>weinstukova</cp:lastModifiedBy>
  <cp:lastPrinted>2005-06-21T14:53:32Z</cp:lastPrinted>
  <dcterms:created xsi:type="dcterms:W3CDTF">2001-07-03T07:16:06Z</dcterms:created>
  <dcterms:modified xsi:type="dcterms:W3CDTF">2005-06-28T07:46:33Z</dcterms:modified>
  <cp:category/>
  <cp:version/>
  <cp:contentType/>
  <cp:contentStatus/>
</cp:coreProperties>
</file>