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2120" windowHeight="8835" tabRatio="735" activeTab="0"/>
  </bookViews>
  <sheets>
    <sheet name="2004 - 2006" sheetId="1" r:id="rId1"/>
    <sheet name="2004,2005,2006" sheetId="2" r:id="rId2"/>
    <sheet name="Hárok1" sheetId="3" r:id="rId3"/>
  </sheets>
  <externalReferences>
    <externalReference r:id="rId6"/>
  </externalReferences>
  <definedNames>
    <definedName name="holiadys">#REF!</definedName>
    <definedName name="holidays">#REF!</definedName>
    <definedName name="nazov_PD">#REF!</definedName>
    <definedName name="_xlnm.Print_Area" localSheetId="0">'2004 - 2006'!$A$1:$D$18</definedName>
    <definedName name="_xlnm.Print_Area" localSheetId="1">'2004,2005,2006'!$A$2:$Q$18</definedName>
    <definedName name="OVZ_SKK">#REF!</definedName>
    <definedName name="prázdniny">'[1]kurzy_ECB Sviatky'!$K$3:$K$102</definedName>
    <definedName name="SF_EUR">#REF!</definedName>
    <definedName name="SF_SKK">#REF!</definedName>
    <definedName name="SFaSR_EUR">#REF!</definedName>
    <definedName name="SFaSR_SKK">#REF!</definedName>
    <definedName name="SR_EUR">#REF!</definedName>
    <definedName name="SR_SKK">#REF!</definedName>
    <definedName name="stav_pd_pj_rok">#REF!</definedName>
    <definedName name="SZ_SKK">#REF!</definedName>
    <definedName name="SZP_term">#REF!</definedName>
    <definedName name="tab">#REF!</definedName>
  </definedNames>
  <calcPr fullCalcOnLoad="1"/>
</workbook>
</file>

<file path=xl/sharedStrings.xml><?xml version="1.0" encoding="utf-8"?>
<sst xmlns="http://schemas.openxmlformats.org/spreadsheetml/2006/main" count="107" uniqueCount="58">
  <si>
    <t>INTERREG IIIA PL-SR</t>
  </si>
  <si>
    <t>INTERREG IIIA SR-ČR</t>
  </si>
  <si>
    <t>INTERREG IIIA H-SR-Ukr</t>
  </si>
  <si>
    <t>EÚ zdroje</t>
  </si>
  <si>
    <t>Zdroje ŠR</t>
  </si>
  <si>
    <t>Spolu</t>
  </si>
  <si>
    <t>Podiel celkového čerpania 2004+2005+2006 na prostriedkoch čerpaných v r. 2004 a v r. 2005, a na prostriedkoch  zabezpečených v ŠR na r. 2006 a  v %</t>
  </si>
  <si>
    <t>Záväzok 2006 + zálohové platby (potrebné vyčerpať do 31.10.2008)</t>
  </si>
  <si>
    <t>Podiel čerpania na záväzku 2006 + zálohové platby v %</t>
  </si>
  <si>
    <t>Podiel čerpania na záväzku                2004-2006 v %</t>
  </si>
  <si>
    <t xml:space="preserve">SOP Priemysel a služby </t>
  </si>
  <si>
    <t xml:space="preserve">SOP Ľudské zdroje </t>
  </si>
  <si>
    <t xml:space="preserve">SOP Poľnoh. a rozvoj vidieka </t>
  </si>
  <si>
    <t xml:space="preserve">OP Základná infraštruktúra </t>
  </si>
  <si>
    <t>SPD Cieľ 2</t>
  </si>
  <si>
    <t>SPD Cieľ  3</t>
  </si>
  <si>
    <t>CIP Equal</t>
  </si>
  <si>
    <t>3=1/2</t>
  </si>
  <si>
    <t>6=4-5</t>
  </si>
  <si>
    <t>11=(1-4+5)/9</t>
  </si>
  <si>
    <t>13=12+5</t>
  </si>
  <si>
    <t>10=9-1-5+4</t>
  </si>
  <si>
    <t>14=(1-4-9+5)/12</t>
  </si>
  <si>
    <t>Záväzok 2004 - zálohové platby (potrebné vyčerpať do 31.12.2006)</t>
  </si>
  <si>
    <t>Programový dokument</t>
  </si>
  <si>
    <t>a</t>
  </si>
  <si>
    <t>b</t>
  </si>
  <si>
    <t>Záväzok 2006 + zálohové platby (potrebné vyčerpať do 31.12.2008 k aktuálnemu dňu)</t>
  </si>
  <si>
    <r>
      <t xml:space="preserve">Podiel čerpania na záväzku 2005 v %
</t>
    </r>
    <r>
      <rPr>
        <b/>
        <sz val="11"/>
        <rFont val="Arial Narrow"/>
        <family val="2"/>
      </rPr>
      <t xml:space="preserve">čerpanie-záv.2004+zál.platby   </t>
    </r>
    <r>
      <rPr>
        <b/>
        <sz val="12"/>
        <rFont val="Arial Narrow"/>
        <family val="2"/>
      </rPr>
      <t xml:space="preserve">        záv.2005</t>
    </r>
  </si>
  <si>
    <t>INTERREG IIIA RA-SR</t>
  </si>
  <si>
    <t>SPD Bratislava Cieľ 2</t>
  </si>
  <si>
    <t>SPD Bratislava Cieľ  3</t>
  </si>
  <si>
    <t>CIP INTERREG IIIA PL-SR</t>
  </si>
  <si>
    <t>CIP INTERREG IIIA SR-ČR</t>
  </si>
  <si>
    <t>CIP INTERREG IIIA H-SR-Ukr</t>
  </si>
  <si>
    <t>CIP EQUAL</t>
  </si>
  <si>
    <t>CIP INTERREG IIIA RA-SR</t>
  </si>
  <si>
    <t xml:space="preserve"> </t>
  </si>
  <si>
    <t>Zdroj: MF SR</t>
  </si>
  <si>
    <t>Nezrovnalosti a vratky uplatnené v žiadostiach o platbu na EK v EUR</t>
  </si>
  <si>
    <t>Zálohové platby EK v EUR</t>
  </si>
  <si>
    <t xml:space="preserve">Záväzok 2005 v bežných cenách v EUR
</t>
  </si>
  <si>
    <t>Záväzok 2006 v bežných cenách v EUR</t>
  </si>
  <si>
    <t>Záväzok
2004-2006 v bežných cenách v EUR</t>
  </si>
  <si>
    <t>Záväzok
2004-2006 v bežných cenách v EUR (po automatickom znížení)</t>
  </si>
  <si>
    <t>Záväzok 2004 v bežných cenách v EUR (znížený záväzok)</t>
  </si>
  <si>
    <t>Objem nevyčerpaných prostriedkov zo záv. 2004 zníženého o zál. platby</t>
  </si>
  <si>
    <t>Objem nevyčerpaných prostriedkov zo záväzku 2005</t>
  </si>
  <si>
    <t>c2</t>
  </si>
  <si>
    <t>ra sr</t>
  </si>
  <si>
    <t>Schválené SZP k 13.06.2008</t>
  </si>
  <si>
    <t xml:space="preserve">Čerpanie ŠF k 13.06.2008 v EUR znížené o nezrovnalosti </t>
  </si>
  <si>
    <t>Čerpanie ŠF k 13.06.2008 zo záväzkov 2004, 2005 a 2006 podľa pravidla N+2 v EUR</t>
  </si>
  <si>
    <t>Čerpanie ŠF k 13.06.2008 zo záväzkov 2004-2006 v EUR</t>
  </si>
  <si>
    <t>Čerpanie ŠF (schválené SŽP znížené o nezrovnalosti ) k 13.06.2008 v EUR</t>
  </si>
  <si>
    <t>Výdavky potrebné zrealizovať do 31.12.2008 zo záväzku 2004 - 2006 v %</t>
  </si>
  <si>
    <t>% nárast čerpania od 01.01.2008 do 13.06.2008</t>
  </si>
  <si>
    <t>Výdavky potrebné zrealizovať do 31.12.2008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</si>
</sst>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1B]d\.\ mmmm\ yyyy"/>
    <numFmt numFmtId="173" formatCode="#,##0.000"/>
    <numFmt numFmtId="174" formatCode="m/d/yyyy"/>
    <numFmt numFmtId="175" formatCode="0.000"/>
    <numFmt numFmtId="176" formatCode="00"/>
    <numFmt numFmtId="177" formatCode="####"/>
    <numFmt numFmtId="178" formatCode="000000000000"/>
    <numFmt numFmtId="179" formatCode="\$00000000000"/>
    <numFmt numFmtId="180" formatCode="00000000000"/>
    <numFmt numFmtId="181" formatCode="*00000000000"/>
    <numFmt numFmtId="182" formatCode="&quot;S&quot;00000000000"/>
    <numFmt numFmtId="183" formatCode="&quot;S&quot;0000000000"/>
    <numFmt numFmtId="184" formatCode="[$-405]d\.\ mmmm\ yyyy"/>
    <numFmt numFmtId="185" formatCode="mmm/yyyy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0.0%"/>
    <numFmt numFmtId="190" formatCode="#,##0.0"/>
    <numFmt numFmtId="191" formatCode="#,##0.0000"/>
    <numFmt numFmtId="192" formatCode="0.0"/>
    <numFmt numFmtId="193" formatCode="0.0000000"/>
    <numFmt numFmtId="194" formatCode="0.000000"/>
    <numFmt numFmtId="195" formatCode="0.00000"/>
    <numFmt numFmtId="196" formatCode="0.0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center" wrapText="1"/>
    </xf>
    <xf numFmtId="4" fontId="3" fillId="0" borderId="7" xfId="0" applyNumberFormat="1" applyFont="1" applyFill="1" applyBorder="1" applyAlignment="1">
      <alignment horizontal="center" wrapText="1"/>
    </xf>
    <xf numFmtId="4" fontId="4" fillId="2" borderId="8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3" fontId="3" fillId="0" borderId="9" xfId="0" applyNumberFormat="1" applyFont="1" applyFill="1" applyBorder="1" applyAlignment="1">
      <alignment wrapText="1"/>
    </xf>
    <xf numFmtId="3" fontId="4" fillId="2" borderId="9" xfId="0" applyNumberFormat="1" applyFont="1" applyFill="1" applyBorder="1" applyAlignment="1">
      <alignment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left" wrapText="1"/>
    </xf>
    <xf numFmtId="4" fontId="4" fillId="2" borderId="9" xfId="0" applyNumberFormat="1" applyFont="1" applyFill="1" applyBorder="1" applyAlignment="1">
      <alignment horizontal="right" wrapText="1"/>
    </xf>
    <xf numFmtId="3" fontId="4" fillId="2" borderId="9" xfId="0" applyNumberFormat="1" applyFont="1" applyFill="1" applyBorder="1" applyAlignment="1">
      <alignment horizontal="right" wrapText="1"/>
    </xf>
    <xf numFmtId="4" fontId="4" fillId="2" borderId="9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4" fontId="3" fillId="3" borderId="9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4" fontId="3" fillId="0" borderId="19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left" wrapText="1"/>
    </xf>
    <xf numFmtId="3" fontId="4" fillId="2" borderId="4" xfId="0" applyNumberFormat="1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/>
    </xf>
    <xf numFmtId="4" fontId="4" fillId="2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3" fillId="0" borderId="17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0" fontId="0" fillId="0" borderId="0" xfId="20" applyNumberFormat="1" applyFont="1" applyAlignment="1">
      <alignment/>
    </xf>
    <xf numFmtId="4" fontId="3" fillId="0" borderId="0" xfId="0" applyNumberFormat="1" applyFont="1" applyFill="1" applyBorder="1" applyAlignment="1">
      <alignment wrapText="1"/>
    </xf>
    <xf numFmtId="10" fontId="3" fillId="0" borderId="0" xfId="2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wrapText="1"/>
    </xf>
    <xf numFmtId="4" fontId="0" fillId="0" borderId="0" xfId="20" applyNumberFormat="1" applyFont="1" applyAlignment="1">
      <alignment/>
    </xf>
    <xf numFmtId="0" fontId="4" fillId="0" borderId="13" xfId="0" applyFont="1" applyBorder="1" applyAlignment="1">
      <alignment vertical="center" wrapText="1"/>
    </xf>
    <xf numFmtId="0" fontId="14" fillId="0" borderId="9" xfId="0" applyFont="1" applyFill="1" applyBorder="1" applyAlignment="1">
      <alignment wrapText="1"/>
    </xf>
    <xf numFmtId="0" fontId="14" fillId="2" borderId="9" xfId="0" applyFont="1" applyFill="1" applyBorder="1" applyAlignment="1">
      <alignment horizontal="left" wrapText="1"/>
    </xf>
    <xf numFmtId="3" fontId="9" fillId="0" borderId="9" xfId="0" applyNumberFormat="1" applyFont="1" applyFill="1" applyBorder="1" applyAlignment="1">
      <alignment wrapText="1"/>
    </xf>
    <xf numFmtId="3" fontId="9" fillId="0" borderId="21" xfId="0" applyNumberFormat="1" applyFont="1" applyFill="1" applyBorder="1" applyAlignment="1">
      <alignment wrapText="1"/>
    </xf>
    <xf numFmtId="3" fontId="14" fillId="2" borderId="9" xfId="0" applyNumberFormat="1" applyFont="1" applyFill="1" applyBorder="1" applyAlignment="1">
      <alignment wrapText="1"/>
    </xf>
    <xf numFmtId="10" fontId="0" fillId="0" borderId="9" xfId="20" applyNumberFormat="1" applyBorder="1" applyAlignment="1">
      <alignment/>
    </xf>
    <xf numFmtId="10" fontId="1" fillId="2" borderId="9" xfId="2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4" fillId="2" borderId="9" xfId="0" applyNumberFormat="1" applyFont="1" applyFill="1" applyBorder="1" applyAlignment="1">
      <alignment wrapText="1"/>
    </xf>
    <xf numFmtId="10" fontId="9" fillId="0" borderId="9" xfId="20" applyNumberFormat="1" applyFont="1" applyFill="1" applyBorder="1" applyAlignment="1">
      <alignment wrapText="1"/>
    </xf>
    <xf numFmtId="0" fontId="14" fillId="2" borderId="9" xfId="0" applyFont="1" applyFill="1" applyBorder="1" applyAlignment="1">
      <alignment horizontal="center" vertical="center" wrapText="1"/>
    </xf>
    <xf numFmtId="10" fontId="0" fillId="0" borderId="0" xfId="20" applyNumberFormat="1" applyFont="1" applyFill="1" applyBorder="1" applyAlignment="1">
      <alignment/>
    </xf>
    <xf numFmtId="10" fontId="0" fillId="0" borderId="0" xfId="20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3" fillId="0" borderId="0" xfId="0" applyFont="1" applyBorder="1" applyAlignment="1">
      <alignment horizontal="left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left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left"/>
      <protection locked="0"/>
    </xf>
    <xf numFmtId="0" fontId="0" fillId="0" borderId="25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2</xdr:row>
      <xdr:rowOff>1323975</xdr:rowOff>
    </xdr:from>
    <xdr:to>
      <xdr:col>12</xdr:col>
      <xdr:colOff>1104900</xdr:colOff>
      <xdr:row>2</xdr:row>
      <xdr:rowOff>1323975</xdr:rowOff>
    </xdr:to>
    <xdr:sp>
      <xdr:nvSpPr>
        <xdr:cNvPr id="1" name="Line 2"/>
        <xdr:cNvSpPr>
          <a:spLocks/>
        </xdr:cNvSpPr>
      </xdr:nvSpPr>
      <xdr:spPr>
        <a:xfrm>
          <a:off x="14916150" y="1933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rehlad%20SZP\S&#381;P\rok%202005\tabulkaJK\Prehlad_SZP_31122005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znam_SZP"/>
      <sheetName val="zostavy_pocet"/>
      <sheetName val="zostavy_sumyPJ"/>
      <sheetName val="zostavy_sumyPD"/>
      <sheetName val="zostava_cerpanie"/>
      <sheetName val="kurzy_ECB Sviatky"/>
    </sheetNames>
    <sheetDataSet>
      <sheetData sheetId="5">
        <row r="3">
          <cell r="K3">
            <v>37987</v>
          </cell>
        </row>
        <row r="4">
          <cell r="K4">
            <v>37992</v>
          </cell>
        </row>
        <row r="5">
          <cell r="K5">
            <v>38086</v>
          </cell>
        </row>
        <row r="6">
          <cell r="K6">
            <v>38173</v>
          </cell>
        </row>
        <row r="7">
          <cell r="K7">
            <v>38231</v>
          </cell>
        </row>
        <row r="8">
          <cell r="K8">
            <v>38245</v>
          </cell>
        </row>
        <row r="9">
          <cell r="K9">
            <v>38292</v>
          </cell>
        </row>
        <row r="10">
          <cell r="K10">
            <v>38308</v>
          </cell>
        </row>
        <row r="11">
          <cell r="K11">
            <v>38345</v>
          </cell>
        </row>
        <row r="12">
          <cell r="K12">
            <v>38358</v>
          </cell>
        </row>
        <row r="13">
          <cell r="K13">
            <v>38436</v>
          </cell>
        </row>
        <row r="14">
          <cell r="K14">
            <v>38439</v>
          </cell>
        </row>
        <row r="15">
          <cell r="K15">
            <v>38538</v>
          </cell>
        </row>
        <row r="16">
          <cell r="K16">
            <v>38593</v>
          </cell>
        </row>
        <row r="17">
          <cell r="K17">
            <v>38596</v>
          </cell>
        </row>
        <row r="18">
          <cell r="K18">
            <v>38610</v>
          </cell>
        </row>
        <row r="19">
          <cell r="K19">
            <v>38657</v>
          </cell>
        </row>
        <row r="20">
          <cell r="K20">
            <v>38673</v>
          </cell>
        </row>
        <row r="21">
          <cell r="K21">
            <v>38712</v>
          </cell>
        </row>
        <row r="22">
          <cell r="K22">
            <v>38723</v>
          </cell>
        </row>
        <row r="23">
          <cell r="K23">
            <v>38821</v>
          </cell>
        </row>
        <row r="24">
          <cell r="K24">
            <v>38824</v>
          </cell>
        </row>
        <row r="25">
          <cell r="K25">
            <v>38838</v>
          </cell>
        </row>
        <row r="26">
          <cell r="K26">
            <v>38903</v>
          </cell>
        </row>
        <row r="27">
          <cell r="K27">
            <v>38958</v>
          </cell>
        </row>
        <row r="28">
          <cell r="K28">
            <v>38961</v>
          </cell>
        </row>
        <row r="29">
          <cell r="K29">
            <v>38975</v>
          </cell>
        </row>
        <row r="30">
          <cell r="K30">
            <v>39022</v>
          </cell>
        </row>
        <row r="31">
          <cell r="K31">
            <v>39038</v>
          </cell>
        </row>
        <row r="32">
          <cell r="K32">
            <v>39076</v>
          </cell>
        </row>
        <row r="33">
          <cell r="K33">
            <v>39047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SheetLayoutView="100" workbookViewId="0" topLeftCell="A1">
      <selection activeCell="D16" sqref="D16"/>
    </sheetView>
  </sheetViews>
  <sheetFormatPr defaultColWidth="9.140625" defaultRowHeight="12.75"/>
  <cols>
    <col min="1" max="1" width="28.28125" style="4" customWidth="1"/>
    <col min="2" max="4" width="17.8515625" style="1" customWidth="1"/>
    <col min="5" max="7" width="17.8515625" style="2" customWidth="1"/>
    <col min="8" max="9" width="17.8515625" style="2" hidden="1" customWidth="1"/>
    <col min="10" max="11" width="17.8515625" style="2" customWidth="1"/>
    <col min="12" max="16384" width="9.140625" style="1" customWidth="1"/>
  </cols>
  <sheetData>
    <row r="1" spans="1:11" s="4" customFormat="1" ht="29.25" customHeight="1" thickBot="1">
      <c r="A1" s="98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9" ht="107.25" customHeight="1">
      <c r="A2" s="84" t="s">
        <v>24</v>
      </c>
      <c r="B2" s="47" t="s">
        <v>54</v>
      </c>
      <c r="C2" s="48" t="s">
        <v>43</v>
      </c>
      <c r="D2" s="49" t="s">
        <v>9</v>
      </c>
      <c r="E2" s="50"/>
      <c r="F2" s="6"/>
      <c r="G2" s="6"/>
      <c r="H2" s="100" t="s">
        <v>6</v>
      </c>
      <c r="I2" s="101"/>
    </row>
    <row r="3" spans="1:9" ht="26.25" customHeight="1">
      <c r="A3" s="51"/>
      <c r="B3" s="52" t="s">
        <v>3</v>
      </c>
      <c r="C3" s="53" t="s">
        <v>3</v>
      </c>
      <c r="D3" s="54" t="s">
        <v>3</v>
      </c>
      <c r="E3" s="50"/>
      <c r="F3" s="6"/>
      <c r="G3" s="6"/>
      <c r="H3" s="55" t="s">
        <v>3</v>
      </c>
      <c r="I3" s="54" t="s">
        <v>4</v>
      </c>
    </row>
    <row r="4" spans="1:9" ht="13.5" thickBot="1">
      <c r="A4" s="56"/>
      <c r="B4" s="57">
        <v>1</v>
      </c>
      <c r="C4" s="58">
        <v>2</v>
      </c>
      <c r="D4" s="59" t="s">
        <v>17</v>
      </c>
      <c r="E4" s="50"/>
      <c r="F4" s="6"/>
      <c r="G4" s="6"/>
      <c r="H4" s="60"/>
      <c r="I4" s="59"/>
    </row>
    <row r="5" spans="1:9" s="2" customFormat="1" ht="32.25" customHeight="1">
      <c r="A5" s="61" t="s">
        <v>10</v>
      </c>
      <c r="B5" s="73">
        <f>'2004,2005,2006'!D6</f>
        <v>109337325.92999998</v>
      </c>
      <c r="C5" s="74">
        <f>'2004,2005,2006'!E6</f>
        <v>151210683</v>
      </c>
      <c r="D5" s="62">
        <f>100*B5/C5</f>
        <v>72.3079373499027</v>
      </c>
      <c r="E5" s="50"/>
      <c r="F5" s="6"/>
      <c r="G5" s="6"/>
      <c r="H5" s="14" t="e">
        <v>#REF!</v>
      </c>
      <c r="I5" s="10" t="e">
        <v>#REF!</v>
      </c>
    </row>
    <row r="6" spans="1:9" s="2" customFormat="1" ht="32.25" customHeight="1">
      <c r="A6" s="63" t="s">
        <v>11</v>
      </c>
      <c r="B6" s="73">
        <f>'2004,2005,2006'!D7</f>
        <v>194492080.65</v>
      </c>
      <c r="C6" s="74">
        <f>'2004,2005,2006'!E7</f>
        <v>284480923</v>
      </c>
      <c r="D6" s="62">
        <f>100*B6/C6</f>
        <v>68.36735433749982</v>
      </c>
      <c r="E6" s="50"/>
      <c r="F6" s="6"/>
      <c r="G6" s="6"/>
      <c r="H6" s="15" t="e">
        <v>#REF!</v>
      </c>
      <c r="I6" s="11" t="e">
        <v>#REF!</v>
      </c>
    </row>
    <row r="7" spans="1:9" s="2" customFormat="1" ht="32.25" customHeight="1">
      <c r="A7" s="63" t="s">
        <v>12</v>
      </c>
      <c r="B7" s="73">
        <f>'2004,2005,2006'!D8</f>
        <v>158643889.90000004</v>
      </c>
      <c r="C7" s="74">
        <f>'2004,2005,2006'!E8</f>
        <v>182987987</v>
      </c>
      <c r="D7" s="62">
        <f aca="true" t="shared" si="0" ref="D7:D16">100*B7/C7</f>
        <v>86.6963413833281</v>
      </c>
      <c r="E7" s="50"/>
      <c r="F7" s="6"/>
      <c r="G7" s="6"/>
      <c r="H7" s="15" t="e">
        <v>#REF!</v>
      </c>
      <c r="I7" s="11" t="e">
        <v>#REF!</v>
      </c>
    </row>
    <row r="8" spans="1:9" s="2" customFormat="1" ht="32.25" customHeight="1">
      <c r="A8" s="63" t="s">
        <v>13</v>
      </c>
      <c r="B8" s="73">
        <f>'2004,2005,2006'!D9</f>
        <v>324002944.73999995</v>
      </c>
      <c r="C8" s="74">
        <f>'2004,2005,2006'!E9</f>
        <v>422363452</v>
      </c>
      <c r="D8" s="62">
        <f t="shared" si="0"/>
        <v>76.71188006579698</v>
      </c>
      <c r="E8" s="50"/>
      <c r="F8" s="6"/>
      <c r="G8" s="6"/>
      <c r="H8" s="15" t="e">
        <v>#REF!</v>
      </c>
      <c r="I8" s="11" t="e">
        <v>#REF!</v>
      </c>
    </row>
    <row r="9" spans="1:9" s="2" customFormat="1" ht="32.25" customHeight="1">
      <c r="A9" s="63" t="s">
        <v>14</v>
      </c>
      <c r="B9" s="73">
        <v>25930560.4</v>
      </c>
      <c r="C9" s="74">
        <f>'2004,2005,2006'!E10</f>
        <v>37032713</v>
      </c>
      <c r="D9" s="62">
        <f t="shared" si="0"/>
        <v>70.0206879252946</v>
      </c>
      <c r="E9" s="50"/>
      <c r="F9" s="6"/>
      <c r="G9" s="6"/>
      <c r="H9" s="15" t="e">
        <v>#REF!</v>
      </c>
      <c r="I9" s="11" t="e">
        <v>#REF!</v>
      </c>
    </row>
    <row r="10" spans="1:9" s="2" customFormat="1" ht="32.25" customHeight="1">
      <c r="A10" s="63" t="s">
        <v>15</v>
      </c>
      <c r="B10" s="73">
        <f>'2004,2005,2006'!D11</f>
        <v>16783207.13</v>
      </c>
      <c r="C10" s="74">
        <f>'2004,2005,2006'!E11</f>
        <v>37118134.12</v>
      </c>
      <c r="D10" s="62">
        <f t="shared" si="0"/>
        <v>45.21565409441438</v>
      </c>
      <c r="E10" s="50"/>
      <c r="F10" s="6"/>
      <c r="G10" s="6"/>
      <c r="H10" s="15" t="e">
        <v>#REF!</v>
      </c>
      <c r="I10" s="11" t="e">
        <v>#REF!</v>
      </c>
    </row>
    <row r="11" spans="1:9" s="2" customFormat="1" ht="32.25" customHeight="1">
      <c r="A11" s="63" t="s">
        <v>29</v>
      </c>
      <c r="B11" s="73">
        <f>'2004,2005,2006'!D12</f>
        <v>5648941.32</v>
      </c>
      <c r="C11" s="74">
        <f>'2004,2005,2006'!E12</f>
        <v>8051928.49</v>
      </c>
      <c r="D11" s="62">
        <f t="shared" si="0"/>
        <v>70.15637715878422</v>
      </c>
      <c r="E11" s="50"/>
      <c r="F11" s="6"/>
      <c r="G11" s="6"/>
      <c r="H11" s="15" t="e">
        <v>#REF!</v>
      </c>
      <c r="I11" s="11" t="e">
        <v>#REF!</v>
      </c>
    </row>
    <row r="12" spans="1:9" s="2" customFormat="1" ht="32.25" customHeight="1">
      <c r="A12" s="63" t="s">
        <v>0</v>
      </c>
      <c r="B12" s="73">
        <f>'2004,2005,2006'!D13</f>
        <v>8158097.159999999</v>
      </c>
      <c r="C12" s="74">
        <f>'2004,2005,2006'!E13</f>
        <v>9500000</v>
      </c>
      <c r="D12" s="62">
        <f t="shared" si="0"/>
        <v>85.87470694736841</v>
      </c>
      <c r="E12" s="50"/>
      <c r="F12" s="6"/>
      <c r="G12" s="6"/>
      <c r="H12" s="15" t="e">
        <v>#REF!</v>
      </c>
      <c r="I12" s="11" t="e">
        <v>#REF!</v>
      </c>
    </row>
    <row r="13" spans="1:9" s="2" customFormat="1" ht="32.25" customHeight="1">
      <c r="A13" s="63" t="s">
        <v>1</v>
      </c>
      <c r="B13" s="73">
        <f>'2004,2005,2006'!D14</f>
        <v>3910131.83</v>
      </c>
      <c r="C13" s="74">
        <v>4667299</v>
      </c>
      <c r="D13" s="62">
        <f t="shared" si="0"/>
        <v>83.77718740539228</v>
      </c>
      <c r="E13" s="50"/>
      <c r="F13" s="6"/>
      <c r="G13" s="6"/>
      <c r="H13" s="15" t="e">
        <v>#REF!</v>
      </c>
      <c r="I13" s="11" t="e">
        <v>#REF!</v>
      </c>
    </row>
    <row r="14" spans="1:9" s="2" customFormat="1" ht="32.25" customHeight="1">
      <c r="A14" s="63" t="s">
        <v>2</v>
      </c>
      <c r="B14" s="73">
        <v>6949209.178477879</v>
      </c>
      <c r="C14" s="74">
        <f>'2004,2005,2006'!E15</f>
        <v>9500000</v>
      </c>
      <c r="D14" s="62">
        <f t="shared" si="0"/>
        <v>73.14957029976715</v>
      </c>
      <c r="E14" s="50"/>
      <c r="F14" s="6"/>
      <c r="G14" s="6"/>
      <c r="H14" s="15" t="e">
        <v>#REF!</v>
      </c>
      <c r="I14" s="11" t="e">
        <v>#REF!</v>
      </c>
    </row>
    <row r="15" spans="1:9" s="2" customFormat="1" ht="32.25" customHeight="1" thickBot="1">
      <c r="A15" s="64" t="s">
        <v>16</v>
      </c>
      <c r="B15" s="73">
        <v>14514932.420671957</v>
      </c>
      <c r="C15" s="75">
        <f>'2004,2005,2006'!E16</f>
        <v>22266351</v>
      </c>
      <c r="D15" s="65">
        <f>100*B15/C15</f>
        <v>65.18774639217695</v>
      </c>
      <c r="E15" s="50"/>
      <c r="F15" s="6"/>
      <c r="G15" s="6"/>
      <c r="H15" s="16" t="e">
        <v>#REF!</v>
      </c>
      <c r="I15" s="12" t="e">
        <v>#REF!</v>
      </c>
    </row>
    <row r="16" spans="1:9" s="7" customFormat="1" ht="32.25" customHeight="1" thickBot="1">
      <c r="A16" s="66" t="s">
        <v>5</v>
      </c>
      <c r="B16" s="67">
        <f>SUM(B5:B15)</f>
        <v>868371320.6591499</v>
      </c>
      <c r="C16" s="67">
        <f>SUM(C5:C15)</f>
        <v>1169179470.61</v>
      </c>
      <c r="D16" s="68">
        <f t="shared" si="0"/>
        <v>74.27185838339187</v>
      </c>
      <c r="E16" s="69"/>
      <c r="F16" s="18"/>
      <c r="G16" s="18"/>
      <c r="H16" s="17" t="e">
        <v>#REF!</v>
      </c>
      <c r="I16" s="13" t="e">
        <v>#REF!</v>
      </c>
    </row>
    <row r="17" spans="1:9" s="7" customFormat="1" ht="15.75">
      <c r="A17" s="4" t="s">
        <v>38</v>
      </c>
      <c r="B17" s="71"/>
      <c r="C17" s="71"/>
      <c r="D17" s="72"/>
      <c r="E17" s="18"/>
      <c r="F17" s="18"/>
      <c r="G17" s="18"/>
      <c r="H17" s="70"/>
      <c r="I17" s="70"/>
    </row>
    <row r="18" spans="1:11" ht="15.75" customHeight="1">
      <c r="A18" s="4" t="s">
        <v>37</v>
      </c>
      <c r="C18" s="3"/>
      <c r="G18" s="9"/>
      <c r="H18" s="6"/>
      <c r="I18" s="6"/>
      <c r="J18" s="8"/>
      <c r="K18" s="8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mergeCells count="2">
    <mergeCell ref="A1:K1"/>
    <mergeCell ref="H2:I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0" sqref="C10"/>
    </sheetView>
  </sheetViews>
  <sheetFormatPr defaultColWidth="9.140625" defaultRowHeight="12.75"/>
  <cols>
    <col min="1" max="1" width="28.28125" style="4" customWidth="1"/>
    <col min="2" max="3" width="17.7109375" style="4" customWidth="1"/>
    <col min="4" max="8" width="17.7109375" style="1" customWidth="1"/>
    <col min="9" max="10" width="17.7109375" style="4" customWidth="1"/>
    <col min="11" max="11" width="17.57421875" style="1" customWidth="1"/>
    <col min="12" max="16" width="17.7109375" style="1" customWidth="1"/>
    <col min="17" max="17" width="21.57421875" style="2" customWidth="1"/>
    <col min="18" max="19" width="17.8515625" style="2" hidden="1" customWidth="1"/>
    <col min="20" max="20" width="17.8515625" style="2" customWidth="1"/>
    <col min="21" max="22" width="17.8515625" style="2" hidden="1" customWidth="1"/>
    <col min="23" max="24" width="17.8515625" style="2" customWidth="1"/>
    <col min="25" max="16384" width="9.140625" style="1" customWidth="1"/>
  </cols>
  <sheetData>
    <row r="1" spans="1:24" s="5" customFormat="1" ht="27" customHeight="1">
      <c r="A1" s="102"/>
      <c r="B1" s="102"/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s="22" customFormat="1" ht="21" thickBot="1">
      <c r="A2" s="106" t="s">
        <v>52</v>
      </c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36"/>
      <c r="Q2" s="21"/>
      <c r="R2" s="44"/>
      <c r="S2" s="21"/>
      <c r="T2" s="21"/>
      <c r="U2" s="21"/>
      <c r="V2" s="21"/>
      <c r="W2" s="21"/>
      <c r="X2" s="21"/>
    </row>
    <row r="3" spans="1:22" ht="147" customHeight="1">
      <c r="A3" s="25" t="s">
        <v>24</v>
      </c>
      <c r="B3" s="25" t="s">
        <v>50</v>
      </c>
      <c r="C3" s="25" t="s">
        <v>39</v>
      </c>
      <c r="D3" s="25" t="s">
        <v>51</v>
      </c>
      <c r="E3" s="25" t="s">
        <v>44</v>
      </c>
      <c r="F3" s="25" t="s">
        <v>9</v>
      </c>
      <c r="G3" s="25" t="s">
        <v>45</v>
      </c>
      <c r="H3" s="25" t="s">
        <v>40</v>
      </c>
      <c r="I3" s="25" t="s">
        <v>23</v>
      </c>
      <c r="J3" s="25" t="s">
        <v>46</v>
      </c>
      <c r="K3" s="25" t="s">
        <v>41</v>
      </c>
      <c r="L3" s="25" t="s">
        <v>47</v>
      </c>
      <c r="M3" s="25" t="s">
        <v>28</v>
      </c>
      <c r="N3" s="25" t="s">
        <v>42</v>
      </c>
      <c r="O3" s="25" t="s">
        <v>7</v>
      </c>
      <c r="P3" s="25" t="s">
        <v>27</v>
      </c>
      <c r="Q3" s="25" t="s">
        <v>8</v>
      </c>
      <c r="R3" s="45"/>
      <c r="S3" s="6"/>
      <c r="T3" s="6"/>
      <c r="U3" s="104" t="s">
        <v>6</v>
      </c>
      <c r="V3" s="105"/>
    </row>
    <row r="4" spans="1:35" ht="26.25" customHeight="1">
      <c r="A4" s="28"/>
      <c r="B4" s="26" t="s">
        <v>3</v>
      </c>
      <c r="C4" s="26" t="s">
        <v>3</v>
      </c>
      <c r="D4" s="26" t="s">
        <v>3</v>
      </c>
      <c r="E4" s="26" t="s">
        <v>3</v>
      </c>
      <c r="F4" s="26" t="s">
        <v>3</v>
      </c>
      <c r="G4" s="26" t="s">
        <v>3</v>
      </c>
      <c r="H4" s="26" t="s">
        <v>3</v>
      </c>
      <c r="I4" s="26" t="s">
        <v>3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3</v>
      </c>
      <c r="Q4" s="26" t="s">
        <v>3</v>
      </c>
      <c r="R4" s="43"/>
      <c r="S4" s="6"/>
      <c r="T4" s="6"/>
      <c r="U4" s="43" t="s">
        <v>3</v>
      </c>
      <c r="V4" s="43" t="s">
        <v>4</v>
      </c>
      <c r="W4" s="6"/>
      <c r="X4" s="6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22" ht="13.5" hidden="1" thickBot="1">
      <c r="A5" s="29"/>
      <c r="B5" s="27" t="s">
        <v>25</v>
      </c>
      <c r="C5" s="27" t="s">
        <v>26</v>
      </c>
      <c r="D5" s="27">
        <v>1</v>
      </c>
      <c r="E5" s="27">
        <v>2</v>
      </c>
      <c r="F5" s="27" t="s">
        <v>17</v>
      </c>
      <c r="G5" s="27">
        <v>4</v>
      </c>
      <c r="H5" s="27">
        <v>5</v>
      </c>
      <c r="I5" s="27" t="s">
        <v>18</v>
      </c>
      <c r="J5" s="27">
        <v>7</v>
      </c>
      <c r="K5" s="27">
        <v>9</v>
      </c>
      <c r="L5" s="27" t="s">
        <v>21</v>
      </c>
      <c r="M5" s="27" t="s">
        <v>19</v>
      </c>
      <c r="N5" s="27">
        <v>12</v>
      </c>
      <c r="O5" s="27" t="s">
        <v>20</v>
      </c>
      <c r="P5" s="27"/>
      <c r="Q5" s="27" t="s">
        <v>22</v>
      </c>
      <c r="R5" s="46"/>
      <c r="S5" s="6"/>
      <c r="T5" s="6"/>
      <c r="U5" s="41"/>
      <c r="V5" s="42"/>
    </row>
    <row r="6" spans="1:22" s="2" customFormat="1" ht="32.25" customHeight="1">
      <c r="A6" s="30" t="s">
        <v>10</v>
      </c>
      <c r="B6" s="23">
        <v>110089160.26999998</v>
      </c>
      <c r="C6" s="23">
        <v>751834.34</v>
      </c>
      <c r="D6" s="23">
        <f aca="true" t="shared" si="0" ref="D6:D16">B6-C6</f>
        <v>109337325.92999998</v>
      </c>
      <c r="E6" s="23">
        <v>151210683</v>
      </c>
      <c r="F6" s="40">
        <f>100*D6/E6</f>
        <v>72.3079373499027</v>
      </c>
      <c r="G6" s="23">
        <v>35344858</v>
      </c>
      <c r="H6" s="23">
        <f>919360952.64/38</f>
        <v>24193709.28</v>
      </c>
      <c r="I6" s="23">
        <f>G6-H6</f>
        <v>11151148.719999999</v>
      </c>
      <c r="J6" s="23">
        <v>0</v>
      </c>
      <c r="K6" s="23">
        <v>50479000</v>
      </c>
      <c r="L6" s="23">
        <v>0</v>
      </c>
      <c r="M6" s="31">
        <v>100</v>
      </c>
      <c r="N6" s="23">
        <v>65386825</v>
      </c>
      <c r="O6" s="23">
        <f aca="true" t="shared" si="1" ref="O6:O17">N6+H6</f>
        <v>89580534.28</v>
      </c>
      <c r="P6" s="23">
        <f>E6-D6</f>
        <v>41873357.07000002</v>
      </c>
      <c r="Q6" s="31">
        <f aca="true" t="shared" si="2" ref="Q6:Q12">100*(D6-G6+H6-K6)/O6</f>
        <v>53.25618739991286</v>
      </c>
      <c r="R6" s="31">
        <f>(D6-G6+H6-K6)</f>
        <v>47707177.20999998</v>
      </c>
      <c r="S6" s="96">
        <f>P6/E6</f>
        <v>0.276920626500973</v>
      </c>
      <c r="T6" s="6"/>
      <c r="U6" s="14" t="e">
        <v>#REF!</v>
      </c>
      <c r="V6" s="10" t="e">
        <v>#REF!</v>
      </c>
    </row>
    <row r="7" spans="1:22" s="2" customFormat="1" ht="32.25" customHeight="1">
      <c r="A7" s="30" t="s">
        <v>11</v>
      </c>
      <c r="B7" s="23">
        <v>194890295.97</v>
      </c>
      <c r="C7" s="23">
        <v>398215.32</v>
      </c>
      <c r="D7" s="23">
        <f>B7-C7</f>
        <v>194492080.65</v>
      </c>
      <c r="E7" s="23">
        <v>284480923</v>
      </c>
      <c r="F7" s="40">
        <f aca="true" t="shared" si="3" ref="F7:F17">100*D7/E7</f>
        <v>68.36735433749982</v>
      </c>
      <c r="G7" s="23">
        <v>66496212</v>
      </c>
      <c r="H7" s="23">
        <f>1729644013.01004/38</f>
        <v>45516947.71079053</v>
      </c>
      <c r="I7" s="23">
        <f aca="true" t="shared" si="4" ref="I7:I17">G7-H7</f>
        <v>20979264.28920947</v>
      </c>
      <c r="J7" s="23">
        <v>0</v>
      </c>
      <c r="K7" s="23">
        <v>94968902</v>
      </c>
      <c r="L7" s="23">
        <v>0</v>
      </c>
      <c r="M7" s="31">
        <v>100</v>
      </c>
      <c r="N7" s="23">
        <v>123015809</v>
      </c>
      <c r="O7" s="23">
        <f t="shared" si="1"/>
        <v>168532756.71079051</v>
      </c>
      <c r="P7" s="23">
        <f>E7-D7</f>
        <v>89988842.35</v>
      </c>
      <c r="Q7" s="31">
        <f t="shared" si="2"/>
        <v>46.60453901883021</v>
      </c>
      <c r="R7" s="31">
        <f aca="true" t="shared" si="5" ref="R7:R16">(D7-G7+H7-K7)</f>
        <v>78543914.36079055</v>
      </c>
      <c r="S7" s="96">
        <f aca="true" t="shared" si="6" ref="S7:S17">P7/E7</f>
        <v>0.31632645662500186</v>
      </c>
      <c r="T7" s="6"/>
      <c r="U7" s="15" t="e">
        <v>#REF!</v>
      </c>
      <c r="V7" s="11" t="e">
        <v>#REF!</v>
      </c>
    </row>
    <row r="8" spans="1:22" s="2" customFormat="1" ht="32.25" customHeight="1">
      <c r="A8" s="30" t="s">
        <v>12</v>
      </c>
      <c r="B8" s="23">
        <v>158679206.44000003</v>
      </c>
      <c r="C8" s="23">
        <f>35316.54</f>
        <v>35316.54</v>
      </c>
      <c r="D8" s="23">
        <f t="shared" si="0"/>
        <v>158643889.90000004</v>
      </c>
      <c r="E8" s="23">
        <v>182987987</v>
      </c>
      <c r="F8" s="40">
        <f t="shared" si="3"/>
        <v>86.6963413833281</v>
      </c>
      <c r="G8" s="23">
        <v>42772668</v>
      </c>
      <c r="H8" s="23">
        <f>1112566949.2/38</f>
        <v>29278077.610526316</v>
      </c>
      <c r="I8" s="23">
        <f t="shared" si="4"/>
        <v>13494590.389473684</v>
      </c>
      <c r="J8" s="23">
        <v>0</v>
      </c>
      <c r="K8" s="23">
        <v>61087288</v>
      </c>
      <c r="L8" s="23">
        <v>0</v>
      </c>
      <c r="M8" s="31">
        <v>100</v>
      </c>
      <c r="N8" s="23">
        <v>79128031</v>
      </c>
      <c r="O8" s="23">
        <f t="shared" si="1"/>
        <v>108406108.61052632</v>
      </c>
      <c r="P8" s="23">
        <f>E8-D8</f>
        <v>24344097.099999964</v>
      </c>
      <c r="Q8" s="31">
        <f t="shared" si="2"/>
        <v>77.54361132225335</v>
      </c>
      <c r="R8" s="31">
        <f t="shared" si="5"/>
        <v>84062011.51052636</v>
      </c>
      <c r="S8" s="96">
        <f t="shared" si="6"/>
        <v>0.13303658616671904</v>
      </c>
      <c r="T8" s="6"/>
      <c r="U8" s="15" t="e">
        <v>#REF!</v>
      </c>
      <c r="V8" s="11" t="e">
        <v>#REF!</v>
      </c>
    </row>
    <row r="9" spans="1:22" s="2" customFormat="1" ht="32.25" customHeight="1">
      <c r="A9" s="30" t="s">
        <v>13</v>
      </c>
      <c r="B9" s="23">
        <v>324550083.15999997</v>
      </c>
      <c r="C9" s="23">
        <v>547138.42</v>
      </c>
      <c r="D9" s="23">
        <f t="shared" si="0"/>
        <v>324002944.73999995</v>
      </c>
      <c r="E9" s="23">
        <v>422363452</v>
      </c>
      <c r="F9" s="40">
        <f t="shared" si="3"/>
        <v>76.71188006579698</v>
      </c>
      <c r="G9" s="23">
        <v>98725671</v>
      </c>
      <c r="H9" s="23">
        <f>2567969788/38</f>
        <v>67578152.31578948</v>
      </c>
      <c r="I9" s="23">
        <f t="shared" si="4"/>
        <v>31147518.684210524</v>
      </c>
      <c r="J9" s="23">
        <v>0</v>
      </c>
      <c r="K9" s="23">
        <v>140998533</v>
      </c>
      <c r="L9" s="23">
        <v>0</v>
      </c>
      <c r="M9" s="31">
        <v>100</v>
      </c>
      <c r="N9" s="23">
        <v>182639248</v>
      </c>
      <c r="O9" s="23">
        <f t="shared" si="1"/>
        <v>250217400.31578946</v>
      </c>
      <c r="P9" s="23">
        <f aca="true" t="shared" si="7" ref="P9:P16">E9-D9</f>
        <v>98360507.26000005</v>
      </c>
      <c r="Q9" s="31">
        <f t="shared" si="2"/>
        <v>60.689981138057085</v>
      </c>
      <c r="R9" s="31">
        <f t="shared" si="5"/>
        <v>151856893.0557894</v>
      </c>
      <c r="S9" s="96">
        <f t="shared" si="6"/>
        <v>0.2328811993420303</v>
      </c>
      <c r="T9" s="6"/>
      <c r="U9" s="15" t="e">
        <v>#REF!</v>
      </c>
      <c r="V9" s="11" t="e">
        <v>#REF!</v>
      </c>
    </row>
    <row r="10" spans="1:22" s="2" customFormat="1" ht="32.25" customHeight="1">
      <c r="A10" s="30" t="s">
        <v>30</v>
      </c>
      <c r="B10" s="23">
        <v>26025446.48</v>
      </c>
      <c r="C10" s="23">
        <f>94886.05+41275.8</f>
        <v>136161.85</v>
      </c>
      <c r="D10" s="23">
        <f t="shared" si="0"/>
        <v>25889284.63</v>
      </c>
      <c r="E10" s="23">
        <v>37032713</v>
      </c>
      <c r="F10" s="40">
        <f t="shared" si="3"/>
        <v>69.90923033373224</v>
      </c>
      <c r="G10" s="23">
        <f>12144889-J10</f>
        <v>12009384</v>
      </c>
      <c r="H10" s="23">
        <f>225982765.44/38</f>
        <v>5946914.88</v>
      </c>
      <c r="I10" s="23">
        <f t="shared" si="4"/>
        <v>6062469.12</v>
      </c>
      <c r="J10" s="23">
        <v>135505</v>
      </c>
      <c r="K10" s="23">
        <v>12387787</v>
      </c>
      <c r="L10" s="23">
        <v>0</v>
      </c>
      <c r="M10" s="31">
        <v>100</v>
      </c>
      <c r="N10" s="23">
        <v>12635542</v>
      </c>
      <c r="O10" s="23">
        <f t="shared" si="1"/>
        <v>18582456.88</v>
      </c>
      <c r="P10" s="23">
        <f t="shared" si="7"/>
        <v>11143428.370000001</v>
      </c>
      <c r="Q10" s="31">
        <f t="shared" si="2"/>
        <v>40.03253476135605</v>
      </c>
      <c r="R10" s="31">
        <f t="shared" si="5"/>
        <v>7439028.509999998</v>
      </c>
      <c r="S10" s="96">
        <f t="shared" si="6"/>
        <v>0.3009076966626777</v>
      </c>
      <c r="T10" s="6"/>
      <c r="U10" s="15" t="e">
        <v>#REF!</v>
      </c>
      <c r="V10" s="11" t="e">
        <v>#REF!</v>
      </c>
    </row>
    <row r="11" spans="1:22" s="2" customFormat="1" ht="32.25" customHeight="1">
      <c r="A11" s="30" t="s">
        <v>31</v>
      </c>
      <c r="B11" s="23">
        <v>16788478.689999998</v>
      </c>
      <c r="C11" s="23">
        <f>3659.93+88.67+874.91+648.05</f>
        <v>5271.56</v>
      </c>
      <c r="D11" s="82">
        <f t="shared" si="0"/>
        <v>16783207.13</v>
      </c>
      <c r="E11" s="23">
        <f>44939754-J11-L11</f>
        <v>37118134.12</v>
      </c>
      <c r="F11" s="40">
        <f t="shared" si="3"/>
        <v>45.21565409441438</v>
      </c>
      <c r="G11" s="23">
        <v>13429674</v>
      </c>
      <c r="H11" s="23">
        <v>7190360.64</v>
      </c>
      <c r="I11" s="23">
        <f t="shared" si="4"/>
        <v>6239313.36</v>
      </c>
      <c r="J11" s="23">
        <v>1254600</v>
      </c>
      <c r="K11" s="23">
        <f>14977960-L11</f>
        <v>8410940.119999997</v>
      </c>
      <c r="L11" s="82">
        <v>6567019.880000002</v>
      </c>
      <c r="M11" s="31">
        <v>56.155445200815045</v>
      </c>
      <c r="N11" s="23">
        <v>15277519</v>
      </c>
      <c r="O11" s="23">
        <f t="shared" si="1"/>
        <v>22467879.64</v>
      </c>
      <c r="P11" s="23">
        <f>E11-D11</f>
        <v>20334926.99</v>
      </c>
      <c r="Q11" s="31">
        <f t="shared" si="2"/>
        <v>9.493346431332416</v>
      </c>
      <c r="R11" s="31">
        <f t="shared" si="5"/>
        <v>2132953.6500000022</v>
      </c>
      <c r="S11" s="96">
        <f t="shared" si="6"/>
        <v>0.5478434590558562</v>
      </c>
      <c r="T11" s="6"/>
      <c r="U11" s="15" t="e">
        <v>#REF!</v>
      </c>
      <c r="V11" s="11" t="e">
        <v>#REF!</v>
      </c>
    </row>
    <row r="12" spans="1:22" s="2" customFormat="1" ht="32.25" customHeight="1">
      <c r="A12" s="30" t="s">
        <v>36</v>
      </c>
      <c r="B12" s="23">
        <v>5648965.4</v>
      </c>
      <c r="C12" s="23">
        <v>24.08</v>
      </c>
      <c r="D12" s="23">
        <f t="shared" si="0"/>
        <v>5648941.32</v>
      </c>
      <c r="E12" s="23">
        <f>9500000-J12-L12</f>
        <v>8051928.49</v>
      </c>
      <c r="F12" s="40">
        <f t="shared" si="3"/>
        <v>70.15637715878422</v>
      </c>
      <c r="G12" s="23">
        <v>1999297</v>
      </c>
      <c r="H12" s="23">
        <f>262449+(345036-262449)</f>
        <v>345036</v>
      </c>
      <c r="I12" s="23">
        <f t="shared" si="4"/>
        <v>1654261</v>
      </c>
      <c r="J12" s="23">
        <v>1035839</v>
      </c>
      <c r="K12" s="23">
        <f>3096213-L12</f>
        <v>2683980.49</v>
      </c>
      <c r="L12" s="82">
        <v>412232.51</v>
      </c>
      <c r="M12" s="31">
        <v>86.07803371408878</v>
      </c>
      <c r="N12" s="23">
        <v>3368651</v>
      </c>
      <c r="O12" s="23">
        <f>N12+H12</f>
        <v>3713687</v>
      </c>
      <c r="P12" s="23">
        <f>E12-D12-66978.22</f>
        <v>2336008.9499999997</v>
      </c>
      <c r="Q12" s="31">
        <f t="shared" si="2"/>
        <v>35.29376142900573</v>
      </c>
      <c r="R12" s="31">
        <f t="shared" si="5"/>
        <v>1310699.83</v>
      </c>
      <c r="S12" s="96">
        <f t="shared" si="6"/>
        <v>0.29011794539670577</v>
      </c>
      <c r="T12" s="6"/>
      <c r="U12" s="15" t="e">
        <v>#REF!</v>
      </c>
      <c r="V12" s="11" t="e">
        <v>#REF!</v>
      </c>
    </row>
    <row r="13" spans="1:22" s="2" customFormat="1" ht="32.25" customHeight="1">
      <c r="A13" s="30" t="s">
        <v>32</v>
      </c>
      <c r="B13" s="23">
        <v>8162286.779999999</v>
      </c>
      <c r="C13" s="23">
        <v>4189.62</v>
      </c>
      <c r="D13" s="23">
        <f t="shared" si="0"/>
        <v>8158097.159999999</v>
      </c>
      <c r="E13" s="23">
        <v>9500000</v>
      </c>
      <c r="F13" s="40">
        <f t="shared" si="3"/>
        <v>85.87470694736841</v>
      </c>
      <c r="G13" s="23">
        <v>2834753</v>
      </c>
      <c r="H13" s="23">
        <f>54724703/38</f>
        <v>1440123.7631578948</v>
      </c>
      <c r="I13" s="23">
        <f t="shared" si="4"/>
        <v>1394629.2368421052</v>
      </c>
      <c r="J13" s="23">
        <v>0</v>
      </c>
      <c r="K13" s="23">
        <v>3048957</v>
      </c>
      <c r="L13" s="23">
        <v>0</v>
      </c>
      <c r="M13" s="31">
        <v>100</v>
      </c>
      <c r="N13" s="23">
        <v>3616290</v>
      </c>
      <c r="O13" s="23">
        <f t="shared" si="1"/>
        <v>5056413.763157895</v>
      </c>
      <c r="P13" s="23">
        <f t="shared" si="7"/>
        <v>1341902.8400000008</v>
      </c>
      <c r="Q13" s="31">
        <f>100*(D13-G13+H13-K13)/O13</f>
        <v>73.46137197518546</v>
      </c>
      <c r="R13" s="31">
        <f t="shared" si="5"/>
        <v>3714510.923157894</v>
      </c>
      <c r="S13" s="96">
        <f t="shared" si="6"/>
        <v>0.14125293052631588</v>
      </c>
      <c r="T13" s="6"/>
      <c r="U13" s="15" t="e">
        <v>#REF!</v>
      </c>
      <c r="V13" s="11" t="e">
        <v>#REF!</v>
      </c>
    </row>
    <row r="14" spans="1:22" s="2" customFormat="1" ht="32.25" customHeight="1">
      <c r="A14" s="30" t="s">
        <v>33</v>
      </c>
      <c r="B14" s="23">
        <v>3911987.46</v>
      </c>
      <c r="C14" s="23">
        <v>1855.63</v>
      </c>
      <c r="D14" s="23">
        <f t="shared" si="0"/>
        <v>3910131.83</v>
      </c>
      <c r="E14" s="23">
        <v>4667299</v>
      </c>
      <c r="F14" s="40">
        <f t="shared" si="3"/>
        <v>83.77718740539228</v>
      </c>
      <c r="G14" s="23">
        <v>1491146</v>
      </c>
      <c r="H14" s="23">
        <f>28377177.92/38</f>
        <v>746767.8400000001</v>
      </c>
      <c r="I14" s="23">
        <f t="shared" si="4"/>
        <v>744378.1599999999</v>
      </c>
      <c r="J14" s="23">
        <v>0</v>
      </c>
      <c r="K14" s="23">
        <v>1521153.2774999999</v>
      </c>
      <c r="L14" s="23">
        <v>0</v>
      </c>
      <c r="M14" s="31">
        <v>100</v>
      </c>
      <c r="N14" s="23">
        <v>1655000</v>
      </c>
      <c r="O14" s="23">
        <f t="shared" si="1"/>
        <v>2401767.84</v>
      </c>
      <c r="P14" s="23">
        <f t="shared" si="7"/>
        <v>757167.1699999999</v>
      </c>
      <c r="Q14" s="31">
        <f>100*(D14-G14+H14-K14)/O14</f>
        <v>68.47457798002658</v>
      </c>
      <c r="R14" s="31">
        <f t="shared" si="5"/>
        <v>1644600.3925</v>
      </c>
      <c r="S14" s="96">
        <f t="shared" si="6"/>
        <v>0.16222812594607713</v>
      </c>
      <c r="T14" s="6"/>
      <c r="U14" s="15" t="e">
        <v>#REF!</v>
      </c>
      <c r="V14" s="11" t="e">
        <v>#REF!</v>
      </c>
    </row>
    <row r="15" spans="1:22" s="2" customFormat="1" ht="32.25" customHeight="1">
      <c r="A15" s="30" t="s">
        <v>34</v>
      </c>
      <c r="B15" s="23">
        <v>7008763.57</v>
      </c>
      <c r="C15" s="23">
        <f>13773.64+8.45+35702.54</f>
        <v>49484.630000000005</v>
      </c>
      <c r="D15" s="23">
        <f t="shared" si="0"/>
        <v>6959278.94</v>
      </c>
      <c r="E15" s="23">
        <v>9500000</v>
      </c>
      <c r="F15" s="40">
        <f t="shared" si="3"/>
        <v>73.25556778947369</v>
      </c>
      <c r="G15" s="23">
        <v>3035136</v>
      </c>
      <c r="H15" s="23">
        <f>57881908.94/38</f>
        <v>1523208.13</v>
      </c>
      <c r="I15" s="23">
        <f t="shared" si="4"/>
        <v>1511927.87</v>
      </c>
      <c r="J15" s="23">
        <v>0</v>
      </c>
      <c r="K15" s="23">
        <v>3096213</v>
      </c>
      <c r="L15" s="23">
        <v>0</v>
      </c>
      <c r="M15" s="31">
        <v>100</v>
      </c>
      <c r="N15" s="23">
        <v>3368651</v>
      </c>
      <c r="O15" s="23">
        <f t="shared" si="1"/>
        <v>4891859.13</v>
      </c>
      <c r="P15" s="23">
        <f t="shared" si="7"/>
        <v>2540721.0599999996</v>
      </c>
      <c r="Q15" s="31">
        <f>100*(D15-G15+H15-K15)/O15</f>
        <v>48.06226032923398</v>
      </c>
      <c r="R15" s="31">
        <f t="shared" si="5"/>
        <v>2351138.0700000003</v>
      </c>
      <c r="S15" s="96">
        <f t="shared" si="6"/>
        <v>0.2674443221052631</v>
      </c>
      <c r="T15" s="6"/>
      <c r="U15" s="15" t="e">
        <v>#REF!</v>
      </c>
      <c r="V15" s="11" t="e">
        <v>#REF!</v>
      </c>
    </row>
    <row r="16" spans="1:22" s="2" customFormat="1" ht="32.25" customHeight="1" thickBot="1">
      <c r="A16" s="30" t="s">
        <v>35</v>
      </c>
      <c r="B16" s="23">
        <v>14558292.93</v>
      </c>
      <c r="C16" s="23">
        <v>8150</v>
      </c>
      <c r="D16" s="23">
        <f t="shared" si="0"/>
        <v>14550142.93</v>
      </c>
      <c r="E16" s="23">
        <v>22266351</v>
      </c>
      <c r="F16" s="40">
        <f t="shared" si="3"/>
        <v>65.34587966389284</v>
      </c>
      <c r="G16" s="23">
        <v>5299588</v>
      </c>
      <c r="H16" s="23">
        <f>135379408/38</f>
        <v>3562616</v>
      </c>
      <c r="I16" s="23">
        <f t="shared" si="4"/>
        <v>1736972</v>
      </c>
      <c r="J16" s="23">
        <v>0</v>
      </c>
      <c r="K16" s="23">
        <v>7432672</v>
      </c>
      <c r="L16" s="23">
        <v>0</v>
      </c>
      <c r="M16" s="31">
        <v>100</v>
      </c>
      <c r="N16" s="23">
        <v>9534091</v>
      </c>
      <c r="O16" s="23">
        <f t="shared" si="1"/>
        <v>13096707</v>
      </c>
      <c r="P16" s="23">
        <f t="shared" si="7"/>
        <v>7716208.07</v>
      </c>
      <c r="Q16" s="31">
        <f>100*(D16-G16+H16-K16)/O16</f>
        <v>41.08283807525052</v>
      </c>
      <c r="R16" s="31">
        <f t="shared" si="5"/>
        <v>5380498.93</v>
      </c>
      <c r="S16" s="96">
        <f t="shared" si="6"/>
        <v>0.34654120336107164</v>
      </c>
      <c r="T16" s="6"/>
      <c r="U16" s="16" t="e">
        <v>#REF!</v>
      </c>
      <c r="V16" s="12" t="e">
        <v>#REF!</v>
      </c>
    </row>
    <row r="17" spans="1:22" s="7" customFormat="1" ht="32.25" customHeight="1" thickBot="1">
      <c r="A17" s="32" t="s">
        <v>5</v>
      </c>
      <c r="B17" s="24">
        <f>SUM(B6:B16)</f>
        <v>870312967.15</v>
      </c>
      <c r="C17" s="24">
        <f>SUM(C6:C16)</f>
        <v>1937641.9900000002</v>
      </c>
      <c r="D17" s="24">
        <f>SUM(D6:D16)</f>
        <v>868375325.1600001</v>
      </c>
      <c r="E17" s="24">
        <f>SUM(E6:E16)</f>
        <v>1169179470.61</v>
      </c>
      <c r="F17" s="33">
        <f t="shared" si="3"/>
        <v>74.27220088862317</v>
      </c>
      <c r="G17" s="24">
        <f>SUM(G6:G16)</f>
        <v>283438387</v>
      </c>
      <c r="H17" s="24">
        <f>SUM(H6:H16)</f>
        <v>187321914.1702642</v>
      </c>
      <c r="I17" s="24">
        <f t="shared" si="4"/>
        <v>96116472.82973579</v>
      </c>
      <c r="J17" s="34">
        <f>J10+J11+J12+J13+J14+J15</f>
        <v>2425944</v>
      </c>
      <c r="K17" s="24">
        <f>SUM(K6:K16)</f>
        <v>386115425.8875</v>
      </c>
      <c r="L17" s="24">
        <f>SUM(L6:L16)</f>
        <v>6979252.3900000015</v>
      </c>
      <c r="M17" s="35">
        <f>100-(L17/K17*100)</f>
        <v>98.19244404080517</v>
      </c>
      <c r="N17" s="24">
        <f>SUM(N6:N16)</f>
        <v>499625657</v>
      </c>
      <c r="O17" s="24">
        <f t="shared" si="1"/>
        <v>686947571.1702642</v>
      </c>
      <c r="P17" s="24">
        <f>P6+P7+P8+P10+P9+P11+P12+P13+P14+P15+P16</f>
        <v>300737167.23</v>
      </c>
      <c r="Q17" s="35">
        <f>100*(D17-G17+H17-K17)/O17</f>
        <v>56.21148434733403</v>
      </c>
      <c r="R17" s="76">
        <f>SUM(R6:R16)</f>
        <v>386143426.4427641</v>
      </c>
      <c r="S17" s="96">
        <f t="shared" si="6"/>
        <v>0.2572207045964427</v>
      </c>
      <c r="T17" s="18"/>
      <c r="U17" s="17" t="e">
        <v>#REF!</v>
      </c>
      <c r="V17" s="13" t="e">
        <v>#REF!</v>
      </c>
    </row>
    <row r="18" spans="5:24" ht="15.75" customHeight="1">
      <c r="E18" s="3"/>
      <c r="G18" s="3"/>
      <c r="K18" s="3"/>
      <c r="L18" s="3"/>
      <c r="M18" s="3"/>
      <c r="N18" s="3"/>
      <c r="P18" s="3" t="s">
        <v>37</v>
      </c>
      <c r="R18" s="6"/>
      <c r="S18" s="97"/>
      <c r="T18" s="9"/>
      <c r="U18" s="6"/>
      <c r="V18" s="6"/>
      <c r="W18" s="8"/>
      <c r="X18" s="8"/>
    </row>
    <row r="19" spans="1:18" ht="15.75" customHeight="1">
      <c r="A19" s="19"/>
      <c r="B19" s="19"/>
      <c r="C19" s="19"/>
      <c r="E19" s="3" t="s">
        <v>37</v>
      </c>
      <c r="G19" s="3"/>
      <c r="L19" s="79" t="s">
        <v>37</v>
      </c>
      <c r="M19" s="77"/>
      <c r="O19" s="3"/>
      <c r="R19" s="6"/>
    </row>
    <row r="20" spans="2:18" ht="15.75" customHeight="1">
      <c r="B20" s="78" t="s">
        <v>37</v>
      </c>
      <c r="E20" s="23"/>
      <c r="F20" s="77"/>
      <c r="G20" s="3"/>
      <c r="H20" s="3"/>
      <c r="K20" s="3"/>
      <c r="L20" s="83"/>
      <c r="M20" s="77"/>
      <c r="N20" s="3"/>
      <c r="P20" s="79"/>
      <c r="R20" s="6"/>
    </row>
    <row r="21" spans="1:22" s="2" customFormat="1" ht="32.25" customHeight="1">
      <c r="A21" s="37"/>
      <c r="B21" s="20"/>
      <c r="C21" s="80"/>
      <c r="D21" s="81"/>
      <c r="E21" s="23"/>
      <c r="F21" s="77"/>
      <c r="G21" s="20"/>
      <c r="H21" s="20"/>
      <c r="I21" s="20"/>
      <c r="J21" s="20"/>
      <c r="K21" s="20"/>
      <c r="L21" s="77"/>
      <c r="M21" s="38"/>
      <c r="N21" s="20"/>
      <c r="O21" s="20"/>
      <c r="P21" s="20"/>
      <c r="Q21" s="38"/>
      <c r="R21" s="6"/>
      <c r="S21" s="6"/>
      <c r="T21" s="6"/>
      <c r="U21" s="15"/>
      <c r="V21" s="11"/>
    </row>
    <row r="22" spans="1:22" s="2" customFormat="1" ht="32.25" customHeight="1">
      <c r="A22" s="37"/>
      <c r="B22" s="20"/>
      <c r="C22" s="20"/>
      <c r="D22" s="20"/>
      <c r="E22" s="23"/>
      <c r="F22" s="77"/>
      <c r="G22" s="20"/>
      <c r="H22" s="20"/>
      <c r="I22" s="20"/>
      <c r="J22" s="20"/>
      <c r="K22" s="20"/>
      <c r="L22" s="80"/>
      <c r="M22" s="38"/>
      <c r="N22" s="20"/>
      <c r="O22" s="20"/>
      <c r="P22" s="20"/>
      <c r="Q22" s="38"/>
      <c r="R22" s="6"/>
      <c r="S22" s="6"/>
      <c r="T22" s="6"/>
      <c r="U22" s="15"/>
      <c r="V22" s="11"/>
    </row>
    <row r="23" spans="1:22" s="2" customFormat="1" ht="32.25" customHeight="1">
      <c r="A23" s="37"/>
      <c r="B23" s="20"/>
      <c r="C23" s="20"/>
      <c r="D23" s="20"/>
      <c r="E23" s="23"/>
      <c r="F23" s="77"/>
      <c r="G23" s="20"/>
      <c r="H23" s="20"/>
      <c r="I23" s="20"/>
      <c r="J23" s="20"/>
      <c r="K23" s="20"/>
      <c r="L23" s="20"/>
      <c r="M23" s="38"/>
      <c r="N23" s="20"/>
      <c r="O23" s="20"/>
      <c r="P23" s="20"/>
      <c r="Q23" s="38"/>
      <c r="R23" s="6"/>
      <c r="S23" s="6"/>
      <c r="T23" s="6"/>
      <c r="U23" s="15"/>
      <c r="V23" s="11"/>
    </row>
    <row r="24" spans="1:22" s="2" customFormat="1" ht="32.25" customHeight="1">
      <c r="A24" s="37"/>
      <c r="B24" s="20"/>
      <c r="C24" s="20"/>
      <c r="D24" s="20" t="s">
        <v>48</v>
      </c>
      <c r="E24" s="23"/>
      <c r="F24" s="77"/>
      <c r="G24" s="20"/>
      <c r="H24" s="20"/>
      <c r="I24" s="20"/>
      <c r="J24" s="20"/>
      <c r="K24" s="20"/>
      <c r="L24" s="20"/>
      <c r="M24" s="38"/>
      <c r="N24" s="20"/>
      <c r="O24" s="20"/>
      <c r="P24" s="20"/>
      <c r="Q24" s="38"/>
      <c r="R24" s="6"/>
      <c r="S24" s="6"/>
      <c r="T24" s="6"/>
      <c r="U24" s="15"/>
      <c r="V24" s="11"/>
    </row>
    <row r="25" spans="1:18" ht="15.75" customHeight="1">
      <c r="A25" s="37"/>
      <c r="D25" s="39" t="s">
        <v>37</v>
      </c>
      <c r="E25" s="23"/>
      <c r="F25" s="77"/>
      <c r="G25" s="39"/>
      <c r="H25" s="39"/>
      <c r="I25" s="39"/>
      <c r="J25" s="39"/>
      <c r="K25" s="39"/>
      <c r="L25" s="20"/>
      <c r="M25" s="38"/>
      <c r="N25" s="4"/>
      <c r="O25" s="4"/>
      <c r="P25" s="4"/>
      <c r="Q25" s="6"/>
      <c r="R25" s="6"/>
    </row>
    <row r="26" spans="4:18" ht="15.75" customHeight="1">
      <c r="D26" s="4" t="s">
        <v>49</v>
      </c>
      <c r="E26" s="23"/>
      <c r="F26" s="77"/>
      <c r="G26" s="4"/>
      <c r="H26" s="4"/>
      <c r="K26" s="4"/>
      <c r="L26" s="4"/>
      <c r="M26" s="4"/>
      <c r="N26" s="4"/>
      <c r="O26" s="4"/>
      <c r="P26" s="4"/>
      <c r="Q26" s="6"/>
      <c r="R26" s="6"/>
    </row>
    <row r="27" spans="3:18" ht="15.75" customHeight="1">
      <c r="C27" s="39"/>
      <c r="D27" s="4"/>
      <c r="E27" s="23"/>
      <c r="F27" s="77"/>
      <c r="G27" s="4"/>
      <c r="H27" s="4"/>
      <c r="K27" s="4"/>
      <c r="L27" s="4"/>
      <c r="M27" s="4"/>
      <c r="N27" s="4"/>
      <c r="O27" s="4"/>
      <c r="P27" s="4"/>
      <c r="Q27" s="6"/>
      <c r="R27" s="6"/>
    </row>
    <row r="28" spans="5:8" ht="15.75" customHeight="1">
      <c r="E28" s="23"/>
      <c r="F28" s="77"/>
      <c r="G28" s="4"/>
      <c r="H28" s="4"/>
    </row>
    <row r="29" spans="5:8" ht="15.75" customHeight="1">
      <c r="E29" s="23"/>
      <c r="F29" s="77"/>
      <c r="G29" s="4"/>
      <c r="H29" s="4"/>
    </row>
    <row r="30" spans="5:8" ht="15.75" customHeight="1">
      <c r="E30" s="23"/>
      <c r="F30" s="77"/>
      <c r="G30" s="4"/>
      <c r="H30" s="4"/>
    </row>
    <row r="31" ht="15.75" customHeight="1"/>
    <row r="38" spans="13:14" ht="12.75">
      <c r="M38" s="3"/>
      <c r="N38" s="3"/>
    </row>
  </sheetData>
  <mergeCells count="3">
    <mergeCell ref="A1:X1"/>
    <mergeCell ref="U3:V3"/>
    <mergeCell ref="A2:O2"/>
  </mergeCells>
  <printOptions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46" r:id="rId2"/>
  <headerFooter alignWithMargins="0">
    <oddHeader>&amp;LPríloha č. 3 a&amp;RMinisterstvo financií SR
Sekcia európskych a medzinárodných záležitostí
Odbor platieb</oddHeader>
  </headerFooter>
  <ignoredErrors>
    <ignoredError sqref="G17" formula="1" formulaRange="1"/>
    <ignoredError sqref="K1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1"/>
  <sheetViews>
    <sheetView workbookViewId="0" topLeftCell="A4">
      <selection activeCell="I15" sqref="I15"/>
    </sheetView>
  </sheetViews>
  <sheetFormatPr defaultColWidth="9.140625" defaultRowHeight="12.75"/>
  <cols>
    <col min="2" max="2" width="23.7109375" style="0" customWidth="1"/>
    <col min="3" max="3" width="11.28125" style="0" customWidth="1"/>
    <col min="4" max="4" width="9.57421875" style="0" customWidth="1"/>
    <col min="5" max="5" width="12.57421875" style="0" customWidth="1"/>
    <col min="6" max="6" width="11.7109375" style="0" bestFit="1" customWidth="1"/>
  </cols>
  <sheetData>
    <row r="3" spans="2:6" ht="89.25">
      <c r="B3" s="95" t="s">
        <v>24</v>
      </c>
      <c r="C3" s="95" t="s">
        <v>44</v>
      </c>
      <c r="D3" s="95" t="s">
        <v>56</v>
      </c>
      <c r="E3" s="95" t="s">
        <v>57</v>
      </c>
      <c r="F3" s="95" t="s">
        <v>55</v>
      </c>
    </row>
    <row r="4" spans="2:6" ht="12.75">
      <c r="B4" s="85" t="s">
        <v>10</v>
      </c>
      <c r="C4" s="87">
        <v>151210683</v>
      </c>
      <c r="D4" s="94">
        <v>0.100779315506432</v>
      </c>
      <c r="E4" s="87">
        <v>43394976.57000002</v>
      </c>
      <c r="F4" s="90">
        <f>E4/C4</f>
        <v>0.2869835365402061</v>
      </c>
    </row>
    <row r="5" spans="2:6" ht="12.75">
      <c r="B5" s="85" t="s">
        <v>11</v>
      </c>
      <c r="C5" s="87">
        <v>284480923</v>
      </c>
      <c r="D5" s="94">
        <v>0.0744709232752314</v>
      </c>
      <c r="E5" s="87">
        <v>93030370.46000001</v>
      </c>
      <c r="F5" s="90">
        <f aca="true" t="shared" si="0" ref="F5:F14">E5/C5</f>
        <v>0.3270179577559934</v>
      </c>
    </row>
    <row r="6" spans="2:6" ht="12.75">
      <c r="B6" s="85" t="s">
        <v>12</v>
      </c>
      <c r="C6" s="87">
        <v>182987987</v>
      </c>
      <c r="D6" s="94">
        <v>0.0989181336258979</v>
      </c>
      <c r="E6" s="87">
        <v>24344097.099999964</v>
      </c>
      <c r="F6" s="90">
        <f t="shared" si="0"/>
        <v>0.13303658616671904</v>
      </c>
    </row>
    <row r="7" spans="2:6" ht="12.75">
      <c r="B7" s="85" t="s">
        <v>13</v>
      </c>
      <c r="C7" s="87">
        <v>422363452</v>
      </c>
      <c r="D7" s="94">
        <v>0.119999249461575</v>
      </c>
      <c r="E7" s="87">
        <v>98360507.26000005</v>
      </c>
      <c r="F7" s="90">
        <f t="shared" si="0"/>
        <v>0.2328811993420303</v>
      </c>
    </row>
    <row r="8" spans="2:6" ht="12.75">
      <c r="B8" s="85" t="s">
        <v>30</v>
      </c>
      <c r="C8" s="87">
        <v>37032713</v>
      </c>
      <c r="D8" s="94">
        <v>0.106475848258808</v>
      </c>
      <c r="E8" s="87">
        <v>11143428.370000001</v>
      </c>
      <c r="F8" s="90">
        <f t="shared" si="0"/>
        <v>0.3009076966626777</v>
      </c>
    </row>
    <row r="9" spans="2:6" ht="12.75">
      <c r="B9" s="85" t="s">
        <v>31</v>
      </c>
      <c r="C9" s="87">
        <v>37118134.12</v>
      </c>
      <c r="D9" s="94">
        <v>0.11144891898848</v>
      </c>
      <c r="E9" s="87">
        <v>20533419.689999998</v>
      </c>
      <c r="F9" s="90">
        <f t="shared" si="0"/>
        <v>0.5531910527511181</v>
      </c>
    </row>
    <row r="10" spans="2:6" ht="12.75">
      <c r="B10" s="85" t="s">
        <v>36</v>
      </c>
      <c r="C10" s="87">
        <v>8051928.49</v>
      </c>
      <c r="D10" s="94">
        <v>0.192509963419496</v>
      </c>
      <c r="E10" s="87">
        <v>2336008.95</v>
      </c>
      <c r="F10" s="90">
        <f t="shared" si="0"/>
        <v>0.2901179453967058</v>
      </c>
    </row>
    <row r="11" spans="2:6" ht="12.75">
      <c r="B11" s="85" t="s">
        <v>32</v>
      </c>
      <c r="C11" s="87">
        <v>9500000</v>
      </c>
      <c r="D11" s="94">
        <v>0.226579277894737</v>
      </c>
      <c r="E11" s="87">
        <v>1341902.84</v>
      </c>
      <c r="F11" s="90">
        <f t="shared" si="0"/>
        <v>0.1412529305263158</v>
      </c>
    </row>
    <row r="12" spans="2:6" ht="12.75">
      <c r="B12" s="85" t="s">
        <v>33</v>
      </c>
      <c r="C12" s="87">
        <v>4667299</v>
      </c>
      <c r="D12" s="94">
        <v>0.199314436465287</v>
      </c>
      <c r="E12" s="87">
        <v>757167.17</v>
      </c>
      <c r="F12" s="90">
        <f t="shared" si="0"/>
        <v>0.16222812594607716</v>
      </c>
    </row>
    <row r="13" spans="2:6" ht="12.75">
      <c r="B13" s="85" t="s">
        <v>34</v>
      </c>
      <c r="C13" s="87">
        <v>9500000</v>
      </c>
      <c r="D13" s="94">
        <v>0.168613788421053</v>
      </c>
      <c r="E13" s="87">
        <v>2540721.06</v>
      </c>
      <c r="F13" s="90">
        <f t="shared" si="0"/>
        <v>0.26744432210526314</v>
      </c>
    </row>
    <row r="14" spans="2:6" ht="12.75">
      <c r="B14" s="85" t="s">
        <v>35</v>
      </c>
      <c r="C14" s="88">
        <v>22266351</v>
      </c>
      <c r="D14" s="94">
        <v>0.0843508449139241</v>
      </c>
      <c r="E14" s="88">
        <v>7952668.390000001</v>
      </c>
      <c r="F14" s="90">
        <f t="shared" si="0"/>
        <v>0.35716082936085936</v>
      </c>
    </row>
    <row r="15" spans="2:6" ht="12.75">
      <c r="B15" s="86" t="s">
        <v>5</v>
      </c>
      <c r="C15" s="89">
        <f>SUM(C4:C14)</f>
        <v>1169179470.61</v>
      </c>
      <c r="D15" s="93">
        <v>0</v>
      </c>
      <c r="E15" s="89">
        <f>SUM(E4:E14)</f>
        <v>305735267.86</v>
      </c>
      <c r="F15" s="91">
        <f>E15/C15</f>
        <v>0.2614955834800005</v>
      </c>
    </row>
    <row r="20" spans="6:8" ht="15.75">
      <c r="F20" s="40">
        <v>61.22371479533624</v>
      </c>
      <c r="G20" s="40">
        <v>71.30164634597939</v>
      </c>
      <c r="H20" s="92">
        <f>G20-F20</f>
        <v>10.07793155064315</v>
      </c>
    </row>
    <row r="21" spans="6:8" ht="15.75">
      <c r="F21" s="40">
        <v>59.85111189687752</v>
      </c>
      <c r="G21" s="40">
        <v>67.29820422440066</v>
      </c>
      <c r="H21" s="92">
        <f aca="true" t="shared" si="1" ref="H21:H31">G21-F21</f>
        <v>7.447092327523144</v>
      </c>
    </row>
    <row r="22" spans="6:8" ht="15.75">
      <c r="F22" s="40">
        <v>76.80452802073832</v>
      </c>
      <c r="G22" s="40">
        <v>86.6963413833281</v>
      </c>
      <c r="H22" s="92">
        <f t="shared" si="1"/>
        <v>9.891813362589787</v>
      </c>
    </row>
    <row r="23" spans="6:8" ht="15.75">
      <c r="F23" s="40">
        <v>64.71195511963947</v>
      </c>
      <c r="G23" s="40">
        <v>76.71188006579698</v>
      </c>
      <c r="H23" s="92">
        <f t="shared" si="1"/>
        <v>11.999924946157506</v>
      </c>
    </row>
    <row r="24" spans="6:8" ht="15.75">
      <c r="F24" s="40">
        <v>59.2616455078514</v>
      </c>
      <c r="G24" s="40">
        <v>69.90923033373224</v>
      </c>
      <c r="H24" s="92">
        <f t="shared" si="1"/>
        <v>10.647584825880841</v>
      </c>
    </row>
    <row r="25" spans="6:8" ht="15.75">
      <c r="F25" s="40">
        <v>33.53600282604016</v>
      </c>
      <c r="G25" s="40">
        <v>44.68089472488818</v>
      </c>
      <c r="H25" s="92">
        <f t="shared" si="1"/>
        <v>11.144891898848016</v>
      </c>
    </row>
    <row r="26" spans="6:8" ht="15.75">
      <c r="F26" s="40">
        <v>50.905380816834644</v>
      </c>
      <c r="G26" s="40">
        <v>70.15637715878422</v>
      </c>
      <c r="H26" s="92">
        <f t="shared" si="1"/>
        <v>19.25099634194958</v>
      </c>
    </row>
    <row r="27" spans="6:8" ht="15.75">
      <c r="F27" s="40">
        <v>63.21677915789473</v>
      </c>
      <c r="G27" s="40">
        <v>85.87470694736841</v>
      </c>
      <c r="H27" s="92">
        <f t="shared" si="1"/>
        <v>22.657927789473682</v>
      </c>
    </row>
    <row r="28" spans="6:8" ht="15.75">
      <c r="F28" s="40">
        <v>63.845743758863534</v>
      </c>
      <c r="G28" s="40">
        <v>83.77718740539228</v>
      </c>
      <c r="H28" s="92">
        <f t="shared" si="1"/>
        <v>19.93144364652875</v>
      </c>
    </row>
    <row r="29" spans="6:8" ht="15.75">
      <c r="F29" s="40">
        <v>56.39418894736842</v>
      </c>
      <c r="G29" s="40">
        <v>73.25556778947369</v>
      </c>
      <c r="H29" s="92">
        <f t="shared" si="1"/>
        <v>16.861378842105267</v>
      </c>
    </row>
    <row r="30" spans="6:8" ht="15.75">
      <c r="F30" s="40">
        <v>55.84883257252165</v>
      </c>
      <c r="G30" s="40">
        <v>64.28391706391406</v>
      </c>
      <c r="H30" s="92">
        <f t="shared" si="1"/>
        <v>8.43508449139241</v>
      </c>
    </row>
    <row r="31" spans="6:8" ht="15.75">
      <c r="F31" s="33">
        <v>63.289763476081454</v>
      </c>
      <c r="G31" s="33">
        <v>73.84471300026739</v>
      </c>
      <c r="H31" s="33">
        <f t="shared" si="1"/>
        <v>10.554949524185936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Košík</dc:creator>
  <cp:keywords/>
  <dc:description/>
  <cp:lastModifiedBy>MFSR</cp:lastModifiedBy>
  <cp:lastPrinted>2008-06-25T06:06:04Z</cp:lastPrinted>
  <dcterms:created xsi:type="dcterms:W3CDTF">2005-01-18T12:45:53Z</dcterms:created>
  <dcterms:modified xsi:type="dcterms:W3CDTF">2008-06-25T07:30:18Z</dcterms:modified>
  <cp:category/>
  <cp:version/>
  <cp:contentType/>
  <cp:contentStatus/>
</cp:coreProperties>
</file>