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754" activeTab="2"/>
  </bookViews>
  <sheets>
    <sheet name="Pr1_dopravné výkony" sheetId="1" r:id="rId1"/>
    <sheet name="Pr2_poplatok za ŽDC" sheetId="2" r:id="rId2"/>
    <sheet name="Pr3-náklady" sheetId="3" r:id="rId3"/>
    <sheet name="Pr3a" sheetId="4" r:id="rId4"/>
    <sheet name="Pr4-Strata" sheetId="5" r:id="rId5"/>
    <sheet name="Pr4a" sheetId="6" r:id="rId6"/>
    <sheet name="Pr5" sheetId="7" r:id="rId7"/>
    <sheet name="Pr5a" sheetId="8" r:id="rId8"/>
    <sheet name="Pr6" sheetId="9" r:id="rId9"/>
  </sheets>
  <definedNames/>
  <calcPr fullCalcOnLoad="1"/>
</workbook>
</file>

<file path=xl/sharedStrings.xml><?xml version="1.0" encoding="utf-8"?>
<sst xmlns="http://schemas.openxmlformats.org/spreadsheetml/2006/main" count="421" uniqueCount="282">
  <si>
    <t>Plnenie ZVVZ v %</t>
  </si>
  <si>
    <t>ZVVZ 2002</t>
  </si>
  <si>
    <t>VLKM</t>
  </si>
  <si>
    <t>TIS.HRTKM</t>
  </si>
  <si>
    <t>TIS.HRT</t>
  </si>
  <si>
    <t>Skutočnosť 2002</t>
  </si>
  <si>
    <t xml:space="preserve">TIS.HRT </t>
  </si>
  <si>
    <t>VKLM</t>
  </si>
  <si>
    <t>Dopravné výkony celkom</t>
  </si>
  <si>
    <t xml:space="preserve">Osobná doprava </t>
  </si>
  <si>
    <t>Osobná doprava</t>
  </si>
  <si>
    <t xml:space="preserve">Nákladná  doprava </t>
  </si>
  <si>
    <t>Nákladná  doprava</t>
  </si>
  <si>
    <t>-</t>
  </si>
  <si>
    <t>Celkom</t>
  </si>
  <si>
    <t>v tom</t>
  </si>
  <si>
    <t>US Steel</t>
  </si>
  <si>
    <t>Spolu</t>
  </si>
  <si>
    <t>Železničná spoločnosť, a.s.</t>
  </si>
  <si>
    <t>VÝKONY</t>
  </si>
  <si>
    <t>TIS. HRT</t>
  </si>
  <si>
    <t>Osobná doprava  (vlaky)</t>
  </si>
  <si>
    <t>LV vlaky pre OD</t>
  </si>
  <si>
    <t>Osobná doprava spolu</t>
  </si>
  <si>
    <t>Nákladná doprava (vlaky)</t>
  </si>
  <si>
    <t>LV vlaky pre ND</t>
  </si>
  <si>
    <t>Nákladná doprava spolu</t>
  </si>
  <si>
    <t>Dopravné výkony vlaky</t>
  </si>
  <si>
    <t>LV vlaky</t>
  </si>
  <si>
    <t>Dopravné výkony ŽS, a.s. spolu</t>
  </si>
  <si>
    <t>Plnenie</t>
  </si>
  <si>
    <t>skutočnosť</t>
  </si>
  <si>
    <t>ZVVZ v %</t>
  </si>
  <si>
    <t>Železničná spoločnosť, a.s. spolu</t>
  </si>
  <si>
    <t>US STEEL</t>
  </si>
  <si>
    <t>Nákladná doprava US Steel spolu</t>
  </si>
  <si>
    <t>US STEEL spolu</t>
  </si>
  <si>
    <t>Výkony dopravcov celkom</t>
  </si>
  <si>
    <t>v tom LV vlaky</t>
  </si>
  <si>
    <t>Kalkulačná položka</t>
  </si>
  <si>
    <t>EON tis.Sk</t>
  </si>
  <si>
    <t>Skut. mínus</t>
  </si>
  <si>
    <t>Dopravná cesta celkom</t>
  </si>
  <si>
    <t>EON */</t>
  </si>
  <si>
    <t>ZVVZ</t>
  </si>
  <si>
    <t>1.Spotreba materiálu</t>
  </si>
  <si>
    <t>2.Spotreba energií</t>
  </si>
  <si>
    <t>3.Opravy a údržba</t>
  </si>
  <si>
    <t>4.Mzdové náklady</t>
  </si>
  <si>
    <t>5.Odpisy NIM a HIM</t>
  </si>
  <si>
    <t>6.Ostatné priame náklady</t>
  </si>
  <si>
    <t xml:space="preserve">   Zákonné soc. poistenie</t>
  </si>
  <si>
    <t xml:space="preserve">  Cestovné</t>
  </si>
  <si>
    <t xml:space="preserve">  Ostatné služby</t>
  </si>
  <si>
    <t xml:space="preserve">  Iné priame náklady</t>
  </si>
  <si>
    <t>7.Režijné náklady</t>
  </si>
  <si>
    <t xml:space="preserve">  Prevádzková réžia</t>
  </si>
  <si>
    <t xml:space="preserve">8.Finančné náklady </t>
  </si>
  <si>
    <t xml:space="preserve">  Úplné vlastné náklady</t>
  </si>
  <si>
    <t>9. Zisk</t>
  </si>
  <si>
    <t>Náklady na VVZ spolu</t>
  </si>
  <si>
    <t>merná jednotka</t>
  </si>
  <si>
    <t>Rok 1995</t>
  </si>
  <si>
    <t>Rok 1996</t>
  </si>
  <si>
    <t>Rok 1997</t>
  </si>
  <si>
    <t>Rok 1998</t>
  </si>
  <si>
    <t>Rok 1999</t>
  </si>
  <si>
    <t>Rok 2000</t>
  </si>
  <si>
    <t>Rok 2001</t>
  </si>
  <si>
    <t>Rok 2002</t>
  </si>
  <si>
    <t>km</t>
  </si>
  <si>
    <t>inflácia medziročný index</t>
  </si>
  <si>
    <t>(-)</t>
  </si>
  <si>
    <t>Prevádzková réžia skutočnosť 1995 */</t>
  </si>
  <si>
    <t>mil.Sk</t>
  </si>
  <si>
    <t>Prev.réžia/km siete  (EON)</t>
  </si>
  <si>
    <t>mil.Sk/km</t>
  </si>
  <si>
    <t>Prevádzková réžia celkom EON</t>
  </si>
  <si>
    <t>Správna réžia skutočnosť 1995 */</t>
  </si>
  <si>
    <t>Spr.réžia/km siete (EON)</t>
  </si>
  <si>
    <t>Správna réžia celkom EON</t>
  </si>
  <si>
    <t>Réžie spolu skutočnosť 1995</t>
  </si>
  <si>
    <t>Réžie spolu/km siete (EON)</t>
  </si>
  <si>
    <t>Réžie spolu - celkom EON</t>
  </si>
  <si>
    <t>Priame mzdy skutočnosť 1995</t>
  </si>
  <si>
    <t>Priame mzdy/km siete (EON)</t>
  </si>
  <si>
    <t>Priame mzdy celkom EON</t>
  </si>
  <si>
    <t>Príspevok na soc.poistenie skut.1995</t>
  </si>
  <si>
    <t>PSP/km siete (EON)</t>
  </si>
  <si>
    <t>Príspevok na soc.poistene celkom EON</t>
  </si>
  <si>
    <t>*/ = r. 1995 očistený o ENN a finančné náklady</t>
  </si>
  <si>
    <t>Ukazovateľ</t>
  </si>
  <si>
    <t>M.j.</t>
  </si>
  <si>
    <t>rok 2002</t>
  </si>
  <si>
    <t>Trate (vlakové úseky) celkom</t>
  </si>
  <si>
    <t>Dopravný výkon OD (Celkom)</t>
  </si>
  <si>
    <t>tis.vlkm</t>
  </si>
  <si>
    <t>Dopravný výkon ND (Celkom)</t>
  </si>
  <si>
    <t>mil.hrtkm</t>
  </si>
  <si>
    <t>Dopravný výkon ND US Steel</t>
  </si>
  <si>
    <t>tis.hrt</t>
  </si>
  <si>
    <t>%</t>
  </si>
  <si>
    <t>Úhrada zo ŠR - preddavok</t>
  </si>
  <si>
    <t>Strata nekrytá zo ŠR</t>
  </si>
  <si>
    <t>z toho</t>
  </si>
  <si>
    <t xml:space="preserve">z toho </t>
  </si>
  <si>
    <t>OD</t>
  </si>
  <si>
    <t>ND</t>
  </si>
  <si>
    <t>Priame náklady</t>
  </si>
  <si>
    <t>Úplné vlastné náklady</t>
  </si>
  <si>
    <t xml:space="preserve">Náklady na výkony VVZ </t>
  </si>
  <si>
    <t>Strata z výkonov vo VVZ</t>
  </si>
  <si>
    <t>Preddavok zo ŠR</t>
  </si>
  <si>
    <t>Nekrytá strata</t>
  </si>
  <si>
    <t>Pozn.</t>
  </si>
  <si>
    <t xml:space="preserve"> </t>
  </si>
  <si>
    <t>Finančné náklady - v  roku  2002</t>
  </si>
  <si>
    <t>(v tis. Sk)</t>
  </si>
  <si>
    <t>Účet</t>
  </si>
  <si>
    <t>Úvery so št.zárukou prijaté do 31.12.2001 **/</t>
  </si>
  <si>
    <t>Rozdiel */</t>
  </si>
  <si>
    <t>561-pred.cenné papiere</t>
  </si>
  <si>
    <t>562-úroky</t>
  </si>
  <si>
    <t>563-kurz.straty</t>
  </si>
  <si>
    <t>568-ost.fin.náklady</t>
  </si>
  <si>
    <t>574-tvorba rezervy</t>
  </si>
  <si>
    <t>579-tvorba opr.položiek</t>
  </si>
  <si>
    <t xml:space="preserve"> */  = Takto vykalkulované finančné náklady sú EON pre rok 2002</t>
  </si>
  <si>
    <t>**/ = konsolidačná funkcia</t>
  </si>
  <si>
    <t>602 - tržby z predaja služieb</t>
  </si>
  <si>
    <t>642 - tržby z predaja mater.</t>
  </si>
  <si>
    <t>644 - zmluvné pokuty</t>
  </si>
  <si>
    <t>648 - ostatné prev.výnosy</t>
  </si>
  <si>
    <t>659 - zúčtovanie opravn.položiek</t>
  </si>
  <si>
    <t>688 - ostatné mimor.výnosy</t>
  </si>
  <si>
    <t>66 finančné výnosy spolu</t>
  </si>
  <si>
    <t xml:space="preserve">  z toho:  662 -úroky</t>
  </si>
  <si>
    <t xml:space="preserve">              663 - kurz.zisky</t>
  </si>
  <si>
    <t xml:space="preserve">              665-výnosy z fin.investícií</t>
  </si>
  <si>
    <t xml:space="preserve">              668 - ostatné fin.výn.</t>
  </si>
  <si>
    <t xml:space="preserve">              674 - zúčt. rezervy</t>
  </si>
  <si>
    <t xml:space="preserve"> */  = Takto vykalkulované finančné výnosy sú EOV pre rok 2002</t>
  </si>
  <si>
    <t>Číslo účtu</t>
  </si>
  <si>
    <t>z toho EON</t>
  </si>
  <si>
    <t>Finančné náklady celkom</t>
  </si>
  <si>
    <t>z toho :</t>
  </si>
  <si>
    <t>1. Finančné náklady súvisiace s úvermi so štát.zárukou v evidencii k 1.1.2002</t>
  </si>
  <si>
    <t xml:space="preserve">     v tom :  EIB</t>
  </si>
  <si>
    <t xml:space="preserve">                 DePfa II</t>
  </si>
  <si>
    <t xml:space="preserve">                 J.P.Morgan ( Deutsche Bank )</t>
  </si>
  <si>
    <t xml:space="preserve">                 Tatra banka</t>
  </si>
  <si>
    <t xml:space="preserve">                 VÚB</t>
  </si>
  <si>
    <t xml:space="preserve">                 The Mizuho ( The Fuji Bank )</t>
  </si>
  <si>
    <t>2. Fin.náklady súvisiace s úvermi so štát.zárukou prijaté od 1.1.do 31.12.2002</t>
  </si>
  <si>
    <t xml:space="preserve">     v tom :  Konzorcium TABA + SLSP</t>
  </si>
  <si>
    <t xml:space="preserve">                 J.P.Morgan + Tatra banka</t>
  </si>
  <si>
    <t xml:space="preserve">                 Ľudová banka + Volksbank</t>
  </si>
  <si>
    <t>3. Finančné náklady súvisiace s úvermi bez štát.záruky</t>
  </si>
  <si>
    <t xml:space="preserve">     v tom :  DePfa III</t>
  </si>
  <si>
    <t xml:space="preserve">                 MF SR</t>
  </si>
  <si>
    <t xml:space="preserve">                 ČSOB - total</t>
  </si>
  <si>
    <t xml:space="preserve">                 Istrobanka</t>
  </si>
  <si>
    <t xml:space="preserve">                 Tatrabanka - ktk.</t>
  </si>
  <si>
    <t xml:space="preserve">                  PKB - ktk.</t>
  </si>
  <si>
    <t xml:space="preserve">                 Unibanka - ktk.</t>
  </si>
  <si>
    <t xml:space="preserve">                 Tatrabanka</t>
  </si>
  <si>
    <t xml:space="preserve">                 Slov. sporiteľna</t>
  </si>
  <si>
    <t xml:space="preserve">                 Poštová banka</t>
  </si>
  <si>
    <t xml:space="preserve">                 Citibank</t>
  </si>
  <si>
    <t xml:space="preserve">                 ČSOB</t>
  </si>
  <si>
    <t xml:space="preserve">                 SZRB</t>
  </si>
  <si>
    <t xml:space="preserve">                 PKB</t>
  </si>
  <si>
    <t>4. Kurzové straty z dôvodu inkasa pohľadávok a platba záväzkov</t>
  </si>
  <si>
    <t xml:space="preserve">5. Zúčtovanie kurzových rozdielov k účtom ÚS 21,22,25 a 26   </t>
  </si>
  <si>
    <t>6. Poistné</t>
  </si>
  <si>
    <t>7. Bankové výdavky</t>
  </si>
  <si>
    <t>8. Rezerva ku kurzovým stratám k záväzkom a pohľadávkam</t>
  </si>
  <si>
    <t>9. Tvorba opravných položiek</t>
  </si>
  <si>
    <t>Réžie- prehľad nákladov  podľa kalkulačného vzorca   ZVVZ  2002</t>
  </si>
  <si>
    <t>účet</t>
  </si>
  <si>
    <t>popis položky</t>
  </si>
  <si>
    <t>skutoč.-podielom</t>
  </si>
  <si>
    <t xml:space="preserve">z tohoENN </t>
  </si>
  <si>
    <t>materiál</t>
  </si>
  <si>
    <t>energie</t>
  </si>
  <si>
    <t xml:space="preserve">opravy a údržba </t>
  </si>
  <si>
    <t>cestovné</t>
  </si>
  <si>
    <t>iné nákl.-reprezen.</t>
  </si>
  <si>
    <t>ostané služby</t>
  </si>
  <si>
    <t>mzdy</t>
  </si>
  <si>
    <t>iné.nákl.-odmeny SR</t>
  </si>
  <si>
    <t>zákon.poistenie</t>
  </si>
  <si>
    <t>iné nákl.-ost.soc.poist.</t>
  </si>
  <si>
    <t>iné nákl.-zákon.soc.nákl.</t>
  </si>
  <si>
    <t>iné nákl.-ost.soc.nákl.</t>
  </si>
  <si>
    <t>iné nákl.-cestná daň</t>
  </si>
  <si>
    <t>iné nákl.-daň z nehnut.</t>
  </si>
  <si>
    <t>iné nákl.-ost.nepriam.dane</t>
  </si>
  <si>
    <t>iné nákl.-zost.pred.IM</t>
  </si>
  <si>
    <t>iné nákl.-pred.materiál+B20</t>
  </si>
  <si>
    <t>iné nákl.-dary</t>
  </si>
  <si>
    <t>iné nákl.-zmluv.pokuty a penále</t>
  </si>
  <si>
    <t>iné nákl.</t>
  </si>
  <si>
    <t>iné nákl.-ost.pokuty a pen.</t>
  </si>
  <si>
    <t>iné nákl.-ost.prev.nákl.</t>
  </si>
  <si>
    <t>odpisy inv.majetku</t>
  </si>
  <si>
    <t>iné nákl.-manká,ost.oprav.pol.</t>
  </si>
  <si>
    <t>iné nákl.-predaný materiál</t>
  </si>
  <si>
    <t>iné nákl-.odpočet prísp.VOJ</t>
  </si>
  <si>
    <t>iné nákl.-vnútropodnik.nákl.</t>
  </si>
  <si>
    <t>iné náklady spolu:</t>
  </si>
  <si>
    <t>Výnosy - poplatok za používanie ŽDC ŽS, a.s.</t>
  </si>
  <si>
    <t>Výnosy - poplatok za používanie ŽDC US Steel</t>
  </si>
  <si>
    <t>EON</t>
  </si>
  <si>
    <t>v  %</t>
  </si>
  <si>
    <t>ENN</t>
  </si>
  <si>
    <t>622 - aktiv.materiálu</t>
  </si>
  <si>
    <t>Rozsah zabezpečených dopravných výkonov, podľa objednávky dopravcov v roku 2002</t>
  </si>
  <si>
    <t>Výnosy v OD celkom</t>
  </si>
  <si>
    <t>v tom výnosy za LV pre OD</t>
  </si>
  <si>
    <t xml:space="preserve">Výnosy v ND celkom </t>
  </si>
  <si>
    <t>v tom výnosy za LV pre ND</t>
  </si>
  <si>
    <t>Výnosy v tis. Sk</t>
  </si>
  <si>
    <t>Výnosy za použitie dopravnej cesty</t>
  </si>
  <si>
    <t>celkom</t>
  </si>
  <si>
    <t>Výnosy od dopravcov celkom</t>
  </si>
  <si>
    <t>EON = ekonomicky oprávnané náklady</t>
  </si>
  <si>
    <t>ENN = ekonomicky neoprávnené náklady</t>
  </si>
  <si>
    <t xml:space="preserve">Ernst &amp; Young  </t>
  </si>
  <si>
    <t>ŽSR</t>
  </si>
  <si>
    <t>E&amp;Y</t>
  </si>
  <si>
    <t>skut.</t>
  </si>
  <si>
    <t xml:space="preserve">EON  </t>
  </si>
  <si>
    <t>plán</t>
  </si>
  <si>
    <t>Plnenie ZVVZ  v %</t>
  </si>
  <si>
    <t xml:space="preserve">  Skutočné </t>
  </si>
  <si>
    <t>náklady</t>
  </si>
  <si>
    <t xml:space="preserve">  Správna réžia </t>
  </si>
  <si>
    <t>z toho priame náklady</t>
  </si>
  <si>
    <t>Skutočné náklady na výkony vo verejnom záujme</t>
  </si>
  <si>
    <t xml:space="preserve">Výnosy z poplatku za ŽDC </t>
  </si>
  <si>
    <t>Výnosy spolu</t>
  </si>
  <si>
    <t>EON 1. fáza nápočtu:</t>
  </si>
  <si>
    <t xml:space="preserve">    Prevádzková réžia (PRR)</t>
  </si>
  <si>
    <t>Správna réžia (SPR)</t>
  </si>
  <si>
    <t>iné nákl-oprav.položky */</t>
  </si>
  <si>
    <t>Výsledné EON - viď príloha č.3a</t>
  </si>
  <si>
    <t>Podiel výnosov na celkových EON</t>
  </si>
  <si>
    <t>Podiel straty na celkových EON</t>
  </si>
  <si>
    <t xml:space="preserve">Strata z EON (po odpočítaní ENN) </t>
  </si>
  <si>
    <t>Podiel preddavku zo ŠR ku strate z EON</t>
  </si>
  <si>
    <t>Výnosy celkom</t>
  </si>
  <si>
    <t>Strata celkom zo skutočných nákladov</t>
  </si>
  <si>
    <t>Skutočné náklady celkom</t>
  </si>
  <si>
    <t>*/ = SPR po odpočte opravnej položky k pohľadávke voči štátu vo výške 2.538.180 tis.Sk</t>
  </si>
  <si>
    <t xml:space="preserve">Rozdiel plán podľa ZVVZ oproti </t>
  </si>
  <si>
    <t>Výsledné ENN</t>
  </si>
  <si>
    <t>Eliminácia pohľadávky z titulu mimoriadnych prepráv</t>
  </si>
  <si>
    <t>Ostatné výnosy z hlavnej činnosti, súvisiace s VVZ</t>
  </si>
  <si>
    <t>Stavebná dĺžka žel. siete celkom</t>
  </si>
  <si>
    <t>Eliminácia pohľ. z titulu mimoriadnych prepráv</t>
  </si>
  <si>
    <t>Ostatné výnosy a saldo z prenájmov</t>
  </si>
  <si>
    <t>Ostatné výnosy hlavnej činnosti (EOV), súvisiace s VVZ</t>
  </si>
  <si>
    <t>Prepočty réžií, priamych miezd a odvodov z miezd (ZSP) cez dĺžku žel. siete v km a infláciu od r. 1995</t>
  </si>
  <si>
    <t>Špecifikácia finančných nákladov v roku 2002 v tis.Sk</t>
  </si>
  <si>
    <t>Dopravný výkon ND ŽS, a.s. (vrátane LV vlakom)</t>
  </si>
  <si>
    <t>r. 2002</t>
  </si>
  <si>
    <t>z toho  EON */</t>
  </si>
  <si>
    <t>Saldo z činností - prenájom **/</t>
  </si>
  <si>
    <t>**/ = špecifikácia salda z činností prenájom - viď prílohu č. 13</t>
  </si>
  <si>
    <t>*/    = výsledné EON podľa výroku auditora Ernst&amp;Young</t>
  </si>
  <si>
    <t>Poznámka:</t>
  </si>
  <si>
    <t>tis.Sk</t>
  </si>
  <si>
    <t>Rozvrhovanie jednotlivých položiek ÚVN = podľa metodiky pre stanovenie ceny za použitie ŽDC</t>
  </si>
  <si>
    <t>Rozvrhovanie výnosov z poplatku za ŽDC = priame výnosy</t>
  </si>
  <si>
    <t>Rozvrhovanie finančných nákladov = v pomere podielu priamych nákladov OD a ND</t>
  </si>
  <si>
    <t>Rozvrhovanie preddavku zo ŠR a ostatných výnosov  = v pomere EON na OD a ND</t>
  </si>
  <si>
    <t>Osobná doprava */</t>
  </si>
  <si>
    <t>Nákladná doprava */</t>
  </si>
  <si>
    <t xml:space="preserve">      výkony nákladnej dopravy, vrátane výkonov LV vlakov pre nákladnú dopravu</t>
  </si>
  <si>
    <t>*/ = výkony osobnej dopravy, vrátane výkonov LV vlakov pre osobnú dopravu</t>
  </si>
  <si>
    <t>(mil.Sk)</t>
  </si>
</sst>
</file>

<file path=xl/styles.xml><?xml version="1.0" encoding="utf-8"?>
<styleSheet xmlns="http://schemas.openxmlformats.org/spreadsheetml/2006/main">
  <numFmts count="2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00000"/>
    <numFmt numFmtId="173" formatCode="#,##0.0000000"/>
    <numFmt numFmtId="174" formatCode="#,##0.0000"/>
    <numFmt numFmtId="175" formatCode="#,##0.000"/>
    <numFmt numFmtId="176" formatCode="0.000"/>
    <numFmt numFmtId="177" formatCode="0.0"/>
    <numFmt numFmtId="178" formatCode="#,##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#,##0.00000"/>
  </numFmts>
  <fonts count="32">
    <font>
      <sz val="10"/>
      <name val="Arial CE"/>
      <family val="0"/>
    </font>
    <font>
      <b/>
      <sz val="11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Arial"/>
      <family val="0"/>
    </font>
    <font>
      <i/>
      <sz val="10"/>
      <name val="Arial CE"/>
      <family val="2"/>
    </font>
    <font>
      <i/>
      <sz val="10"/>
      <name val="Arial"/>
      <family val="0"/>
    </font>
    <font>
      <sz val="11"/>
      <name val="Arial"/>
      <family val="0"/>
    </font>
    <font>
      <b/>
      <sz val="12"/>
      <name val="Arial CE"/>
      <family val="2"/>
    </font>
    <font>
      <sz val="9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9"/>
      <name val="Arial"/>
      <family val="0"/>
    </font>
    <font>
      <i/>
      <sz val="9"/>
      <name val="Arial CE"/>
      <family val="2"/>
    </font>
    <font>
      <i/>
      <sz val="9"/>
      <name val="Arial"/>
      <family val="0"/>
    </font>
    <font>
      <b/>
      <sz val="11"/>
      <name val="Times New Roman CE"/>
      <family val="1"/>
    </font>
    <font>
      <b/>
      <sz val="9"/>
      <name val="Times New Roman CE"/>
      <family val="1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1" xfId="0" applyNumberFormat="1" applyFont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172" fontId="3" fillId="3" borderId="1" xfId="0" applyNumberFormat="1" applyFont="1" applyFill="1" applyBorder="1" applyAlignment="1">
      <alignment vertical="center"/>
    </xf>
    <xf numFmtId="172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3" fontId="0" fillId="0" borderId="0" xfId="0" applyNumberFormat="1" applyFont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173" fontId="3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4" fontId="3" fillId="2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/>
    </xf>
    <xf numFmtId="173" fontId="3" fillId="3" borderId="1" xfId="0" applyNumberFormat="1" applyFont="1" applyFill="1" applyBorder="1" applyAlignment="1">
      <alignment vertical="center"/>
    </xf>
    <xf numFmtId="0" fontId="3" fillId="2" borderId="0" xfId="0" applyFont="1" applyFill="1" applyAlignment="1">
      <alignment/>
    </xf>
    <xf numFmtId="0" fontId="2" fillId="0" borderId="0" xfId="0" applyAlignment="1">
      <alignment vertical="center"/>
    </xf>
    <xf numFmtId="0" fontId="1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2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0" xfId="0" applyBorder="1" applyAlignment="1">
      <alignment/>
    </xf>
    <xf numFmtId="0" fontId="2" fillId="0" borderId="0" xfId="0" applyAlignment="1">
      <alignment/>
    </xf>
    <xf numFmtId="0" fontId="3" fillId="0" borderId="6" xfId="0" applyFont="1" applyFill="1" applyBorder="1" applyAlignment="1">
      <alignment horizontal="center"/>
    </xf>
    <xf numFmtId="3" fontId="3" fillId="0" borderId="7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2" fillId="0" borderId="7" xfId="0" applyNumberFormat="1" applyBorder="1" applyAlignment="1">
      <alignment/>
    </xf>
    <xf numFmtId="3" fontId="2" fillId="0" borderId="8" xfId="0" applyNumberFormat="1" applyBorder="1" applyAlignment="1">
      <alignment/>
    </xf>
    <xf numFmtId="3" fontId="2" fillId="0" borderId="9" xfId="0" applyNumberFormat="1" applyBorder="1" applyAlignment="1">
      <alignment/>
    </xf>
    <xf numFmtId="3" fontId="2" fillId="0" borderId="10" xfId="0" applyNumberFormat="1" applyBorder="1" applyAlignment="1">
      <alignment/>
    </xf>
    <xf numFmtId="0" fontId="13" fillId="0" borderId="0" xfId="0" applyFont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/>
    </xf>
    <xf numFmtId="0" fontId="2" fillId="0" borderId="0" xfId="0" applyAlignment="1">
      <alignment horizontal="center" vertical="center"/>
    </xf>
    <xf numFmtId="0" fontId="2" fillId="0" borderId="0" xfId="0" applyAlignment="1">
      <alignment horizontal="center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3" fontId="2" fillId="0" borderId="1" xfId="0" applyNumberFormat="1" applyBorder="1" applyAlignment="1">
      <alignment vertical="center"/>
    </xf>
    <xf numFmtId="3" fontId="2" fillId="0" borderId="8" xfId="0" applyNumberFormat="1" applyBorder="1" applyAlignment="1">
      <alignment vertical="center"/>
    </xf>
    <xf numFmtId="0" fontId="2" fillId="0" borderId="11" xfId="0" applyBorder="1" applyAlignment="1">
      <alignment vertical="center"/>
    </xf>
    <xf numFmtId="3" fontId="2" fillId="0" borderId="12" xfId="0" applyNumberFormat="1" applyBorder="1" applyAlignment="1">
      <alignment vertical="center"/>
    </xf>
    <xf numFmtId="3" fontId="2" fillId="0" borderId="13" xfId="0" applyNumberFormat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2" fillId="0" borderId="16" xfId="0" applyBorder="1" applyAlignment="1">
      <alignment vertical="center"/>
    </xf>
    <xf numFmtId="0" fontId="2" fillId="0" borderId="3" xfId="0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3" fontId="2" fillId="0" borderId="11" xfId="0" applyNumberFormat="1" applyBorder="1" applyAlignment="1">
      <alignment vertical="center"/>
    </xf>
    <xf numFmtId="3" fontId="2" fillId="0" borderId="18" xfId="0" applyNumberFormat="1" applyBorder="1" applyAlignment="1">
      <alignment vertical="center"/>
    </xf>
    <xf numFmtId="0" fontId="2" fillId="0" borderId="19" xfId="0" applyBorder="1" applyAlignment="1">
      <alignment vertical="center"/>
    </xf>
    <xf numFmtId="3" fontId="2" fillId="0" borderId="20" xfId="0" applyNumberFormat="1" applyBorder="1" applyAlignment="1">
      <alignment vertical="center"/>
    </xf>
    <xf numFmtId="3" fontId="2" fillId="0" borderId="2" xfId="0" applyNumberFormat="1" applyBorder="1" applyAlignment="1">
      <alignment vertical="center"/>
    </xf>
    <xf numFmtId="3" fontId="2" fillId="0" borderId="10" xfId="0" applyNumberFormat="1" applyBorder="1" applyAlignment="1">
      <alignment vertical="center"/>
    </xf>
    <xf numFmtId="0" fontId="15" fillId="0" borderId="21" xfId="0" applyFont="1" applyBorder="1" applyAlignment="1">
      <alignment vertical="center"/>
    </xf>
    <xf numFmtId="3" fontId="15" fillId="0" borderId="17" xfId="0" applyNumberFormat="1" applyFont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3" fontId="15" fillId="3" borderId="15" xfId="0" applyNumberFormat="1" applyFont="1" applyFill="1" applyBorder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2" fillId="0" borderId="12" xfId="0" applyBorder="1" applyAlignment="1">
      <alignment vertical="center"/>
    </xf>
    <xf numFmtId="0" fontId="2" fillId="0" borderId="13" xfId="0" applyBorder="1" applyAlignment="1">
      <alignment vertical="center"/>
    </xf>
    <xf numFmtId="0" fontId="16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3" fontId="3" fillId="3" borderId="25" xfId="0" applyNumberFormat="1" applyFont="1" applyFill="1" applyBorder="1" applyAlignment="1">
      <alignment vertical="center"/>
    </xf>
    <xf numFmtId="3" fontId="3" fillId="3" borderId="26" xfId="0" applyNumberFormat="1" applyFont="1" applyFill="1" applyBorder="1" applyAlignment="1">
      <alignment vertical="center"/>
    </xf>
    <xf numFmtId="2" fontId="3" fillId="3" borderId="25" xfId="0" applyNumberFormat="1" applyFont="1" applyFill="1" applyBorder="1" applyAlignment="1">
      <alignment horizontal="center" vertical="center"/>
    </xf>
    <xf numFmtId="2" fontId="3" fillId="3" borderId="26" xfId="0" applyNumberFormat="1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vertical="center"/>
    </xf>
    <xf numFmtId="3" fontId="3" fillId="3" borderId="24" xfId="0" applyNumberFormat="1" applyFont="1" applyFill="1" applyBorder="1" applyAlignment="1">
      <alignment vertical="center"/>
    </xf>
    <xf numFmtId="2" fontId="3" fillId="3" borderId="30" xfId="0" applyNumberFormat="1" applyFont="1" applyFill="1" applyBorder="1" applyAlignment="1">
      <alignment horizontal="center" vertical="center"/>
    </xf>
    <xf numFmtId="178" fontId="3" fillId="3" borderId="25" xfId="0" applyNumberFormat="1" applyFont="1" applyFill="1" applyBorder="1" applyAlignment="1">
      <alignment vertical="center"/>
    </xf>
    <xf numFmtId="178" fontId="3" fillId="3" borderId="24" xfId="0" applyNumberFormat="1" applyFont="1" applyFill="1" applyBorder="1" applyAlignment="1">
      <alignment vertical="center"/>
    </xf>
    <xf numFmtId="178" fontId="3" fillId="3" borderId="26" xfId="0" applyNumberFormat="1" applyFont="1" applyFill="1" applyBorder="1" applyAlignment="1">
      <alignment vertical="center"/>
    </xf>
    <xf numFmtId="0" fontId="3" fillId="0" borderId="26" xfId="0" applyFont="1" applyBorder="1" applyAlignment="1">
      <alignment horizontal="center"/>
    </xf>
    <xf numFmtId="0" fontId="17" fillId="0" borderId="31" xfId="0" applyFont="1" applyBorder="1" applyAlignment="1">
      <alignment horizontal="centerContinuous"/>
    </xf>
    <xf numFmtId="0" fontId="17" fillId="0" borderId="32" xfId="0" applyFont="1" applyBorder="1" applyAlignment="1">
      <alignment horizontal="centerContinuous"/>
    </xf>
    <xf numFmtId="0" fontId="17" fillId="0" borderId="33" xfId="0" applyFont="1" applyBorder="1" applyAlignment="1">
      <alignment horizontal="centerContinuous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3" fontId="16" fillId="0" borderId="12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0" fontId="17" fillId="0" borderId="0" xfId="0" applyFont="1" applyAlignment="1">
      <alignment/>
    </xf>
    <xf numFmtId="0" fontId="1" fillId="3" borderId="28" xfId="0" applyFont="1" applyFill="1" applyBorder="1" applyAlignment="1">
      <alignment/>
    </xf>
    <xf numFmtId="178" fontId="1" fillId="3" borderId="27" xfId="0" applyNumberFormat="1" applyFont="1" applyFill="1" applyBorder="1" applyAlignment="1">
      <alignment/>
    </xf>
    <xf numFmtId="0" fontId="16" fillId="0" borderId="34" xfId="0" applyFont="1" applyBorder="1" applyAlignment="1">
      <alignment/>
    </xf>
    <xf numFmtId="3" fontId="16" fillId="0" borderId="11" xfId="0" applyNumberFormat="1" applyFont="1" applyBorder="1" applyAlignment="1">
      <alignment/>
    </xf>
    <xf numFmtId="0" fontId="16" fillId="0" borderId="19" xfId="0" applyFont="1" applyBorder="1" applyAlignment="1">
      <alignment/>
    </xf>
    <xf numFmtId="3" fontId="16" fillId="0" borderId="20" xfId="0" applyNumberFormat="1" applyFont="1" applyBorder="1" applyAlignment="1">
      <alignment/>
    </xf>
    <xf numFmtId="3" fontId="16" fillId="0" borderId="2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0" fontId="17" fillId="0" borderId="21" xfId="0" applyFont="1" applyBorder="1" applyAlignment="1">
      <alignment/>
    </xf>
    <xf numFmtId="3" fontId="17" fillId="0" borderId="17" xfId="0" applyNumberFormat="1" applyFont="1" applyBorder="1" applyAlignment="1">
      <alignment/>
    </xf>
    <xf numFmtId="3" fontId="17" fillId="0" borderId="14" xfId="0" applyNumberFormat="1" applyFont="1" applyBorder="1" applyAlignment="1">
      <alignment/>
    </xf>
    <xf numFmtId="3" fontId="17" fillId="0" borderId="15" xfId="0" applyNumberFormat="1" applyFont="1" applyBorder="1" applyAlignment="1">
      <alignment/>
    </xf>
    <xf numFmtId="4" fontId="1" fillId="3" borderId="28" xfId="0" applyNumberFormat="1" applyFont="1" applyFill="1" applyBorder="1" applyAlignment="1">
      <alignment horizontal="center"/>
    </xf>
    <xf numFmtId="178" fontId="1" fillId="3" borderId="15" xfId="0" applyNumberFormat="1" applyFont="1" applyFill="1" applyBorder="1" applyAlignment="1">
      <alignment/>
    </xf>
    <xf numFmtId="4" fontId="1" fillId="3" borderId="35" xfId="0" applyNumberFormat="1" applyFont="1" applyFill="1" applyBorder="1" applyAlignment="1">
      <alignment horizontal="center"/>
    </xf>
    <xf numFmtId="4" fontId="18" fillId="0" borderId="36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178" fontId="0" fillId="0" borderId="32" xfId="0" applyNumberFormat="1" applyBorder="1" applyAlignment="1">
      <alignment/>
    </xf>
    <xf numFmtId="178" fontId="0" fillId="0" borderId="33" xfId="0" applyNumberFormat="1" applyBorder="1" applyAlignment="1">
      <alignment horizontal="center"/>
    </xf>
    <xf numFmtId="0" fontId="0" fillId="0" borderId="18" xfId="0" applyBorder="1" applyAlignment="1">
      <alignment/>
    </xf>
    <xf numFmtId="178" fontId="0" fillId="0" borderId="8" xfId="0" applyNumberForma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178" fontId="0" fillId="0" borderId="25" xfId="0" applyNumberFormat="1" applyBorder="1" applyAlignment="1">
      <alignment/>
    </xf>
    <xf numFmtId="178" fontId="0" fillId="0" borderId="26" xfId="0" applyNumberFormat="1" applyBorder="1" applyAlignment="1">
      <alignment horizontal="center"/>
    </xf>
    <xf numFmtId="175" fontId="0" fillId="0" borderId="1" xfId="0" applyNumberFormat="1" applyBorder="1" applyAlignment="1">
      <alignment/>
    </xf>
    <xf numFmtId="0" fontId="0" fillId="3" borderId="1" xfId="0" applyFill="1" applyBorder="1" applyAlignment="1">
      <alignment horizontal="center"/>
    </xf>
    <xf numFmtId="175" fontId="11" fillId="3" borderId="1" xfId="0" applyNumberFormat="1" applyFont="1" applyFill="1" applyBorder="1" applyAlignment="1">
      <alignment/>
    </xf>
    <xf numFmtId="175" fontId="0" fillId="0" borderId="32" xfId="0" applyNumberFormat="1" applyBorder="1" applyAlignment="1">
      <alignment/>
    </xf>
    <xf numFmtId="0" fontId="11" fillId="3" borderId="18" xfId="0" applyFont="1" applyFill="1" applyBorder="1" applyAlignment="1">
      <alignment/>
    </xf>
    <xf numFmtId="175" fontId="0" fillId="0" borderId="25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0" applyNumberFormat="1" applyBorder="1" applyAlignment="1">
      <alignment/>
    </xf>
    <xf numFmtId="175" fontId="0" fillId="0" borderId="0" xfId="0" applyNumberFormat="1" applyBorder="1" applyAlignment="1">
      <alignment/>
    </xf>
    <xf numFmtId="0" fontId="11" fillId="3" borderId="24" xfId="0" applyFont="1" applyFill="1" applyBorder="1" applyAlignment="1">
      <alignment/>
    </xf>
    <xf numFmtId="175" fontId="11" fillId="3" borderId="25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0" fontId="11" fillId="3" borderId="1" xfId="0" applyFont="1" applyFill="1" applyBorder="1" applyAlignment="1">
      <alignment horizontal="center"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 horizontal="center"/>
    </xf>
    <xf numFmtId="175" fontId="11" fillId="0" borderId="32" xfId="0" applyNumberFormat="1" applyFont="1" applyBorder="1" applyAlignment="1">
      <alignment/>
    </xf>
    <xf numFmtId="0" fontId="19" fillId="0" borderId="0" xfId="0" applyFont="1" applyAlignment="1">
      <alignment/>
    </xf>
    <xf numFmtId="0" fontId="11" fillId="3" borderId="25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24" fillId="0" borderId="38" xfId="0" applyFont="1" applyBorder="1" applyAlignment="1">
      <alignment/>
    </xf>
    <xf numFmtId="0" fontId="24" fillId="0" borderId="39" xfId="0" applyFont="1" applyBorder="1" applyAlignment="1">
      <alignment horizontal="centerContinuous"/>
    </xf>
    <xf numFmtId="0" fontId="24" fillId="0" borderId="32" xfId="0" applyFont="1" applyBorder="1" applyAlignment="1">
      <alignment horizontal="centerContinuous"/>
    </xf>
    <xf numFmtId="0" fontId="24" fillId="0" borderId="33" xfId="0" applyFont="1" applyBorder="1" applyAlignment="1">
      <alignment horizontal="centerContinuous"/>
    </xf>
    <xf numFmtId="0" fontId="24" fillId="0" borderId="40" xfId="0" applyFont="1" applyBorder="1" applyAlignment="1">
      <alignment horizontal="centerContinuous"/>
    </xf>
    <xf numFmtId="0" fontId="24" fillId="0" borderId="41" xfId="0" applyFont="1" applyBorder="1" applyAlignment="1">
      <alignment/>
    </xf>
    <xf numFmtId="0" fontId="24" fillId="0" borderId="9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5" fillId="0" borderId="42" xfId="0" applyFont="1" applyBorder="1" applyAlignment="1">
      <alignment/>
    </xf>
    <xf numFmtId="3" fontId="25" fillId="0" borderId="43" xfId="0" applyNumberFormat="1" applyFont="1" applyBorder="1" applyAlignment="1">
      <alignment/>
    </xf>
    <xf numFmtId="3" fontId="25" fillId="0" borderId="12" xfId="0" applyNumberFormat="1" applyFont="1" applyBorder="1" applyAlignment="1">
      <alignment/>
    </xf>
    <xf numFmtId="3" fontId="25" fillId="0" borderId="13" xfId="0" applyNumberFormat="1" applyFont="1" applyBorder="1" applyAlignment="1">
      <alignment/>
    </xf>
    <xf numFmtId="3" fontId="25" fillId="0" borderId="44" xfId="0" applyNumberFormat="1" applyFont="1" applyBorder="1" applyAlignment="1">
      <alignment/>
    </xf>
    <xf numFmtId="3" fontId="24" fillId="0" borderId="42" xfId="0" applyNumberFormat="1" applyFont="1" applyBorder="1" applyAlignment="1">
      <alignment/>
    </xf>
    <xf numFmtId="0" fontId="24" fillId="0" borderId="45" xfId="0" applyFont="1" applyBorder="1" applyAlignment="1">
      <alignment/>
    </xf>
    <xf numFmtId="3" fontId="24" fillId="0" borderId="7" xfId="0" applyNumberFormat="1" applyFont="1" applyBorder="1" applyAlignment="1">
      <alignment/>
    </xf>
    <xf numFmtId="3" fontId="24" fillId="0" borderId="1" xfId="0" applyNumberFormat="1" applyFont="1" applyBorder="1" applyAlignment="1">
      <alignment/>
    </xf>
    <xf numFmtId="3" fontId="24" fillId="0" borderId="8" xfId="0" applyNumberFormat="1" applyFont="1" applyBorder="1" applyAlignment="1">
      <alignment/>
    </xf>
    <xf numFmtId="3" fontId="24" fillId="0" borderId="46" xfId="0" applyNumberFormat="1" applyFont="1" applyBorder="1" applyAlignment="1">
      <alignment/>
    </xf>
    <xf numFmtId="3" fontId="24" fillId="0" borderId="45" xfId="0" applyNumberFormat="1" applyFont="1" applyBorder="1" applyAlignment="1">
      <alignment/>
    </xf>
    <xf numFmtId="0" fontId="25" fillId="0" borderId="45" xfId="0" applyFont="1" applyBorder="1" applyAlignment="1">
      <alignment/>
    </xf>
    <xf numFmtId="3" fontId="25" fillId="0" borderId="7" xfId="0" applyNumberFormat="1" applyFont="1" applyBorder="1" applyAlignment="1">
      <alignment/>
    </xf>
    <xf numFmtId="3" fontId="25" fillId="0" borderId="1" xfId="0" applyNumberFormat="1" applyFont="1" applyBorder="1" applyAlignment="1">
      <alignment/>
    </xf>
    <xf numFmtId="3" fontId="25" fillId="0" borderId="8" xfId="0" applyNumberFormat="1" applyFont="1" applyBorder="1" applyAlignment="1">
      <alignment/>
    </xf>
    <xf numFmtId="3" fontId="25" fillId="0" borderId="46" xfId="0" applyNumberFormat="1" applyFont="1" applyBorder="1" applyAlignment="1">
      <alignment/>
    </xf>
    <xf numFmtId="0" fontId="24" fillId="0" borderId="47" xfId="0" applyFont="1" applyBorder="1" applyAlignment="1">
      <alignment/>
    </xf>
    <xf numFmtId="3" fontId="25" fillId="0" borderId="30" xfId="0" applyNumberFormat="1" applyFont="1" applyBorder="1" applyAlignment="1">
      <alignment/>
    </xf>
    <xf numFmtId="3" fontId="25" fillId="0" borderId="25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3" fontId="24" fillId="0" borderId="26" xfId="0" applyNumberFormat="1" applyFont="1" applyBorder="1" applyAlignment="1">
      <alignment/>
    </xf>
    <xf numFmtId="3" fontId="24" fillId="0" borderId="48" xfId="0" applyNumberFormat="1" applyFont="1" applyBorder="1" applyAlignment="1">
      <alignment/>
    </xf>
    <xf numFmtId="3" fontId="24" fillId="0" borderId="47" xfId="0" applyNumberFormat="1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/>
    </xf>
    <xf numFmtId="175" fontId="0" fillId="0" borderId="50" xfId="0" applyNumberFormat="1" applyBorder="1" applyAlignment="1">
      <alignment/>
    </xf>
    <xf numFmtId="0" fontId="3" fillId="0" borderId="22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3" fontId="2" fillId="0" borderId="43" xfId="0" applyNumberFormat="1" applyBorder="1" applyAlignment="1">
      <alignment/>
    </xf>
    <xf numFmtId="3" fontId="2" fillId="0" borderId="13" xfId="0" applyNumberFormat="1" applyBorder="1" applyAlignment="1">
      <alignment/>
    </xf>
    <xf numFmtId="0" fontId="3" fillId="0" borderId="19" xfId="0" applyFont="1" applyBorder="1" applyAlignment="1">
      <alignment vertical="center"/>
    </xf>
    <xf numFmtId="0" fontId="17" fillId="0" borderId="51" xfId="0" applyFont="1" applyBorder="1" applyAlignment="1">
      <alignment horizontal="center" vertical="top"/>
    </xf>
    <xf numFmtId="0" fontId="17" fillId="0" borderId="22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7" fillId="2" borderId="52" xfId="0" applyFont="1" applyFill="1" applyBorder="1" applyAlignment="1">
      <alignment horizontal="center" vertical="center"/>
    </xf>
    <xf numFmtId="3" fontId="17" fillId="0" borderId="0" xfId="0" applyNumberFormat="1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2" fontId="17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0" borderId="23" xfId="0" applyFont="1" applyBorder="1" applyAlignment="1">
      <alignment horizontal="center" wrapText="1"/>
    </xf>
    <xf numFmtId="0" fontId="17" fillId="0" borderId="50" xfId="0" applyFont="1" applyBorder="1" applyAlignment="1">
      <alignment horizontal="center" vertical="top"/>
    </xf>
    <xf numFmtId="0" fontId="17" fillId="0" borderId="4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  <xf numFmtId="0" fontId="17" fillId="2" borderId="54" xfId="0" applyFont="1" applyFill="1" applyBorder="1" applyAlignment="1">
      <alignment horizontal="center" vertical="top"/>
    </xf>
    <xf numFmtId="0" fontId="3" fillId="0" borderId="1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7" fillId="0" borderId="5" xfId="0" applyFont="1" applyBorder="1" applyAlignment="1">
      <alignment horizontal="center" wrapText="1"/>
    </xf>
    <xf numFmtId="0" fontId="17" fillId="0" borderId="55" xfId="0" applyFont="1" applyBorder="1" applyAlignment="1">
      <alignment horizontal="center" wrapText="1"/>
    </xf>
    <xf numFmtId="0" fontId="17" fillId="0" borderId="37" xfId="0" applyFont="1" applyFill="1" applyBorder="1" applyAlignment="1">
      <alignment horizontal="center" vertical="top"/>
    </xf>
    <xf numFmtId="0" fontId="17" fillId="0" borderId="56" xfId="0" applyFont="1" applyFill="1" applyBorder="1" applyAlignment="1">
      <alignment horizontal="center" vertical="top"/>
    </xf>
    <xf numFmtId="0" fontId="26" fillId="0" borderId="6" xfId="0" applyFont="1" applyBorder="1" applyAlignment="1">
      <alignment horizontal="center" vertical="top"/>
    </xf>
    <xf numFmtId="2" fontId="13" fillId="0" borderId="31" xfId="0" applyNumberFormat="1" applyFont="1" applyBorder="1" applyAlignment="1">
      <alignment horizontal="center" vertical="center"/>
    </xf>
    <xf numFmtId="2" fontId="13" fillId="0" borderId="33" xfId="0" applyNumberFormat="1" applyFont="1" applyBorder="1" applyAlignment="1">
      <alignment horizontal="center" vertical="center"/>
    </xf>
    <xf numFmtId="2" fontId="13" fillId="0" borderId="18" xfId="0" applyNumberFormat="1" applyFont="1" applyBorder="1" applyAlignment="1">
      <alignment horizontal="center" vertical="center"/>
    </xf>
    <xf numFmtId="2" fontId="13" fillId="0" borderId="8" xfId="0" applyNumberFormat="1" applyFont="1" applyBorder="1" applyAlignment="1">
      <alignment horizontal="center" vertical="center"/>
    </xf>
    <xf numFmtId="2" fontId="28" fillId="0" borderId="18" xfId="0" applyNumberFormat="1" applyFont="1" applyBorder="1" applyAlignment="1">
      <alignment horizontal="center" vertical="center"/>
    </xf>
    <xf numFmtId="2" fontId="28" fillId="0" borderId="8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3" fontId="10" fillId="0" borderId="52" xfId="0" applyNumberFormat="1" applyFont="1" applyBorder="1" applyAlignment="1">
      <alignment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3" fontId="28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7" fillId="2" borderId="5" xfId="0" applyFont="1" applyFill="1" applyBorder="1" applyAlignment="1">
      <alignment horizontal="center"/>
    </xf>
    <xf numFmtId="0" fontId="17" fillId="2" borderId="57" xfId="0" applyFont="1" applyFill="1" applyBorder="1" applyAlignment="1">
      <alignment horizontal="center"/>
    </xf>
    <xf numFmtId="0" fontId="17" fillId="2" borderId="58" xfId="0" applyFont="1" applyFill="1" applyBorder="1" applyAlignment="1">
      <alignment horizontal="center" vertical="top"/>
    </xf>
    <xf numFmtId="2" fontId="10" fillId="0" borderId="17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0" fontId="1" fillId="3" borderId="22" xfId="0" applyFont="1" applyFill="1" applyBorder="1" applyAlignment="1">
      <alignment vertical="center"/>
    </xf>
    <xf numFmtId="0" fontId="18" fillId="0" borderId="21" xfId="0" applyFont="1" applyBorder="1" applyAlignment="1">
      <alignment vertical="center"/>
    </xf>
    <xf numFmtId="3" fontId="10" fillId="3" borderId="23" xfId="0" applyNumberFormat="1" applyFont="1" applyFill="1" applyBorder="1" applyAlignment="1">
      <alignment vertical="center"/>
    </xf>
    <xf numFmtId="2" fontId="7" fillId="3" borderId="57" xfId="0" applyNumberFormat="1" applyFont="1" applyFill="1" applyBorder="1" applyAlignment="1">
      <alignment horizontal="center" vertical="center"/>
    </xf>
    <xf numFmtId="2" fontId="7" fillId="3" borderId="59" xfId="0" applyNumberFormat="1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0" fontId="3" fillId="0" borderId="35" xfId="0" applyFont="1" applyBorder="1" applyAlignment="1">
      <alignment horizontal="center"/>
    </xf>
    <xf numFmtId="175" fontId="0" fillId="0" borderId="0" xfId="0" applyNumberFormat="1" applyAlignment="1">
      <alignment/>
    </xf>
    <xf numFmtId="0" fontId="0" fillId="3" borderId="25" xfId="0" applyFill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3" fillId="3" borderId="26" xfId="0" applyNumberFormat="1" applyFont="1" applyFill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3" fillId="3" borderId="8" xfId="0" applyNumberFormat="1" applyFont="1" applyFill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54" xfId="0" applyNumberFormat="1" applyBorder="1" applyAlignment="1">
      <alignment horizontal="center"/>
    </xf>
    <xf numFmtId="4" fontId="3" fillId="0" borderId="33" xfId="0" applyNumberFormat="1" applyFont="1" applyBorder="1" applyAlignment="1">
      <alignment horizontal="center"/>
    </xf>
    <xf numFmtId="3" fontId="2" fillId="0" borderId="60" xfId="0" applyNumberFormat="1" applyBorder="1" applyAlignment="1">
      <alignment/>
    </xf>
    <xf numFmtId="3" fontId="2" fillId="0" borderId="61" xfId="0" applyNumberForma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3" fillId="0" borderId="3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/>
    </xf>
    <xf numFmtId="3" fontId="11" fillId="0" borderId="8" xfId="0" applyNumberFormat="1" applyFont="1" applyFill="1" applyBorder="1" applyAlignment="1">
      <alignment vertical="center"/>
    </xf>
    <xf numFmtId="0" fontId="23" fillId="0" borderId="62" xfId="0" applyFont="1" applyBorder="1" applyAlignment="1">
      <alignment horizontal="center" vertical="center"/>
    </xf>
    <xf numFmtId="3" fontId="23" fillId="0" borderId="63" xfId="0" applyNumberFormat="1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3" fontId="23" fillId="0" borderId="62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3" fontId="23" fillId="0" borderId="18" xfId="0" applyNumberFormat="1" applyFont="1" applyBorder="1" applyAlignment="1">
      <alignment horizontal="center" vertical="center"/>
    </xf>
    <xf numFmtId="3" fontId="22" fillId="0" borderId="8" xfId="0" applyNumberFormat="1" applyFont="1" applyBorder="1" applyAlignment="1">
      <alignment horizontal="center" vertical="center"/>
    </xf>
    <xf numFmtId="3" fontId="22" fillId="0" borderId="18" xfId="0" applyNumberFormat="1" applyFont="1" applyBorder="1" applyAlignment="1">
      <alignment horizontal="center" vertical="center"/>
    </xf>
    <xf numFmtId="3" fontId="22" fillId="0" borderId="18" xfId="0" applyNumberFormat="1" applyFont="1" applyFill="1" applyBorder="1" applyAlignment="1">
      <alignment horizontal="center" vertical="center"/>
    </xf>
    <xf numFmtId="3" fontId="22" fillId="0" borderId="8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64" xfId="0" applyNumberFormat="1" applyFont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3" fontId="22" fillId="0" borderId="64" xfId="0" applyNumberFormat="1" applyFont="1" applyFill="1" applyBorder="1" applyAlignment="1">
      <alignment horizontal="center" vertical="center"/>
    </xf>
    <xf numFmtId="3" fontId="22" fillId="0" borderId="3" xfId="0" applyNumberFormat="1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2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3" fillId="0" borderId="1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3" fontId="22" fillId="0" borderId="0" xfId="0" applyNumberFormat="1" applyFont="1" applyAlignment="1">
      <alignment vertical="center"/>
    </xf>
    <xf numFmtId="0" fontId="23" fillId="0" borderId="21" xfId="0" applyFont="1" applyBorder="1" applyAlignment="1">
      <alignment vertical="center"/>
    </xf>
    <xf numFmtId="3" fontId="22" fillId="0" borderId="35" xfId="0" applyNumberFormat="1" applyFont="1" applyBorder="1" applyAlignment="1">
      <alignment vertical="center"/>
    </xf>
    <xf numFmtId="0" fontId="23" fillId="0" borderId="63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3" fontId="23" fillId="0" borderId="8" xfId="0" applyNumberFormat="1" applyFont="1" applyBorder="1" applyAlignment="1">
      <alignment vertical="center"/>
    </xf>
    <xf numFmtId="3" fontId="22" fillId="0" borderId="8" xfId="0" applyNumberFormat="1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3" fontId="23" fillId="0" borderId="15" xfId="0" applyNumberFormat="1" applyFont="1" applyFill="1" applyBorder="1" applyAlignment="1">
      <alignment horizontal="center" vertical="center"/>
    </xf>
    <xf numFmtId="3" fontId="23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3" fontId="0" fillId="2" borderId="0" xfId="0" applyNumberFormat="1" applyFill="1" applyAlignment="1">
      <alignment vertical="center"/>
    </xf>
    <xf numFmtId="0" fontId="29" fillId="2" borderId="21" xfId="0" applyFont="1" applyFill="1" applyBorder="1" applyAlignment="1">
      <alignment horizontal="left" vertical="center"/>
    </xf>
    <xf numFmtId="3" fontId="23" fillId="2" borderId="28" xfId="0" applyNumberFormat="1" applyFont="1" applyFill="1" applyBorder="1" applyAlignment="1">
      <alignment horizontal="center" vertical="center"/>
    </xf>
    <xf numFmtId="0" fontId="30" fillId="0" borderId="28" xfId="0" applyFont="1" applyBorder="1" applyAlignment="1">
      <alignment/>
    </xf>
    <xf numFmtId="3" fontId="30" fillId="0" borderId="27" xfId="0" applyNumberFormat="1" applyFont="1" applyBorder="1" applyAlignment="1">
      <alignment/>
    </xf>
    <xf numFmtId="3" fontId="30" fillId="0" borderId="14" xfId="0" applyNumberFormat="1" applyFont="1" applyBorder="1" applyAlignment="1">
      <alignment/>
    </xf>
    <xf numFmtId="3" fontId="30" fillId="0" borderId="15" xfId="0" applyNumberFormat="1" applyFont="1" applyBorder="1" applyAlignment="1">
      <alignment/>
    </xf>
    <xf numFmtId="3" fontId="30" fillId="0" borderId="17" xfId="0" applyNumberFormat="1" applyFont="1" applyBorder="1" applyAlignment="1">
      <alignment/>
    </xf>
    <xf numFmtId="3" fontId="30" fillId="0" borderId="52" xfId="0" applyNumberFormat="1" applyFont="1" applyBorder="1" applyAlignment="1">
      <alignment/>
    </xf>
    <xf numFmtId="0" fontId="16" fillId="0" borderId="0" xfId="0" applyFont="1" applyAlignment="1">
      <alignment/>
    </xf>
    <xf numFmtId="3" fontId="30" fillId="3" borderId="28" xfId="0" applyNumberFormat="1" applyFont="1" applyFill="1" applyBorder="1" applyAlignment="1">
      <alignment/>
    </xf>
    <xf numFmtId="3" fontId="25" fillId="0" borderId="45" xfId="0" applyNumberFormat="1" applyFont="1" applyBorder="1" applyAlignment="1">
      <alignment/>
    </xf>
    <xf numFmtId="0" fontId="22" fillId="0" borderId="49" xfId="0" applyFont="1" applyFill="1" applyBorder="1" applyAlignment="1">
      <alignment vertical="center"/>
    </xf>
    <xf numFmtId="0" fontId="23" fillId="0" borderId="5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3" fillId="0" borderId="65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3" fontId="0" fillId="0" borderId="39" xfId="0" applyNumberFormat="1" applyFont="1" applyBorder="1" applyAlignment="1">
      <alignment vertical="center"/>
    </xf>
    <xf numFmtId="3" fontId="0" fillId="0" borderId="32" xfId="0" applyNumberFormat="1" applyFont="1" applyBorder="1" applyAlignment="1">
      <alignment vertical="center"/>
    </xf>
    <xf numFmtId="3" fontId="0" fillId="0" borderId="33" xfId="0" applyNumberFormat="1" applyFont="1" applyBorder="1" applyAlignment="1">
      <alignment vertical="center"/>
    </xf>
    <xf numFmtId="178" fontId="0" fillId="0" borderId="39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2" fontId="0" fillId="0" borderId="31" xfId="0" applyNumberFormat="1" applyFont="1" applyBorder="1" applyAlignment="1">
      <alignment horizontal="center" vertical="center"/>
    </xf>
    <xf numFmtId="2" fontId="0" fillId="0" borderId="32" xfId="0" applyNumberFormat="1" applyFont="1" applyBorder="1" applyAlignment="1">
      <alignment horizontal="center" vertical="center"/>
    </xf>
    <xf numFmtId="2" fontId="0" fillId="0" borderId="33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3" fontId="0" fillId="0" borderId="7" xfId="0" applyNumberFormat="1" applyFont="1" applyBorder="1" applyAlignment="1">
      <alignment vertical="center"/>
    </xf>
    <xf numFmtId="3" fontId="0" fillId="0" borderId="8" xfId="0" applyNumberFormat="1" applyFont="1" applyBorder="1" applyAlignment="1">
      <alignment vertical="center"/>
    </xf>
    <xf numFmtId="178" fontId="0" fillId="0" borderId="7" xfId="0" applyNumberFormat="1" applyFont="1" applyBorder="1" applyAlignment="1">
      <alignment vertical="center"/>
    </xf>
    <xf numFmtId="178" fontId="0" fillId="0" borderId="1" xfId="0" applyNumberFormat="1" applyFont="1" applyBorder="1" applyAlignment="1">
      <alignment vertical="center"/>
    </xf>
    <xf numFmtId="178" fontId="0" fillId="0" borderId="46" xfId="0" applyNumberFormat="1" applyFont="1" applyBorder="1" applyAlignment="1">
      <alignment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0" fontId="3" fillId="3" borderId="47" xfId="0" applyFont="1" applyFill="1" applyBorder="1" applyAlignment="1">
      <alignment vertical="center"/>
    </xf>
    <xf numFmtId="3" fontId="3" fillId="3" borderId="30" xfId="0" applyNumberFormat="1" applyFont="1" applyFill="1" applyBorder="1" applyAlignment="1">
      <alignment vertical="center"/>
    </xf>
    <xf numFmtId="178" fontId="3" fillId="3" borderId="30" xfId="0" applyNumberFormat="1" applyFont="1" applyFill="1" applyBorder="1" applyAlignment="1">
      <alignment vertical="center"/>
    </xf>
    <xf numFmtId="178" fontId="3" fillId="3" borderId="48" xfId="0" applyNumberFormat="1" applyFont="1" applyFill="1" applyBorder="1" applyAlignment="1">
      <alignment vertical="center"/>
    </xf>
    <xf numFmtId="2" fontId="3" fillId="3" borderId="2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0" fillId="0" borderId="34" xfId="0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8" fontId="0" fillId="0" borderId="33" xfId="0" applyNumberFormat="1" applyFont="1" applyBorder="1" applyAlignment="1">
      <alignment vertical="center"/>
    </xf>
    <xf numFmtId="2" fontId="0" fillId="0" borderId="39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8" fontId="0" fillId="0" borderId="8" xfId="0" applyNumberFormat="1" applyFont="1" applyBorder="1" applyAlignment="1">
      <alignment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3" fontId="3" fillId="0" borderId="18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3" fontId="3" fillId="2" borderId="18" xfId="0" applyNumberFormat="1" applyFont="1" applyFill="1" applyBorder="1" applyAlignment="1">
      <alignment horizontal="right" vertical="center"/>
    </xf>
    <xf numFmtId="3" fontId="27" fillId="0" borderId="18" xfId="0" applyNumberFormat="1" applyFont="1" applyBorder="1" applyAlignment="1">
      <alignment horizontal="right" vertical="center"/>
    </xf>
    <xf numFmtId="3" fontId="27" fillId="0" borderId="8" xfId="0" applyNumberFormat="1" applyFont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3" fontId="1" fillId="2" borderId="18" xfId="0" applyNumberFormat="1" applyFont="1" applyFill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1" fillId="3" borderId="57" xfId="0" applyNumberFormat="1" applyFont="1" applyFill="1" applyBorder="1" applyAlignment="1">
      <alignment horizontal="right" vertical="center"/>
    </xf>
    <xf numFmtId="3" fontId="1" fillId="3" borderId="59" xfId="0" applyNumberFormat="1" applyFont="1" applyFill="1" applyBorder="1" applyAlignment="1">
      <alignment horizontal="right" vertical="center"/>
    </xf>
    <xf numFmtId="3" fontId="18" fillId="0" borderId="17" xfId="0" applyNumberFormat="1" applyFont="1" applyFill="1" applyBorder="1" applyAlignment="1">
      <alignment vertical="center"/>
    </xf>
    <xf numFmtId="3" fontId="18" fillId="0" borderId="15" xfId="0" applyNumberFormat="1" applyFont="1" applyFill="1" applyBorder="1" applyAlignment="1">
      <alignment vertical="center"/>
    </xf>
    <xf numFmtId="3" fontId="13" fillId="0" borderId="33" xfId="0" applyNumberFormat="1" applyFont="1" applyBorder="1" applyAlignment="1">
      <alignment vertical="center"/>
    </xf>
    <xf numFmtId="3" fontId="13" fillId="0" borderId="8" xfId="0" applyNumberFormat="1" applyFont="1" applyBorder="1" applyAlignment="1">
      <alignment vertical="center"/>
    </xf>
    <xf numFmtId="3" fontId="28" fillId="0" borderId="8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7" fillId="3" borderId="59" xfId="0" applyNumberFormat="1" applyFont="1" applyFill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4" fontId="3" fillId="2" borderId="16" xfId="0" applyNumberFormat="1" applyFont="1" applyFill="1" applyBorder="1" applyAlignment="1">
      <alignment horizontal="right" vertical="center"/>
    </xf>
    <xf numFmtId="4" fontId="3" fillId="2" borderId="3" xfId="0" applyNumberFormat="1" applyFont="1" applyFill="1" applyBorder="1" applyAlignment="1">
      <alignment horizontal="right" vertical="center"/>
    </xf>
    <xf numFmtId="4" fontId="27" fillId="2" borderId="3" xfId="0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/>
    </xf>
    <xf numFmtId="4" fontId="1" fillId="2" borderId="3" xfId="0" applyNumberFormat="1" applyFont="1" applyFill="1" applyBorder="1" applyAlignment="1">
      <alignment horizontal="right" vertical="center"/>
    </xf>
    <xf numFmtId="4" fontId="3" fillId="2" borderId="19" xfId="0" applyNumberFormat="1" applyFont="1" applyFill="1" applyBorder="1" applyAlignment="1">
      <alignment horizontal="right" vertical="center"/>
    </xf>
    <xf numFmtId="4" fontId="1" fillId="3" borderId="22" xfId="0" applyNumberFormat="1" applyFont="1" applyFill="1" applyBorder="1" applyAlignment="1">
      <alignment horizontal="right" vertical="center"/>
    </xf>
    <xf numFmtId="4" fontId="18" fillId="0" borderId="65" xfId="0" applyNumberFormat="1" applyFont="1" applyFill="1" applyBorder="1" applyAlignment="1">
      <alignment vertical="center"/>
    </xf>
    <xf numFmtId="4" fontId="3" fillId="0" borderId="39" xfId="0" applyNumberFormat="1" applyFont="1" applyBorder="1" applyAlignment="1">
      <alignment vertical="center"/>
    </xf>
    <xf numFmtId="4" fontId="13" fillId="0" borderId="32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13" fillId="0" borderId="1" xfId="0" applyNumberFormat="1" applyFont="1" applyBorder="1" applyAlignment="1">
      <alignment vertical="center"/>
    </xf>
    <xf numFmtId="4" fontId="27" fillId="0" borderId="7" xfId="0" applyNumberFormat="1" applyFont="1" applyBorder="1" applyAlignment="1">
      <alignment vertical="center"/>
    </xf>
    <xf numFmtId="4" fontId="28" fillId="0" borderId="1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4" fontId="13" fillId="0" borderId="2" xfId="0" applyNumberFormat="1" applyFont="1" applyBorder="1" applyAlignment="1">
      <alignment vertical="center"/>
    </xf>
    <xf numFmtId="4" fontId="1" fillId="3" borderId="66" xfId="0" applyNumberFormat="1" applyFont="1" applyFill="1" applyBorder="1" applyAlignment="1">
      <alignment vertical="center"/>
    </xf>
    <xf numFmtId="4" fontId="7" fillId="3" borderId="55" xfId="0" applyNumberFormat="1" applyFont="1" applyFill="1" applyBorder="1" applyAlignment="1">
      <alignment vertical="center"/>
    </xf>
    <xf numFmtId="4" fontId="18" fillId="0" borderId="17" xfId="0" applyNumberFormat="1" applyFont="1" applyBorder="1" applyAlignment="1">
      <alignment vertical="center"/>
    </xf>
    <xf numFmtId="4" fontId="10" fillId="0" borderId="1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horizontal="center" vertical="center"/>
    </xf>
    <xf numFmtId="0" fontId="29" fillId="2" borderId="52" xfId="0" applyFont="1" applyFill="1" applyBorder="1" applyAlignment="1">
      <alignment horizontal="center" vertical="center"/>
    </xf>
    <xf numFmtId="3" fontId="29" fillId="3" borderId="28" xfId="0" applyNumberFormat="1" applyFont="1" applyFill="1" applyBorder="1" applyAlignment="1">
      <alignment horizontal="center" vertical="center"/>
    </xf>
    <xf numFmtId="0" fontId="22" fillId="2" borderId="37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3" fillId="0" borderId="21" xfId="0" applyFont="1" applyBorder="1" applyAlignment="1">
      <alignment horizontal="left"/>
    </xf>
    <xf numFmtId="3" fontId="3" fillId="0" borderId="28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 applyAlignment="1">
      <alignment/>
    </xf>
    <xf numFmtId="0" fontId="1" fillId="0" borderId="31" xfId="0" applyFont="1" applyBorder="1" applyAlignment="1">
      <alignment horizontal="centerContinuous"/>
    </xf>
    <xf numFmtId="0" fontId="1" fillId="0" borderId="40" xfId="0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8" fillId="0" borderId="38" xfId="0" applyFont="1" applyBorder="1" applyAlignment="1">
      <alignment/>
    </xf>
    <xf numFmtId="178" fontId="18" fillId="0" borderId="43" xfId="0" applyNumberFormat="1" applyFont="1" applyBorder="1" applyAlignment="1">
      <alignment/>
    </xf>
    <xf numFmtId="178" fontId="18" fillId="0" borderId="44" xfId="0" applyNumberFormat="1" applyFont="1" applyBorder="1" applyAlignment="1">
      <alignment/>
    </xf>
    <xf numFmtId="4" fontId="18" fillId="0" borderId="38" xfId="0" applyNumberFormat="1" applyFont="1" applyBorder="1" applyAlignment="1">
      <alignment horizontal="center"/>
    </xf>
    <xf numFmtId="0" fontId="18" fillId="0" borderId="45" xfId="0" applyFont="1" applyBorder="1" applyAlignment="1">
      <alignment/>
    </xf>
    <xf numFmtId="178" fontId="18" fillId="0" borderId="7" xfId="0" applyNumberFormat="1" applyFont="1" applyBorder="1" applyAlignment="1">
      <alignment/>
    </xf>
    <xf numFmtId="178" fontId="18" fillId="0" borderId="46" xfId="0" applyNumberFormat="1" applyFont="1" applyBorder="1" applyAlignment="1">
      <alignment/>
    </xf>
    <xf numFmtId="4" fontId="18" fillId="0" borderId="45" xfId="0" applyNumberFormat="1" applyFont="1" applyBorder="1" applyAlignment="1">
      <alignment horizontal="center"/>
    </xf>
    <xf numFmtId="0" fontId="18" fillId="0" borderId="41" xfId="0" applyFont="1" applyBorder="1" applyAlignment="1">
      <alignment/>
    </xf>
    <xf numFmtId="178" fontId="18" fillId="0" borderId="9" xfId="0" applyNumberFormat="1" applyFont="1" applyBorder="1" applyAlignment="1">
      <alignment/>
    </xf>
    <xf numFmtId="178" fontId="18" fillId="0" borderId="67" xfId="0" applyNumberFormat="1" applyFont="1" applyBorder="1" applyAlignment="1">
      <alignment/>
    </xf>
    <xf numFmtId="4" fontId="18" fillId="0" borderId="41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78" fontId="18" fillId="0" borderId="13" xfId="0" applyNumberFormat="1" applyFont="1" applyBorder="1" applyAlignment="1">
      <alignment/>
    </xf>
    <xf numFmtId="4" fontId="18" fillId="0" borderId="68" xfId="0" applyNumberFormat="1" applyFont="1" applyBorder="1" applyAlignment="1">
      <alignment horizontal="center"/>
    </xf>
    <xf numFmtId="178" fontId="18" fillId="0" borderId="10" xfId="0" applyNumberFormat="1" applyFont="1" applyBorder="1" applyAlignment="1">
      <alignment/>
    </xf>
    <xf numFmtId="4" fontId="18" fillId="0" borderId="6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8" fontId="18" fillId="0" borderId="39" xfId="0" applyNumberFormat="1" applyFont="1" applyBorder="1" applyAlignment="1">
      <alignment/>
    </xf>
    <xf numFmtId="178" fontId="18" fillId="0" borderId="33" xfId="0" applyNumberFormat="1" applyFont="1" applyBorder="1" applyAlignment="1">
      <alignment/>
    </xf>
    <xf numFmtId="178" fontId="18" fillId="0" borderId="8" xfId="0" applyNumberFormat="1" applyFont="1" applyBorder="1" applyAlignment="1">
      <alignment/>
    </xf>
    <xf numFmtId="4" fontId="18" fillId="0" borderId="64" xfId="0" applyNumberFormat="1" applyFont="1" applyBorder="1" applyAlignment="1">
      <alignment horizontal="center"/>
    </xf>
    <xf numFmtId="0" fontId="18" fillId="0" borderId="47" xfId="0" applyFont="1" applyBorder="1" applyAlignment="1">
      <alignment/>
    </xf>
    <xf numFmtId="178" fontId="18" fillId="0" borderId="30" xfId="0" applyNumberFormat="1" applyFont="1" applyBorder="1" applyAlignment="1">
      <alignment/>
    </xf>
    <xf numFmtId="178" fontId="18" fillId="0" borderId="26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31" xfId="0" applyFont="1" applyBorder="1" applyAlignment="1">
      <alignment horizontal="centerContinuous"/>
    </xf>
    <xf numFmtId="0" fontId="31" fillId="0" borderId="32" xfId="0" applyFont="1" applyBorder="1" applyAlignment="1">
      <alignment horizontal="centerContinuous"/>
    </xf>
    <xf numFmtId="0" fontId="31" fillId="0" borderId="33" xfId="0" applyFont="1" applyBorder="1" applyAlignment="1">
      <alignment horizontal="centerContinuous"/>
    </xf>
    <xf numFmtId="0" fontId="31" fillId="0" borderId="24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19" fillId="0" borderId="38" xfId="0" applyFont="1" applyBorder="1" applyAlignment="1">
      <alignment/>
    </xf>
    <xf numFmtId="3" fontId="19" fillId="0" borderId="43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0" fontId="19" fillId="0" borderId="45" xfId="0" applyFont="1" applyBorder="1" applyAlignment="1">
      <alignment/>
    </xf>
    <xf numFmtId="3" fontId="19" fillId="0" borderId="7" xfId="0" applyNumberFormat="1" applyFont="1" applyBorder="1" applyAlignment="1">
      <alignment/>
    </xf>
    <xf numFmtId="3" fontId="19" fillId="0" borderId="1" xfId="0" applyNumberFormat="1" applyFont="1" applyBorder="1" applyAlignment="1">
      <alignment/>
    </xf>
    <xf numFmtId="3" fontId="19" fillId="0" borderId="8" xfId="0" applyNumberFormat="1" applyFont="1" applyBorder="1" applyAlignment="1">
      <alignment/>
    </xf>
    <xf numFmtId="0" fontId="31" fillId="0" borderId="45" xfId="0" applyFont="1" applyBorder="1" applyAlignment="1">
      <alignment/>
    </xf>
    <xf numFmtId="3" fontId="31" fillId="0" borderId="7" xfId="0" applyNumberFormat="1" applyFont="1" applyBorder="1" applyAlignment="1">
      <alignment/>
    </xf>
    <xf numFmtId="3" fontId="31" fillId="0" borderId="1" xfId="0" applyNumberFormat="1" applyFont="1" applyBorder="1" applyAlignment="1">
      <alignment/>
    </xf>
    <xf numFmtId="3" fontId="31" fillId="0" borderId="8" xfId="0" applyNumberFormat="1" applyFont="1" applyBorder="1" applyAlignment="1">
      <alignment/>
    </xf>
    <xf numFmtId="0" fontId="31" fillId="0" borderId="41" xfId="0" applyFont="1" applyBorder="1" applyAlignment="1">
      <alignment/>
    </xf>
    <xf numFmtId="3" fontId="31" fillId="0" borderId="9" xfId="0" applyNumberFormat="1" applyFont="1" applyBorder="1" applyAlignment="1">
      <alignment/>
    </xf>
    <xf numFmtId="3" fontId="31" fillId="0" borderId="2" xfId="0" applyNumberFormat="1" applyFont="1" applyBorder="1" applyAlignment="1">
      <alignment/>
    </xf>
    <xf numFmtId="3" fontId="31" fillId="0" borderId="10" xfId="0" applyNumberFormat="1" applyFont="1" applyBorder="1" applyAlignment="1">
      <alignment/>
    </xf>
    <xf numFmtId="0" fontId="31" fillId="3" borderId="28" xfId="0" applyFont="1" applyFill="1" applyBorder="1" applyAlignment="1">
      <alignment/>
    </xf>
    <xf numFmtId="3" fontId="31" fillId="3" borderId="27" xfId="0" applyNumberFormat="1" applyFont="1" applyFill="1" applyBorder="1" applyAlignment="1">
      <alignment/>
    </xf>
    <xf numFmtId="3" fontId="31" fillId="3" borderId="14" xfId="0" applyNumberFormat="1" applyFont="1" applyFill="1" applyBorder="1" applyAlignment="1">
      <alignment/>
    </xf>
    <xf numFmtId="3" fontId="31" fillId="3" borderId="15" xfId="0" applyNumberFormat="1" applyFont="1" applyFill="1" applyBorder="1" applyAlignment="1">
      <alignment/>
    </xf>
    <xf numFmtId="3" fontId="19" fillId="0" borderId="39" xfId="0" applyNumberFormat="1" applyFont="1" applyBorder="1" applyAlignment="1">
      <alignment/>
    </xf>
    <xf numFmtId="3" fontId="19" fillId="0" borderId="32" xfId="0" applyNumberFormat="1" applyFont="1" applyBorder="1" applyAlignment="1">
      <alignment/>
    </xf>
    <xf numFmtId="3" fontId="19" fillId="0" borderId="33" xfId="0" applyNumberFormat="1" applyFont="1" applyBorder="1" applyAlignment="1">
      <alignment/>
    </xf>
    <xf numFmtId="0" fontId="31" fillId="0" borderId="47" xfId="0" applyFont="1" applyBorder="1" applyAlignment="1">
      <alignment/>
    </xf>
    <xf numFmtId="3" fontId="31" fillId="0" borderId="30" xfId="0" applyNumberFormat="1" applyFont="1" applyBorder="1" applyAlignment="1">
      <alignment/>
    </xf>
    <xf numFmtId="3" fontId="31" fillId="0" borderId="25" xfId="0" applyNumberFormat="1" applyFont="1" applyBorder="1" applyAlignment="1">
      <alignment/>
    </xf>
    <xf numFmtId="3" fontId="31" fillId="0" borderId="26" xfId="0" applyNumberFormat="1" applyFont="1" applyBorder="1" applyAlignment="1">
      <alignment/>
    </xf>
    <xf numFmtId="0" fontId="31" fillId="0" borderId="42" xfId="0" applyFont="1" applyBorder="1" applyAlignment="1">
      <alignment/>
    </xf>
    <xf numFmtId="3" fontId="31" fillId="0" borderId="43" xfId="0" applyNumberFormat="1" applyFont="1" applyBorder="1" applyAlignment="1">
      <alignment/>
    </xf>
    <xf numFmtId="3" fontId="31" fillId="0" borderId="12" xfId="0" applyNumberFormat="1" applyFont="1" applyBorder="1" applyAlignment="1">
      <alignment/>
    </xf>
    <xf numFmtId="3" fontId="31" fillId="0" borderId="13" xfId="0" applyNumberFormat="1" applyFont="1" applyBorder="1" applyAlignment="1">
      <alignment/>
    </xf>
    <xf numFmtId="0" fontId="31" fillId="2" borderId="28" xfId="0" applyFont="1" applyFill="1" applyBorder="1" applyAlignment="1">
      <alignment/>
    </xf>
    <xf numFmtId="3" fontId="31" fillId="2" borderId="27" xfId="0" applyNumberFormat="1" applyFont="1" applyFill="1" applyBorder="1" applyAlignment="1">
      <alignment/>
    </xf>
    <xf numFmtId="3" fontId="31" fillId="2" borderId="14" xfId="0" applyNumberFormat="1" applyFont="1" applyFill="1" applyBorder="1" applyAlignment="1">
      <alignment/>
    </xf>
    <xf numFmtId="3" fontId="31" fillId="2" borderId="15" xfId="0" applyNumberFormat="1" applyFont="1" applyFill="1" applyBorder="1" applyAlignment="1">
      <alignment/>
    </xf>
    <xf numFmtId="0" fontId="11" fillId="3" borderId="0" xfId="0" applyFont="1" applyFill="1" applyAlignment="1">
      <alignment/>
    </xf>
    <xf numFmtId="0" fontId="11" fillId="3" borderId="0" xfId="0" applyFont="1" applyFill="1" applyAlignment="1">
      <alignment horizontal="left"/>
    </xf>
    <xf numFmtId="0" fontId="1" fillId="3" borderId="38" xfId="0" applyFont="1" applyFill="1" applyBorder="1" applyAlignment="1">
      <alignment/>
    </xf>
    <xf numFmtId="178" fontId="1" fillId="3" borderId="39" xfId="0" applyNumberFormat="1" applyFont="1" applyFill="1" applyBorder="1" applyAlignment="1">
      <alignment/>
    </xf>
    <xf numFmtId="178" fontId="1" fillId="3" borderId="33" xfId="0" applyNumberFormat="1" applyFont="1" applyFill="1" applyBorder="1" applyAlignment="1">
      <alignment/>
    </xf>
    <xf numFmtId="4" fontId="1" fillId="3" borderId="68" xfId="0" applyNumberFormat="1" applyFont="1" applyFill="1" applyBorder="1" applyAlignment="1">
      <alignment horizontal="center"/>
    </xf>
    <xf numFmtId="0" fontId="18" fillId="3" borderId="47" xfId="0" applyFont="1" applyFill="1" applyBorder="1" applyAlignment="1">
      <alignment/>
    </xf>
    <xf numFmtId="178" fontId="18" fillId="3" borderId="30" xfId="0" applyNumberFormat="1" applyFont="1" applyFill="1" applyBorder="1" applyAlignment="1">
      <alignment/>
    </xf>
    <xf numFmtId="178" fontId="18" fillId="3" borderId="26" xfId="0" applyNumberFormat="1" applyFont="1" applyFill="1" applyBorder="1" applyAlignment="1">
      <alignment/>
    </xf>
    <xf numFmtId="4" fontId="18" fillId="3" borderId="36" xfId="0" applyNumberFormat="1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0" fillId="0" borderId="12" xfId="0" applyBorder="1" applyAlignment="1">
      <alignment horizontal="center"/>
    </xf>
    <xf numFmtId="175" fontId="0" fillId="0" borderId="12" xfId="0" applyNumberFormat="1" applyBorder="1" applyAlignment="1">
      <alignment/>
    </xf>
    <xf numFmtId="4" fontId="0" fillId="0" borderId="13" xfId="0" applyNumberFormat="1" applyBorder="1" applyAlignment="1">
      <alignment horizontal="center"/>
    </xf>
    <xf numFmtId="0" fontId="0" fillId="0" borderId="11" xfId="0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2" fillId="0" borderId="37" xfId="0" applyBorder="1" applyAlignment="1">
      <alignment/>
    </xf>
    <xf numFmtId="0" fontId="0" fillId="0" borderId="3" xfId="0" applyFont="1" applyBorder="1" applyAlignment="1">
      <alignment/>
    </xf>
    <xf numFmtId="0" fontId="13" fillId="0" borderId="16" xfId="0" applyFont="1" applyBorder="1" applyAlignment="1">
      <alignment/>
    </xf>
    <xf numFmtId="0" fontId="2" fillId="0" borderId="3" xfId="0" applyBorder="1" applyAlignment="1">
      <alignment/>
    </xf>
    <xf numFmtId="0" fontId="3" fillId="0" borderId="3" xfId="0" applyFont="1" applyBorder="1" applyAlignment="1">
      <alignment/>
    </xf>
    <xf numFmtId="0" fontId="2" fillId="0" borderId="19" xfId="0" applyBorder="1" applyAlignment="1">
      <alignment/>
    </xf>
    <xf numFmtId="0" fontId="3" fillId="0" borderId="66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71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3" fontId="3" fillId="0" borderId="51" xfId="0" applyNumberFormat="1" applyFont="1" applyFill="1" applyBorder="1" applyAlignment="1">
      <alignment horizontal="center"/>
    </xf>
    <xf numFmtId="3" fontId="2" fillId="0" borderId="53" xfId="0" applyNumberFormat="1" applyBorder="1" applyAlignment="1">
      <alignment/>
    </xf>
    <xf numFmtId="3" fontId="0" fillId="0" borderId="45" xfId="0" applyNumberFormat="1" applyFont="1" applyBorder="1" applyAlignment="1">
      <alignment/>
    </xf>
    <xf numFmtId="3" fontId="2" fillId="0" borderId="42" xfId="0" applyNumberFormat="1" applyBorder="1" applyAlignment="1">
      <alignment/>
    </xf>
    <xf numFmtId="3" fontId="2" fillId="0" borderId="45" xfId="0" applyNumberFormat="1" applyBorder="1" applyAlignment="1">
      <alignment/>
    </xf>
    <xf numFmtId="3" fontId="3" fillId="0" borderId="45" xfId="0" applyNumberFormat="1" applyFont="1" applyBorder="1" applyAlignment="1">
      <alignment/>
    </xf>
    <xf numFmtId="3" fontId="2" fillId="0" borderId="41" xfId="0" applyNumberFormat="1" applyBorder="1" applyAlignment="1">
      <alignment/>
    </xf>
    <xf numFmtId="3" fontId="3" fillId="0" borderId="42" xfId="0" applyNumberFormat="1" applyFont="1" applyFill="1" applyBorder="1" applyAlignment="1">
      <alignment vertical="center"/>
    </xf>
    <xf numFmtId="3" fontId="3" fillId="0" borderId="43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45" xfId="0" applyNumberFormat="1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vertical="center"/>
    </xf>
    <xf numFmtId="3" fontId="11" fillId="0" borderId="45" xfId="0" applyNumberFormat="1" applyFont="1" applyFill="1" applyBorder="1" applyAlignment="1">
      <alignment vertical="center"/>
    </xf>
    <xf numFmtId="3" fontId="11" fillId="0" borderId="7" xfId="0" applyNumberFormat="1" applyFont="1" applyFill="1" applyBorder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3" fontId="11" fillId="3" borderId="28" xfId="0" applyNumberFormat="1" applyFont="1" applyFill="1" applyBorder="1" applyAlignment="1">
      <alignment/>
    </xf>
    <xf numFmtId="3" fontId="11" fillId="3" borderId="27" xfId="0" applyNumberFormat="1" applyFont="1" applyFill="1" applyBorder="1" applyAlignment="1">
      <alignment/>
    </xf>
    <xf numFmtId="3" fontId="11" fillId="3" borderId="15" xfId="0" applyNumberFormat="1" applyFont="1" applyFill="1" applyBorder="1" applyAlignment="1">
      <alignment/>
    </xf>
    <xf numFmtId="0" fontId="11" fillId="3" borderId="21" xfId="0" applyFont="1" applyFill="1" applyBorder="1" applyAlignment="1">
      <alignment/>
    </xf>
    <xf numFmtId="0" fontId="11" fillId="3" borderId="16" xfId="0" applyFont="1" applyFill="1" applyBorder="1" applyAlignment="1">
      <alignment/>
    </xf>
    <xf numFmtId="3" fontId="11" fillId="3" borderId="42" xfId="0" applyNumberFormat="1" applyFont="1" applyFill="1" applyBorder="1" applyAlignment="1">
      <alignment/>
    </xf>
    <xf numFmtId="0" fontId="3" fillId="0" borderId="19" xfId="0" applyFont="1" applyFill="1" applyBorder="1" applyAlignment="1">
      <alignment vertical="center"/>
    </xf>
    <xf numFmtId="3" fontId="3" fillId="0" borderId="41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11" fillId="3" borderId="21" xfId="0" applyFont="1" applyFill="1" applyBorder="1" applyAlignment="1">
      <alignment vertical="center"/>
    </xf>
    <xf numFmtId="3" fontId="11" fillId="3" borderId="28" xfId="0" applyNumberFormat="1" applyFont="1" applyFill="1" applyBorder="1" applyAlignment="1">
      <alignment vertical="center"/>
    </xf>
    <xf numFmtId="3" fontId="11" fillId="3" borderId="27" xfId="0" applyNumberFormat="1" applyFont="1" applyFill="1" applyBorder="1" applyAlignment="1">
      <alignment vertical="center"/>
    </xf>
    <xf numFmtId="3" fontId="11" fillId="3" borderId="15" xfId="0" applyNumberFormat="1" applyFont="1" applyFill="1" applyBorder="1" applyAlignment="1">
      <alignment vertical="center"/>
    </xf>
    <xf numFmtId="0" fontId="2" fillId="0" borderId="19" xfId="0" applyFont="1" applyBorder="1" applyAlignment="1">
      <alignment/>
    </xf>
    <xf numFmtId="3" fontId="2" fillId="0" borderId="41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15" fillId="3" borderId="21" xfId="0" applyFont="1" applyFill="1" applyBorder="1" applyAlignment="1">
      <alignment/>
    </xf>
    <xf numFmtId="3" fontId="15" fillId="3" borderId="28" xfId="0" applyNumberFormat="1" applyFont="1" applyFill="1" applyBorder="1" applyAlignment="1">
      <alignment/>
    </xf>
    <xf numFmtId="3" fontId="15" fillId="3" borderId="27" xfId="0" applyNumberFormat="1" applyFont="1" applyFill="1" applyBorder="1" applyAlignment="1">
      <alignment/>
    </xf>
    <xf numFmtId="3" fontId="15" fillId="3" borderId="35" xfId="0" applyNumberFormat="1" applyFont="1" applyFill="1" applyBorder="1" applyAlignment="1">
      <alignment/>
    </xf>
    <xf numFmtId="0" fontId="1" fillId="0" borderId="0" xfId="0" applyFont="1" applyAlignment="1">
      <alignment vertical="center"/>
    </xf>
    <xf numFmtId="3" fontId="3" fillId="0" borderId="72" xfId="0" applyNumberFormat="1" applyFont="1" applyBorder="1" applyAlignment="1">
      <alignment horizontal="right" vertical="center"/>
    </xf>
    <xf numFmtId="3" fontId="3" fillId="0" borderId="73" xfId="0" applyNumberFormat="1" applyFont="1" applyBorder="1" applyAlignment="1">
      <alignment horizontal="right" vertical="center"/>
    </xf>
    <xf numFmtId="3" fontId="27" fillId="0" borderId="73" xfId="0" applyNumberFormat="1" applyFont="1" applyBorder="1" applyAlignment="1">
      <alignment horizontal="right" vertical="center"/>
    </xf>
    <xf numFmtId="3" fontId="27" fillId="0" borderId="73" xfId="0" applyNumberFormat="1" applyFont="1" applyFill="1" applyBorder="1" applyAlignment="1">
      <alignment horizontal="right" vertical="center"/>
    </xf>
    <xf numFmtId="3" fontId="3" fillId="0" borderId="73" xfId="0" applyNumberFormat="1" applyFont="1" applyFill="1" applyBorder="1" applyAlignment="1">
      <alignment horizontal="right" vertical="center"/>
    </xf>
    <xf numFmtId="3" fontId="1" fillId="0" borderId="73" xfId="0" applyNumberFormat="1" applyFont="1" applyFill="1" applyBorder="1" applyAlignment="1">
      <alignment horizontal="right" vertical="center"/>
    </xf>
    <xf numFmtId="3" fontId="3" fillId="0" borderId="74" xfId="0" applyNumberFormat="1" applyFont="1" applyFill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 vertical="center"/>
    </xf>
    <xf numFmtId="3" fontId="18" fillId="0" borderId="27" xfId="0" applyNumberFormat="1" applyFont="1" applyFill="1" applyBorder="1" applyAlignment="1">
      <alignment vertical="center"/>
    </xf>
    <xf numFmtId="3" fontId="3" fillId="0" borderId="42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27" fillId="0" borderId="45" xfId="0" applyNumberFormat="1" applyFont="1" applyBorder="1" applyAlignment="1">
      <alignment horizontal="right" vertical="center"/>
    </xf>
    <xf numFmtId="3" fontId="27" fillId="0" borderId="45" xfId="0" applyNumberFormat="1" applyFont="1" applyFill="1" applyBorder="1" applyAlignment="1">
      <alignment horizontal="right" vertical="center"/>
    </xf>
    <xf numFmtId="3" fontId="3" fillId="0" borderId="45" xfId="0" applyNumberFormat="1" applyFont="1" applyFill="1" applyBorder="1" applyAlignment="1">
      <alignment horizontal="right" vertical="center"/>
    </xf>
    <xf numFmtId="3" fontId="1" fillId="0" borderId="45" xfId="0" applyNumberFormat="1" applyFont="1" applyFill="1" applyBorder="1" applyAlignment="1">
      <alignment horizontal="right" vertical="center"/>
    </xf>
    <xf numFmtId="3" fontId="3" fillId="0" borderId="41" xfId="0" applyNumberFormat="1" applyFont="1" applyFill="1" applyBorder="1" applyAlignment="1">
      <alignment horizontal="right" vertical="center"/>
    </xf>
    <xf numFmtId="3" fontId="1" fillId="3" borderId="4" xfId="0" applyNumberFormat="1" applyFont="1" applyFill="1" applyBorder="1" applyAlignment="1">
      <alignment horizontal="right" vertical="center"/>
    </xf>
    <xf numFmtId="3" fontId="18" fillId="0" borderId="28" xfId="0" applyNumberFormat="1" applyFont="1" applyFill="1" applyBorder="1" applyAlignment="1">
      <alignment vertical="center"/>
    </xf>
    <xf numFmtId="1" fontId="17" fillId="0" borderId="22" xfId="0" applyNumberFormat="1" applyFont="1" applyBorder="1" applyAlignment="1">
      <alignment horizontal="center" vertical="center"/>
    </xf>
    <xf numFmtId="1" fontId="17" fillId="0" borderId="5" xfId="0" applyNumberFormat="1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3" fillId="0" borderId="21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C8" sqref="C8"/>
    </sheetView>
  </sheetViews>
  <sheetFormatPr defaultColWidth="9.00390625" defaultRowHeight="12.75"/>
  <cols>
    <col min="1" max="1" width="17.375" style="5" customWidth="1"/>
    <col min="2" max="2" width="10.125" style="5" bestFit="1" customWidth="1"/>
    <col min="3" max="4" width="10.125" style="5" customWidth="1"/>
    <col min="5" max="5" width="6.00390625" style="5" customWidth="1"/>
    <col min="6" max="6" width="19.25390625" style="5" customWidth="1"/>
    <col min="7" max="8" width="11.75390625" style="5" bestFit="1" customWidth="1"/>
    <col min="9" max="9" width="10.75390625" style="5" customWidth="1"/>
    <col min="10" max="11" width="9.875" style="5" customWidth="1"/>
    <col min="12" max="12" width="9.00390625" style="5" customWidth="1"/>
    <col min="13" max="16384" width="9.125" style="5" customWidth="1"/>
  </cols>
  <sheetData>
    <row r="1" ht="15">
      <c r="A1" s="603" t="s">
        <v>217</v>
      </c>
    </row>
    <row r="2" ht="6.75" customHeight="1" thickBot="1"/>
    <row r="3" spans="10:12" ht="16.5" customHeight="1" thickBot="1">
      <c r="J3" s="103" t="s">
        <v>0</v>
      </c>
      <c r="K3" s="104"/>
      <c r="L3" s="105"/>
    </row>
    <row r="4" spans="1:12" s="100" customFormat="1" ht="16.5" customHeight="1" thickBot="1">
      <c r="A4" s="110" t="s">
        <v>1</v>
      </c>
      <c r="B4" s="109" t="s">
        <v>2</v>
      </c>
      <c r="C4" s="101" t="s">
        <v>3</v>
      </c>
      <c r="D4" s="102" t="s">
        <v>4</v>
      </c>
      <c r="F4" s="110" t="s">
        <v>5</v>
      </c>
      <c r="G4" s="109" t="s">
        <v>2</v>
      </c>
      <c r="H4" s="101" t="s">
        <v>3</v>
      </c>
      <c r="I4" s="102" t="s">
        <v>6</v>
      </c>
      <c r="J4" s="106" t="s">
        <v>7</v>
      </c>
      <c r="K4" s="107" t="s">
        <v>3</v>
      </c>
      <c r="L4" s="108" t="s">
        <v>4</v>
      </c>
    </row>
    <row r="6" ht="22.5" customHeight="1" thickBot="1">
      <c r="A6" s="99" t="s">
        <v>8</v>
      </c>
    </row>
    <row r="7" spans="1:12" ht="24.75" customHeight="1">
      <c r="A7" s="360" t="s">
        <v>9</v>
      </c>
      <c r="B7" s="361">
        <f aca="true" t="shared" si="0" ref="B7:D8">B14+B19</f>
        <v>35300000</v>
      </c>
      <c r="C7" s="362">
        <f t="shared" si="0"/>
        <v>8000000</v>
      </c>
      <c r="D7" s="363">
        <f t="shared" si="0"/>
        <v>0</v>
      </c>
      <c r="F7" s="360" t="s">
        <v>277</v>
      </c>
      <c r="G7" s="364">
        <f>G14+G19</f>
        <v>35874127</v>
      </c>
      <c r="H7" s="365">
        <f>H14+H19</f>
        <v>10539569</v>
      </c>
      <c r="I7" s="366">
        <f>I14+I19</f>
        <v>2484</v>
      </c>
      <c r="J7" s="367">
        <f>G7/B7*100</f>
        <v>101.62642209631727</v>
      </c>
      <c r="K7" s="368">
        <f aca="true" t="shared" si="1" ref="K7:L9">H7/C7*100</f>
        <v>131.74461250000002</v>
      </c>
      <c r="L7" s="369" t="s">
        <v>13</v>
      </c>
    </row>
    <row r="8" spans="1:12" ht="24.75" customHeight="1">
      <c r="A8" s="370" t="s">
        <v>11</v>
      </c>
      <c r="B8" s="371">
        <f t="shared" si="0"/>
        <v>20143000</v>
      </c>
      <c r="C8" s="23">
        <f t="shared" si="0"/>
        <v>0</v>
      </c>
      <c r="D8" s="372">
        <f t="shared" si="0"/>
        <v>116441</v>
      </c>
      <c r="F8" s="370" t="s">
        <v>278</v>
      </c>
      <c r="G8" s="373">
        <f>G15+G20</f>
        <v>21008510</v>
      </c>
      <c r="H8" s="374">
        <v>0</v>
      </c>
      <c r="I8" s="375">
        <f>I15+I20</f>
        <v>114634.398</v>
      </c>
      <c r="J8" s="376">
        <f>G8/B8*100</f>
        <v>104.29682768207317</v>
      </c>
      <c r="K8" s="377" t="s">
        <v>13</v>
      </c>
      <c r="L8" s="378">
        <f t="shared" si="1"/>
        <v>98.44848292268188</v>
      </c>
    </row>
    <row r="9" spans="1:12" s="99" customFormat="1" ht="24.75" customHeight="1" thickBot="1">
      <c r="A9" s="379" t="s">
        <v>14</v>
      </c>
      <c r="B9" s="380">
        <f>SUM(B7:B8)</f>
        <v>55443000</v>
      </c>
      <c r="C9" s="111">
        <f>SUM(C7:C8)</f>
        <v>8000000</v>
      </c>
      <c r="D9" s="112">
        <f>SUM(D7:D8)</f>
        <v>116441</v>
      </c>
      <c r="F9" s="379" t="s">
        <v>14</v>
      </c>
      <c r="G9" s="381">
        <f>SUM(G7:G8)</f>
        <v>56882637</v>
      </c>
      <c r="H9" s="118">
        <f>SUM(H7:H8)</f>
        <v>10539569</v>
      </c>
      <c r="I9" s="382">
        <f>SUM(I7:I8)</f>
        <v>117118.398</v>
      </c>
      <c r="J9" s="383">
        <f>G9/B9*100</f>
        <v>102.59660732644338</v>
      </c>
      <c r="K9" s="113">
        <f t="shared" si="1"/>
        <v>131.74461250000002</v>
      </c>
      <c r="L9" s="114">
        <f t="shared" si="1"/>
        <v>100.58175213198099</v>
      </c>
    </row>
    <row r="10" spans="10:12" ht="12.75">
      <c r="J10" s="384"/>
      <c r="K10" s="384"/>
      <c r="L10" s="384"/>
    </row>
    <row r="11" spans="1:12" ht="12.75">
      <c r="A11" s="5" t="s">
        <v>15</v>
      </c>
      <c r="B11" s="385"/>
      <c r="G11" s="386"/>
      <c r="I11" s="386"/>
      <c r="J11" s="384"/>
      <c r="K11" s="384"/>
      <c r="L11" s="384"/>
    </row>
    <row r="12" spans="2:12" ht="15.75" customHeight="1">
      <c r="B12" s="385"/>
      <c r="G12" s="386"/>
      <c r="I12" s="386"/>
      <c r="J12" s="384"/>
      <c r="K12" s="384"/>
      <c r="L12" s="384"/>
    </row>
    <row r="13" spans="1:12" ht="18" customHeight="1" thickBot="1">
      <c r="A13" s="99" t="s">
        <v>16</v>
      </c>
      <c r="J13" s="384"/>
      <c r="K13" s="384"/>
      <c r="L13" s="384"/>
    </row>
    <row r="14" spans="1:12" ht="24.75" customHeight="1">
      <c r="A14" s="387" t="s">
        <v>10</v>
      </c>
      <c r="B14" s="388">
        <v>0</v>
      </c>
      <c r="C14" s="362">
        <v>0</v>
      </c>
      <c r="D14" s="363">
        <v>0</v>
      </c>
      <c r="F14" s="387" t="s">
        <v>10</v>
      </c>
      <c r="G14" s="389">
        <v>0</v>
      </c>
      <c r="H14" s="365">
        <v>0</v>
      </c>
      <c r="I14" s="390">
        <v>0</v>
      </c>
      <c r="J14" s="391" t="s">
        <v>13</v>
      </c>
      <c r="K14" s="368" t="s">
        <v>13</v>
      </c>
      <c r="L14" s="369" t="s">
        <v>13</v>
      </c>
    </row>
    <row r="15" spans="1:12" ht="24.75" customHeight="1">
      <c r="A15" s="392" t="s">
        <v>12</v>
      </c>
      <c r="B15" s="393">
        <v>43000</v>
      </c>
      <c r="C15" s="23">
        <v>0</v>
      </c>
      <c r="D15" s="372">
        <v>1091</v>
      </c>
      <c r="F15" s="392" t="s">
        <v>12</v>
      </c>
      <c r="G15" s="394">
        <v>39501</v>
      </c>
      <c r="H15" s="374">
        <v>0</v>
      </c>
      <c r="I15" s="395">
        <v>1768.398</v>
      </c>
      <c r="J15" s="396">
        <f>G15/B15*100</f>
        <v>91.86279069767443</v>
      </c>
      <c r="K15" s="377" t="s">
        <v>13</v>
      </c>
      <c r="L15" s="378">
        <f>I15/D15*100</f>
        <v>162.08964252978916</v>
      </c>
    </row>
    <row r="16" spans="1:12" s="99" customFormat="1" ht="24.75" customHeight="1" thickBot="1">
      <c r="A16" s="115" t="s">
        <v>17</v>
      </c>
      <c r="B16" s="116">
        <f>SUM(B14:B15)</f>
        <v>43000</v>
      </c>
      <c r="C16" s="111">
        <f>SUM(C14:C15)</f>
        <v>0</v>
      </c>
      <c r="D16" s="112">
        <f>SUM(D14:D15)</f>
        <v>1091</v>
      </c>
      <c r="F16" s="115" t="s">
        <v>17</v>
      </c>
      <c r="G16" s="119">
        <f>SUM(G14:G15)</f>
        <v>39501</v>
      </c>
      <c r="H16" s="118">
        <f>SUM(H14:H15)</f>
        <v>0</v>
      </c>
      <c r="I16" s="120">
        <f>SUM(I14:I15)</f>
        <v>1768.398</v>
      </c>
      <c r="J16" s="117">
        <f>G16/B16*100</f>
        <v>91.86279069767443</v>
      </c>
      <c r="K16" s="113" t="s">
        <v>13</v>
      </c>
      <c r="L16" s="114">
        <f>I16/D16*100</f>
        <v>162.08964252978916</v>
      </c>
    </row>
    <row r="17" spans="2:12" ht="21.75" customHeight="1">
      <c r="B17" s="385"/>
      <c r="C17" s="385"/>
      <c r="D17" s="385"/>
      <c r="G17" s="386"/>
      <c r="H17" s="386"/>
      <c r="I17" s="386"/>
      <c r="J17" s="397"/>
      <c r="K17" s="397"/>
      <c r="L17" s="397"/>
    </row>
    <row r="18" spans="1:12" ht="19.5" customHeight="1" thickBot="1">
      <c r="A18" s="99" t="s">
        <v>18</v>
      </c>
      <c r="B18" s="385"/>
      <c r="C18" s="385"/>
      <c r="D18" s="385"/>
      <c r="G18" s="386"/>
      <c r="H18" s="386"/>
      <c r="I18" s="386"/>
      <c r="J18" s="397"/>
      <c r="K18" s="397"/>
      <c r="L18" s="397"/>
    </row>
    <row r="19" spans="1:12" ht="24.75" customHeight="1">
      <c r="A19" s="387" t="s">
        <v>10</v>
      </c>
      <c r="B19" s="388">
        <v>35300000</v>
      </c>
      <c r="C19" s="362">
        <v>8000000</v>
      </c>
      <c r="D19" s="363"/>
      <c r="F19" s="360" t="s">
        <v>277</v>
      </c>
      <c r="G19" s="389">
        <v>35874127</v>
      </c>
      <c r="H19" s="365">
        <v>10539569</v>
      </c>
      <c r="I19" s="390">
        <v>2484</v>
      </c>
      <c r="J19" s="391">
        <f>G19/B19*100</f>
        <v>101.62642209631727</v>
      </c>
      <c r="K19" s="368">
        <f>H19/C19*100</f>
        <v>131.74461250000002</v>
      </c>
      <c r="L19" s="369" t="s">
        <v>13</v>
      </c>
    </row>
    <row r="20" spans="1:12" ht="24.75" customHeight="1">
      <c r="A20" s="392" t="s">
        <v>12</v>
      </c>
      <c r="B20" s="393">
        <v>20100000</v>
      </c>
      <c r="C20" s="23">
        <v>0</v>
      </c>
      <c r="D20" s="372">
        <v>115350</v>
      </c>
      <c r="F20" s="370" t="s">
        <v>278</v>
      </c>
      <c r="G20" s="394">
        <v>20969009</v>
      </c>
      <c r="H20" s="374">
        <v>0</v>
      </c>
      <c r="I20" s="395">
        <v>112866</v>
      </c>
      <c r="J20" s="396">
        <f>G20/B20*100</f>
        <v>104.32342786069653</v>
      </c>
      <c r="K20" s="377" t="s">
        <v>13</v>
      </c>
      <c r="L20" s="378">
        <f>I20/D20*100</f>
        <v>97.84655396618986</v>
      </c>
    </row>
    <row r="21" spans="1:12" s="99" customFormat="1" ht="24.75" customHeight="1" thickBot="1">
      <c r="A21" s="115" t="s">
        <v>17</v>
      </c>
      <c r="B21" s="116">
        <f>SUM(B19:B20)</f>
        <v>55400000</v>
      </c>
      <c r="C21" s="111">
        <f>SUM(C19:C20)</f>
        <v>8000000</v>
      </c>
      <c r="D21" s="112">
        <f>SUM(D19:D20)</f>
        <v>115350</v>
      </c>
      <c r="F21" s="115" t="s">
        <v>17</v>
      </c>
      <c r="G21" s="119">
        <f>SUM(G19:G20)</f>
        <v>56843136</v>
      </c>
      <c r="H21" s="118">
        <f>SUM(H19:H20)</f>
        <v>10539569</v>
      </c>
      <c r="I21" s="120">
        <f>SUM(I19:I20)</f>
        <v>115350</v>
      </c>
      <c r="J21" s="117">
        <f>G21/B21*100</f>
        <v>102.60493862815885</v>
      </c>
      <c r="K21" s="113">
        <f>H21/C21*100</f>
        <v>131.74461250000002</v>
      </c>
      <c r="L21" s="114">
        <f>I21/D21*100</f>
        <v>100</v>
      </c>
    </row>
    <row r="23" ht="12.75">
      <c r="A23" s="5" t="s">
        <v>280</v>
      </c>
    </row>
    <row r="24" ht="12.75">
      <c r="A24" s="5" t="s">
        <v>279</v>
      </c>
    </row>
  </sheetData>
  <printOptions/>
  <pageMargins left="0.82" right="0.2" top="1.28" bottom="0.62" header="0.4921259845" footer="0.36"/>
  <pageSetup horizontalDpi="600" verticalDpi="600" orientation="landscape" paperSize="9" r:id="rId1"/>
  <headerFooter alignWithMargins="0">
    <oddHeader>&amp;R
Príloha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B11" sqref="B11"/>
    </sheetView>
  </sheetViews>
  <sheetFormatPr defaultColWidth="9.00390625" defaultRowHeight="12.75"/>
  <cols>
    <col min="1" max="1" width="40.75390625" style="0" customWidth="1"/>
    <col min="2" max="2" width="15.25390625" style="0" customWidth="1"/>
    <col min="3" max="3" width="13.875" style="0" customWidth="1"/>
    <col min="4" max="4" width="12.00390625" style="0" customWidth="1"/>
    <col min="5" max="5" width="15.375" style="0" customWidth="1"/>
  </cols>
  <sheetData>
    <row r="1" spans="1:4" s="177" customFormat="1" ht="15.75">
      <c r="A1" s="528" t="s">
        <v>18</v>
      </c>
      <c r="B1" s="487" t="s">
        <v>19</v>
      </c>
      <c r="C1" s="488"/>
      <c r="D1" s="489"/>
    </row>
    <row r="2" spans="2:4" s="177" customFormat="1" ht="12" thickBot="1">
      <c r="B2" s="490" t="s">
        <v>2</v>
      </c>
      <c r="C2" s="491" t="s">
        <v>3</v>
      </c>
      <c r="D2" s="492" t="s">
        <v>20</v>
      </c>
    </row>
    <row r="3" spans="1:4" s="177" customFormat="1" ht="11.25">
      <c r="A3" s="493" t="s">
        <v>21</v>
      </c>
      <c r="B3" s="494">
        <v>35410997</v>
      </c>
      <c r="C3" s="495">
        <v>10539569</v>
      </c>
      <c r="D3" s="496"/>
    </row>
    <row r="4" spans="1:4" s="177" customFormat="1" ht="11.25">
      <c r="A4" s="497" t="s">
        <v>22</v>
      </c>
      <c r="B4" s="498">
        <v>463130</v>
      </c>
      <c r="C4" s="499"/>
      <c r="D4" s="500">
        <v>2484</v>
      </c>
    </row>
    <row r="5" spans="1:4" s="486" customFormat="1" ht="12" thickBot="1">
      <c r="A5" s="505" t="s">
        <v>23</v>
      </c>
      <c r="B5" s="506">
        <f>SUM(B3:B4)</f>
        <v>35874127</v>
      </c>
      <c r="C5" s="507">
        <f>SUM(C3:C4)</f>
        <v>10539569</v>
      </c>
      <c r="D5" s="508">
        <f>SUM(D3:D4)</f>
        <v>2484</v>
      </c>
    </row>
    <row r="6" spans="1:4" s="177" customFormat="1" ht="11.25">
      <c r="A6" s="493" t="s">
        <v>24</v>
      </c>
      <c r="B6" s="513">
        <v>18026370</v>
      </c>
      <c r="C6" s="514"/>
      <c r="D6" s="515">
        <v>97104</v>
      </c>
    </row>
    <row r="7" spans="1:4" s="177" customFormat="1" ht="11.25">
      <c r="A7" s="497" t="s">
        <v>25</v>
      </c>
      <c r="B7" s="498">
        <v>2942639</v>
      </c>
      <c r="C7" s="499"/>
      <c r="D7" s="500">
        <v>15762</v>
      </c>
    </row>
    <row r="8" spans="1:4" s="486" customFormat="1" ht="12" thickBot="1">
      <c r="A8" s="516" t="s">
        <v>26</v>
      </c>
      <c r="B8" s="517">
        <f>SUM(B6:B7)</f>
        <v>20969009</v>
      </c>
      <c r="C8" s="518">
        <f>SUM(C6:C7)</f>
        <v>0</v>
      </c>
      <c r="D8" s="519">
        <f>SUM(D6:D7)</f>
        <v>112866</v>
      </c>
    </row>
    <row r="9" spans="1:4" s="486" customFormat="1" ht="11.25">
      <c r="A9" s="520" t="s">
        <v>27</v>
      </c>
      <c r="B9" s="521">
        <f aca="true" t="shared" si="0" ref="B9:D10">B6+B3</f>
        <v>53437367</v>
      </c>
      <c r="C9" s="522">
        <f t="shared" si="0"/>
        <v>10539569</v>
      </c>
      <c r="D9" s="523">
        <f t="shared" si="0"/>
        <v>97104</v>
      </c>
    </row>
    <row r="10" spans="1:4" s="486" customFormat="1" ht="12" thickBot="1">
      <c r="A10" s="505" t="s">
        <v>28</v>
      </c>
      <c r="B10" s="506">
        <f t="shared" si="0"/>
        <v>3405769</v>
      </c>
      <c r="C10" s="507">
        <f t="shared" si="0"/>
        <v>0</v>
      </c>
      <c r="D10" s="508">
        <f t="shared" si="0"/>
        <v>18246</v>
      </c>
    </row>
    <row r="11" spans="1:4" s="486" customFormat="1" ht="15.75" customHeight="1" thickBot="1">
      <c r="A11" s="524" t="s">
        <v>29</v>
      </c>
      <c r="B11" s="525">
        <f>SUM(B9:B10)</f>
        <v>56843136</v>
      </c>
      <c r="C11" s="526">
        <f>SUM(C9:C10)</f>
        <v>10539569</v>
      </c>
      <c r="D11" s="527">
        <f>SUM(D9:D10)</f>
        <v>115350</v>
      </c>
    </row>
    <row r="12" s="31" customFormat="1" ht="14.25" customHeight="1" thickBot="1"/>
    <row r="13" spans="2:4" s="449" customFormat="1" ht="15">
      <c r="B13" s="450" t="s">
        <v>222</v>
      </c>
      <c r="C13" s="451"/>
      <c r="D13" s="452" t="s">
        <v>30</v>
      </c>
    </row>
    <row r="14" spans="2:4" s="453" customFormat="1" ht="15.75" thickBot="1">
      <c r="B14" s="454" t="s">
        <v>31</v>
      </c>
      <c r="C14" s="455" t="s">
        <v>1</v>
      </c>
      <c r="D14" s="456" t="s">
        <v>32</v>
      </c>
    </row>
    <row r="15" spans="1:4" s="449" customFormat="1" ht="14.25">
      <c r="A15" s="457" t="s">
        <v>218</v>
      </c>
      <c r="B15" s="458">
        <v>1827836.2575454544</v>
      </c>
      <c r="C15" s="459">
        <v>1961840</v>
      </c>
      <c r="D15" s="460">
        <f>B15/C15*100</f>
        <v>93.16948668318796</v>
      </c>
    </row>
    <row r="16" spans="1:4" s="449" customFormat="1" ht="14.25">
      <c r="A16" s="461" t="s">
        <v>219</v>
      </c>
      <c r="B16" s="462">
        <v>81685.94754545455</v>
      </c>
      <c r="C16" s="463">
        <v>307760</v>
      </c>
      <c r="D16" s="464">
        <f>B16/C16*100</f>
        <v>26.54209369166056</v>
      </c>
    </row>
    <row r="17" spans="1:4" s="449" customFormat="1" ht="14.25">
      <c r="A17" s="461" t="s">
        <v>220</v>
      </c>
      <c r="B17" s="462">
        <f>6462748.97836364-1.888</f>
        <v>6462747.090363639</v>
      </c>
      <c r="C17" s="463">
        <v>6328743</v>
      </c>
      <c r="D17" s="464">
        <f>B17/C17*100</f>
        <v>102.11738871942879</v>
      </c>
    </row>
    <row r="18" spans="1:4" s="449" customFormat="1" ht="15" thickBot="1">
      <c r="A18" s="465" t="s">
        <v>221</v>
      </c>
      <c r="B18" s="466">
        <f>530350.613454545-1.888</f>
        <v>530348.725454545</v>
      </c>
      <c r="C18" s="467">
        <v>889920.9640706647</v>
      </c>
      <c r="D18" s="468">
        <f>B18/C18*100</f>
        <v>59.595036735468156</v>
      </c>
    </row>
    <row r="19" spans="1:4" s="1" customFormat="1" ht="15.75" thickBot="1">
      <c r="A19" s="131" t="s">
        <v>33</v>
      </c>
      <c r="B19" s="132">
        <f>B15+B17</f>
        <v>8290583.347909094</v>
      </c>
      <c r="C19" s="132">
        <f>C15+C17</f>
        <v>8290583</v>
      </c>
      <c r="D19" s="143">
        <f>B19/C19*100</f>
        <v>100.00000419643702</v>
      </c>
    </row>
    <row r="20" ht="21" customHeight="1" thickBot="1"/>
    <row r="21" spans="1:4" s="96" customFormat="1" ht="15.75">
      <c r="A21" s="528" t="s">
        <v>34</v>
      </c>
      <c r="B21" s="122" t="s">
        <v>19</v>
      </c>
      <c r="C21" s="123"/>
      <c r="D21" s="124"/>
    </row>
    <row r="22" spans="2:4" s="96" customFormat="1" ht="12.75" thickBot="1">
      <c r="B22" s="125" t="s">
        <v>2</v>
      </c>
      <c r="C22" s="126" t="s">
        <v>3</v>
      </c>
      <c r="D22" s="127" t="s">
        <v>20</v>
      </c>
    </row>
    <row r="23" spans="1:4" s="96" customFormat="1" ht="12">
      <c r="A23" s="133" t="s">
        <v>24</v>
      </c>
      <c r="B23" s="134">
        <v>39501</v>
      </c>
      <c r="C23" s="128">
        <v>0</v>
      </c>
      <c r="D23" s="129">
        <v>1768</v>
      </c>
    </row>
    <row r="24" spans="1:4" s="96" customFormat="1" ht="12.75" thickBot="1">
      <c r="A24" s="135" t="s">
        <v>25</v>
      </c>
      <c r="B24" s="136">
        <v>0</v>
      </c>
      <c r="C24" s="137">
        <v>0</v>
      </c>
      <c r="D24" s="138">
        <v>0</v>
      </c>
    </row>
    <row r="25" spans="1:4" s="130" customFormat="1" ht="12.75" thickBot="1">
      <c r="A25" s="139" t="s">
        <v>35</v>
      </c>
      <c r="B25" s="140">
        <f>SUM(B23:B24)</f>
        <v>39501</v>
      </c>
      <c r="C25" s="141">
        <f>SUM(C23:C24)</f>
        <v>0</v>
      </c>
      <c r="D25" s="142">
        <f>SUM(D23:D24)</f>
        <v>1768</v>
      </c>
    </row>
    <row r="26" ht="10.5" customHeight="1" thickBot="1"/>
    <row r="27" spans="2:4" s="449" customFormat="1" ht="15">
      <c r="B27" s="450" t="s">
        <v>222</v>
      </c>
      <c r="C27" s="469"/>
      <c r="D27" s="470" t="s">
        <v>30</v>
      </c>
    </row>
    <row r="28" spans="2:4" s="453" customFormat="1" ht="15.75" thickBot="1">
      <c r="B28" s="454" t="s">
        <v>31</v>
      </c>
      <c r="C28" s="471" t="s">
        <v>1</v>
      </c>
      <c r="D28" s="472" t="s">
        <v>32</v>
      </c>
    </row>
    <row r="29" spans="1:4" s="449" customFormat="1" ht="14.25">
      <c r="A29" s="457" t="s">
        <v>220</v>
      </c>
      <c r="B29" s="458">
        <v>20543.898</v>
      </c>
      <c r="C29" s="473">
        <v>18399</v>
      </c>
      <c r="D29" s="474">
        <f>B29/C29*100</f>
        <v>111.65768791782162</v>
      </c>
    </row>
    <row r="30" spans="1:4" s="449" customFormat="1" ht="15" thickBot="1">
      <c r="A30" s="465" t="s">
        <v>221</v>
      </c>
      <c r="B30" s="466">
        <v>0</v>
      </c>
      <c r="C30" s="475">
        <v>0</v>
      </c>
      <c r="D30" s="476" t="s">
        <v>13</v>
      </c>
    </row>
    <row r="31" spans="1:4" s="1" customFormat="1" ht="15.75" thickBot="1">
      <c r="A31" s="131" t="s">
        <v>36</v>
      </c>
      <c r="B31" s="132">
        <f>SUM(B29:B30)</f>
        <v>20543.898</v>
      </c>
      <c r="C31" s="144">
        <f>SUM(C29:C30)</f>
        <v>18399</v>
      </c>
      <c r="D31" s="145">
        <f>B31/C31*100</f>
        <v>111.65768791782162</v>
      </c>
    </row>
    <row r="32" ht="22.5" customHeight="1" thickBot="1">
      <c r="A32" s="50"/>
    </row>
    <row r="33" spans="1:4" s="177" customFormat="1" ht="12.75">
      <c r="A33" s="31" t="s">
        <v>37</v>
      </c>
      <c r="B33" s="487" t="s">
        <v>19</v>
      </c>
      <c r="C33" s="488"/>
      <c r="D33" s="489"/>
    </row>
    <row r="34" spans="2:4" s="177" customFormat="1" ht="12" thickBot="1">
      <c r="B34" s="490" t="s">
        <v>2</v>
      </c>
      <c r="C34" s="491" t="s">
        <v>3</v>
      </c>
      <c r="D34" s="492" t="s">
        <v>20</v>
      </c>
    </row>
    <row r="35" spans="1:4" s="177" customFormat="1" ht="11.25">
      <c r="A35" s="493" t="s">
        <v>21</v>
      </c>
      <c r="B35" s="494">
        <f aca="true" t="shared" si="1" ref="B35:D37">B3</f>
        <v>35410997</v>
      </c>
      <c r="C35" s="495">
        <f t="shared" si="1"/>
        <v>10539569</v>
      </c>
      <c r="D35" s="496">
        <f t="shared" si="1"/>
        <v>0</v>
      </c>
    </row>
    <row r="36" spans="1:4" s="177" customFormat="1" ht="11.25">
      <c r="A36" s="497" t="s">
        <v>22</v>
      </c>
      <c r="B36" s="498">
        <f t="shared" si="1"/>
        <v>463130</v>
      </c>
      <c r="C36" s="499">
        <f t="shared" si="1"/>
        <v>0</v>
      </c>
      <c r="D36" s="500">
        <f t="shared" si="1"/>
        <v>2484</v>
      </c>
    </row>
    <row r="37" spans="1:4" s="486" customFormat="1" ht="11.25">
      <c r="A37" s="501" t="s">
        <v>23</v>
      </c>
      <c r="B37" s="502">
        <f t="shared" si="1"/>
        <v>35874127</v>
      </c>
      <c r="C37" s="503">
        <f t="shared" si="1"/>
        <v>10539569</v>
      </c>
      <c r="D37" s="504">
        <f t="shared" si="1"/>
        <v>2484</v>
      </c>
    </row>
    <row r="38" spans="1:4" s="177" customFormat="1" ht="11.25">
      <c r="A38" s="497" t="s">
        <v>24</v>
      </c>
      <c r="B38" s="498">
        <f aca="true" t="shared" si="2" ref="B38:D39">B23+B6</f>
        <v>18065871</v>
      </c>
      <c r="C38" s="499">
        <f t="shared" si="2"/>
        <v>0</v>
      </c>
      <c r="D38" s="500">
        <f t="shared" si="2"/>
        <v>98872</v>
      </c>
    </row>
    <row r="39" spans="1:4" s="177" customFormat="1" ht="11.25">
      <c r="A39" s="497" t="s">
        <v>25</v>
      </c>
      <c r="B39" s="498">
        <f t="shared" si="2"/>
        <v>2942639</v>
      </c>
      <c r="C39" s="499">
        <f t="shared" si="2"/>
        <v>0</v>
      </c>
      <c r="D39" s="500">
        <f t="shared" si="2"/>
        <v>15762</v>
      </c>
    </row>
    <row r="40" spans="1:4" s="486" customFormat="1" ht="11.25">
      <c r="A40" s="501" t="s">
        <v>26</v>
      </c>
      <c r="B40" s="502">
        <f>SUM(B38:B39)</f>
        <v>21008510</v>
      </c>
      <c r="C40" s="503">
        <f>SUM(C38:C39)</f>
        <v>0</v>
      </c>
      <c r="D40" s="504">
        <f>SUM(D38:D39)</f>
        <v>114634</v>
      </c>
    </row>
    <row r="41" spans="1:4" s="486" customFormat="1" ht="11.25">
      <c r="A41" s="501" t="s">
        <v>27</v>
      </c>
      <c r="B41" s="502">
        <f aca="true" t="shared" si="3" ref="B41:D42">B38+B35</f>
        <v>53476868</v>
      </c>
      <c r="C41" s="503">
        <f t="shared" si="3"/>
        <v>10539569</v>
      </c>
      <c r="D41" s="504">
        <f t="shared" si="3"/>
        <v>98872</v>
      </c>
    </row>
    <row r="42" spans="1:4" s="486" customFormat="1" ht="12" thickBot="1">
      <c r="A42" s="505" t="s">
        <v>28</v>
      </c>
      <c r="B42" s="506">
        <f t="shared" si="3"/>
        <v>3405769</v>
      </c>
      <c r="C42" s="507">
        <f t="shared" si="3"/>
        <v>0</v>
      </c>
      <c r="D42" s="508">
        <f t="shared" si="3"/>
        <v>18246</v>
      </c>
    </row>
    <row r="43" spans="1:4" s="486" customFormat="1" ht="12" thickBot="1">
      <c r="A43" s="509" t="s">
        <v>8</v>
      </c>
      <c r="B43" s="510">
        <f>SUM(B41:B42)</f>
        <v>56882637</v>
      </c>
      <c r="C43" s="511">
        <f>SUM(C41:C42)</f>
        <v>10539569</v>
      </c>
      <c r="D43" s="512">
        <f>SUM(D41:D42)</f>
        <v>117118</v>
      </c>
    </row>
    <row r="44" s="50" customFormat="1" ht="13.5" customHeight="1" thickBot="1"/>
    <row r="45" spans="1:4" s="449" customFormat="1" ht="15.75">
      <c r="A45" s="528" t="s">
        <v>223</v>
      </c>
      <c r="B45" s="450" t="s">
        <v>222</v>
      </c>
      <c r="C45" s="469"/>
      <c r="D45" s="470" t="s">
        <v>30</v>
      </c>
    </row>
    <row r="46" spans="1:4" s="453" customFormat="1" ht="16.5" thickBot="1">
      <c r="A46" s="529" t="s">
        <v>224</v>
      </c>
      <c r="B46" s="477" t="s">
        <v>31</v>
      </c>
      <c r="C46" s="478" t="s">
        <v>1</v>
      </c>
      <c r="D46" s="472" t="s">
        <v>32</v>
      </c>
    </row>
    <row r="47" spans="1:4" s="449" customFormat="1" ht="14.25">
      <c r="A47" s="457" t="s">
        <v>218</v>
      </c>
      <c r="B47" s="479">
        <f>B15</f>
        <v>1827836.2575454544</v>
      </c>
      <c r="C47" s="480">
        <f>C15</f>
        <v>1961840</v>
      </c>
      <c r="D47" s="474">
        <f aca="true" t="shared" si="4" ref="D47:D52">B47/C47*100</f>
        <v>93.16948668318796</v>
      </c>
    </row>
    <row r="48" spans="1:4" s="449" customFormat="1" ht="14.25">
      <c r="A48" s="461" t="s">
        <v>219</v>
      </c>
      <c r="B48" s="462">
        <f>B16</f>
        <v>81685.94754545455</v>
      </c>
      <c r="C48" s="481">
        <f>C16</f>
        <v>307760</v>
      </c>
      <c r="D48" s="482">
        <f t="shared" si="4"/>
        <v>26.54209369166056</v>
      </c>
    </row>
    <row r="49" spans="1:4" s="449" customFormat="1" ht="14.25">
      <c r="A49" s="461" t="s">
        <v>220</v>
      </c>
      <c r="B49" s="462">
        <f>B29+B17</f>
        <v>6483290.988363639</v>
      </c>
      <c r="C49" s="481">
        <f>C29+C17</f>
        <v>6347142</v>
      </c>
      <c r="D49" s="482">
        <f t="shared" si="4"/>
        <v>102.14504399560684</v>
      </c>
    </row>
    <row r="50" spans="1:4" s="449" customFormat="1" ht="15" thickBot="1">
      <c r="A50" s="483" t="s">
        <v>221</v>
      </c>
      <c r="B50" s="484">
        <f>B30+B18</f>
        <v>530348.725454545</v>
      </c>
      <c r="C50" s="485">
        <f>C30+C18</f>
        <v>889920.9640706647</v>
      </c>
      <c r="D50" s="146">
        <f t="shared" si="4"/>
        <v>59.595036735468156</v>
      </c>
    </row>
    <row r="51" spans="1:4" s="538" customFormat="1" ht="15">
      <c r="A51" s="530" t="s">
        <v>225</v>
      </c>
      <c r="B51" s="531">
        <f>B49+B47</f>
        <v>8311127.245909094</v>
      </c>
      <c r="C51" s="532">
        <f>C49+C47</f>
        <v>8308982</v>
      </c>
      <c r="D51" s="533">
        <f t="shared" si="4"/>
        <v>100.02581839639433</v>
      </c>
    </row>
    <row r="52" spans="1:4" s="539" customFormat="1" ht="15" thickBot="1">
      <c r="A52" s="534" t="s">
        <v>38</v>
      </c>
      <c r="B52" s="535">
        <f>B50+B48</f>
        <v>612034.6729999995</v>
      </c>
      <c r="C52" s="536">
        <f>C50+C48</f>
        <v>1197680.9640706647</v>
      </c>
      <c r="D52" s="537">
        <f t="shared" si="4"/>
        <v>51.1016448754285</v>
      </c>
    </row>
  </sheetData>
  <printOptions/>
  <pageMargins left="1.15" right="0.67" top="1.37" bottom="0.45" header="0.72" footer="0.33"/>
  <pageSetup horizontalDpi="600" verticalDpi="600" orientation="portrait" paperSize="9" r:id="rId1"/>
  <headerFooter alignWithMargins="0">
    <oddHeader>&amp;C&amp;"Arial CE,Tučné"Prehľad o výnosoch z poplatkov
za použitie železničnej dopravnej cesty v roku 2002&amp;R
Príloha č.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25.25390625" style="49" customWidth="1"/>
    <col min="2" max="3" width="10.75390625" style="49" customWidth="1"/>
    <col min="4" max="4" width="12.625" style="49" hidden="1" customWidth="1"/>
    <col min="5" max="5" width="10.75390625" style="49" customWidth="1"/>
    <col min="6" max="6" width="9.00390625" style="49" customWidth="1"/>
    <col min="7" max="9" width="8.75390625" style="49" hidden="1" customWidth="1"/>
    <col min="10" max="10" width="12.00390625" style="235" hidden="1" customWidth="1"/>
    <col min="11" max="16384" width="9.125" style="49" customWidth="1"/>
  </cols>
  <sheetData>
    <row r="1" spans="1:12" s="240" customFormat="1" ht="19.5" customHeight="1" thickBot="1">
      <c r="A1" s="244"/>
      <c r="B1" s="242" t="s">
        <v>232</v>
      </c>
      <c r="C1" s="227" t="s">
        <v>235</v>
      </c>
      <c r="D1" s="239" t="s">
        <v>40</v>
      </c>
      <c r="E1" s="622" t="s">
        <v>228</v>
      </c>
      <c r="F1" s="623"/>
      <c r="G1" s="624" t="s">
        <v>255</v>
      </c>
      <c r="H1" s="625"/>
      <c r="I1" s="626"/>
      <c r="J1" s="266" t="s">
        <v>41</v>
      </c>
      <c r="K1" s="627" t="s">
        <v>234</v>
      </c>
      <c r="L1" s="628"/>
    </row>
    <row r="2" spans="1:12" s="240" customFormat="1" ht="16.5" customHeight="1" thickBot="1">
      <c r="A2" s="238" t="s">
        <v>39</v>
      </c>
      <c r="B2" s="237" t="s">
        <v>233</v>
      </c>
      <c r="C2" s="238" t="s">
        <v>236</v>
      </c>
      <c r="D2" s="239"/>
      <c r="E2" s="273" t="s">
        <v>213</v>
      </c>
      <c r="F2" s="272" t="s">
        <v>215</v>
      </c>
      <c r="G2" s="242" t="s">
        <v>231</v>
      </c>
      <c r="H2" s="251" t="s">
        <v>213</v>
      </c>
      <c r="I2" s="250" t="s">
        <v>213</v>
      </c>
      <c r="J2" s="267"/>
      <c r="K2" s="226" t="s">
        <v>231</v>
      </c>
      <c r="L2" s="250" t="s">
        <v>213</v>
      </c>
    </row>
    <row r="3" spans="1:12" s="241" customFormat="1" ht="15" customHeight="1" thickBot="1">
      <c r="A3" s="245" t="s">
        <v>281</v>
      </c>
      <c r="B3" s="243" t="s">
        <v>44</v>
      </c>
      <c r="C3" s="225" t="s">
        <v>266</v>
      </c>
      <c r="D3" s="228" t="s">
        <v>43</v>
      </c>
      <c r="E3" s="274"/>
      <c r="F3" s="247"/>
      <c r="G3" s="246">
        <v>2002</v>
      </c>
      <c r="H3" s="253" t="s">
        <v>229</v>
      </c>
      <c r="I3" s="254" t="s">
        <v>230</v>
      </c>
      <c r="J3" s="268" t="s">
        <v>44</v>
      </c>
      <c r="K3" s="252">
        <v>2002</v>
      </c>
      <c r="L3" s="254" t="s">
        <v>230</v>
      </c>
    </row>
    <row r="4" spans="1:12" s="62" customFormat="1" ht="21" customHeight="1">
      <c r="A4" s="248" t="s">
        <v>45</v>
      </c>
      <c r="B4" s="613">
        <v>523.064</v>
      </c>
      <c r="C4" s="604">
        <v>496.187</v>
      </c>
      <c r="D4" s="419">
        <v>496187</v>
      </c>
      <c r="E4" s="398">
        <v>496</v>
      </c>
      <c r="F4" s="399">
        <v>0</v>
      </c>
      <c r="G4" s="427">
        <f>C4-B4</f>
        <v>-26.876999999999953</v>
      </c>
      <c r="H4" s="428" t="e">
        <f>#REF!-B4</f>
        <v>#REF!</v>
      </c>
      <c r="I4" s="412">
        <f aca="true" t="shared" si="0" ref="I4:I21">E4-B4</f>
        <v>-27.063999999999965</v>
      </c>
      <c r="J4" s="269">
        <f>C4-B4</f>
        <v>-26.876999999999953</v>
      </c>
      <c r="K4" s="255">
        <f>C4/B4*100</f>
        <v>94.86162305186365</v>
      </c>
      <c r="L4" s="256">
        <f aca="true" t="shared" si="1" ref="L4:L18">E4/B4*100</f>
        <v>94.82587216860652</v>
      </c>
    </row>
    <row r="5" spans="1:12" s="62" customFormat="1" ht="21" customHeight="1">
      <c r="A5" s="249" t="s">
        <v>46</v>
      </c>
      <c r="B5" s="614">
        <v>39.984</v>
      </c>
      <c r="C5" s="605">
        <v>40.204</v>
      </c>
      <c r="D5" s="420">
        <v>40204</v>
      </c>
      <c r="E5" s="398">
        <v>40</v>
      </c>
      <c r="F5" s="399">
        <v>0</v>
      </c>
      <c r="G5" s="429">
        <f aca="true" t="shared" si="2" ref="G5:G20">C5-B5</f>
        <v>0.21999999999999886</v>
      </c>
      <c r="H5" s="430" t="e">
        <f>#REF!-B5</f>
        <v>#REF!</v>
      </c>
      <c r="I5" s="413">
        <f t="shared" si="0"/>
        <v>0.015999999999998238</v>
      </c>
      <c r="J5" s="269">
        <f aca="true" t="shared" si="3" ref="J5:J20">C5-B5</f>
        <v>0.21999999999999886</v>
      </c>
      <c r="K5" s="257">
        <f aca="true" t="shared" si="4" ref="K5:K20">C5/B5*100</f>
        <v>100.5502200880352</v>
      </c>
      <c r="L5" s="258">
        <f t="shared" si="1"/>
        <v>100.04001600640255</v>
      </c>
    </row>
    <row r="6" spans="1:12" s="62" customFormat="1" ht="21" customHeight="1">
      <c r="A6" s="249" t="s">
        <v>47</v>
      </c>
      <c r="B6" s="614">
        <v>344.002</v>
      </c>
      <c r="C6" s="605">
        <v>390.137</v>
      </c>
      <c r="D6" s="420">
        <v>390137</v>
      </c>
      <c r="E6" s="398">
        <v>390</v>
      </c>
      <c r="F6" s="399">
        <v>0</v>
      </c>
      <c r="G6" s="429">
        <f t="shared" si="2"/>
        <v>46.13499999999999</v>
      </c>
      <c r="H6" s="430" t="e">
        <f>#REF!-B6</f>
        <v>#REF!</v>
      </c>
      <c r="I6" s="413">
        <f t="shared" si="0"/>
        <v>45.99799999999999</v>
      </c>
      <c r="J6" s="269">
        <f t="shared" si="3"/>
        <v>46.13499999999999</v>
      </c>
      <c r="K6" s="257">
        <f t="shared" si="4"/>
        <v>113.41125923686491</v>
      </c>
      <c r="L6" s="258">
        <f t="shared" si="1"/>
        <v>113.37143388701227</v>
      </c>
    </row>
    <row r="7" spans="1:12" s="62" customFormat="1" ht="21" customHeight="1">
      <c r="A7" s="249" t="s">
        <v>48</v>
      </c>
      <c r="B7" s="614">
        <v>2293.628</v>
      </c>
      <c r="C7" s="605">
        <v>2220.554</v>
      </c>
      <c r="D7" s="420">
        <f>Pr3a!J21*1000</f>
        <v>2268463.054091911</v>
      </c>
      <c r="E7" s="398">
        <v>2221</v>
      </c>
      <c r="F7" s="399">
        <v>0</v>
      </c>
      <c r="G7" s="429">
        <f t="shared" si="2"/>
        <v>-73.07400000000007</v>
      </c>
      <c r="H7" s="430" t="e">
        <f>#REF!-B7</f>
        <v>#REF!</v>
      </c>
      <c r="I7" s="413">
        <f t="shared" si="0"/>
        <v>-72.62800000000016</v>
      </c>
      <c r="J7" s="269">
        <f t="shared" si="3"/>
        <v>-73.07400000000007</v>
      </c>
      <c r="K7" s="257">
        <f t="shared" si="4"/>
        <v>96.81404307934852</v>
      </c>
      <c r="L7" s="258">
        <f t="shared" si="1"/>
        <v>96.83348825528813</v>
      </c>
    </row>
    <row r="8" spans="1:12" s="62" customFormat="1" ht="21" customHeight="1">
      <c r="A8" s="249" t="s">
        <v>49</v>
      </c>
      <c r="B8" s="614">
        <v>1616.85</v>
      </c>
      <c r="C8" s="605">
        <v>1804.503</v>
      </c>
      <c r="D8" s="420">
        <v>1794987</v>
      </c>
      <c r="E8" s="398">
        <v>1795</v>
      </c>
      <c r="F8" s="399">
        <f aca="true" t="shared" si="5" ref="F8:F20">C8-E8</f>
        <v>9.502999999999929</v>
      </c>
      <c r="G8" s="429">
        <f t="shared" si="2"/>
        <v>187.65300000000002</v>
      </c>
      <c r="H8" s="430" t="e">
        <f>#REF!-B8</f>
        <v>#REF!</v>
      </c>
      <c r="I8" s="413">
        <f t="shared" si="0"/>
        <v>178.1500000000001</v>
      </c>
      <c r="J8" s="269">
        <f t="shared" si="3"/>
        <v>187.65300000000002</v>
      </c>
      <c r="K8" s="257">
        <f t="shared" si="4"/>
        <v>111.60608590778365</v>
      </c>
      <c r="L8" s="258">
        <f t="shared" si="1"/>
        <v>111.01833812660419</v>
      </c>
    </row>
    <row r="9" spans="1:12" s="62" customFormat="1" ht="21" customHeight="1">
      <c r="A9" s="249" t="s">
        <v>50</v>
      </c>
      <c r="B9" s="614">
        <f>SUM(B10:B13)</f>
        <v>1845.981</v>
      </c>
      <c r="C9" s="605">
        <f>SUM(C10:C13)-1</f>
        <v>1925.8390000000002</v>
      </c>
      <c r="D9" s="420">
        <f>SUM(D10:D13)</f>
        <v>1929607.3732933137</v>
      </c>
      <c r="E9" s="400">
        <f>SUM(E10:E13)</f>
        <v>1888</v>
      </c>
      <c r="F9" s="399">
        <v>38</v>
      </c>
      <c r="G9" s="429">
        <f t="shared" si="2"/>
        <v>79.85800000000017</v>
      </c>
      <c r="H9" s="430" t="e">
        <f>#REF!-B9</f>
        <v>#REF!</v>
      </c>
      <c r="I9" s="413">
        <f t="shared" si="0"/>
        <v>42.019000000000005</v>
      </c>
      <c r="J9" s="269">
        <f t="shared" si="3"/>
        <v>79.85800000000017</v>
      </c>
      <c r="K9" s="257">
        <f t="shared" si="4"/>
        <v>104.32604669278828</v>
      </c>
      <c r="L9" s="258">
        <f t="shared" si="1"/>
        <v>102.27624227985012</v>
      </c>
    </row>
    <row r="10" spans="1:12" s="231" customFormat="1" ht="16.5" customHeight="1">
      <c r="A10" s="230" t="s">
        <v>51</v>
      </c>
      <c r="B10" s="615">
        <v>865.845</v>
      </c>
      <c r="C10" s="606">
        <v>822.195</v>
      </c>
      <c r="D10" s="421">
        <f>Pr3a!J25*1000</f>
        <v>832170.3732933135</v>
      </c>
      <c r="E10" s="401">
        <v>822</v>
      </c>
      <c r="F10" s="402">
        <v>0</v>
      </c>
      <c r="G10" s="431">
        <f t="shared" si="2"/>
        <v>-43.64999999999998</v>
      </c>
      <c r="H10" s="432" t="e">
        <f>#REF!-B10</f>
        <v>#REF!</v>
      </c>
      <c r="I10" s="414">
        <f t="shared" si="0"/>
        <v>-43.84500000000003</v>
      </c>
      <c r="J10" s="270">
        <f t="shared" si="3"/>
        <v>-43.64999999999998</v>
      </c>
      <c r="K10" s="259">
        <f t="shared" si="4"/>
        <v>94.958681981186</v>
      </c>
      <c r="L10" s="260">
        <f t="shared" si="1"/>
        <v>94.93616062921191</v>
      </c>
    </row>
    <row r="11" spans="1:12" s="231" customFormat="1" ht="16.5" customHeight="1">
      <c r="A11" s="230" t="s">
        <v>52</v>
      </c>
      <c r="B11" s="615">
        <v>51.732</v>
      </c>
      <c r="C11" s="606">
        <v>45.345</v>
      </c>
      <c r="D11" s="421">
        <v>45345</v>
      </c>
      <c r="E11" s="401">
        <v>45</v>
      </c>
      <c r="F11" s="402">
        <v>0</v>
      </c>
      <c r="G11" s="431">
        <f t="shared" si="2"/>
        <v>-6.3870000000000005</v>
      </c>
      <c r="H11" s="432" t="e">
        <f>#REF!-B11</f>
        <v>#REF!</v>
      </c>
      <c r="I11" s="414">
        <f t="shared" si="0"/>
        <v>-6.731999999999999</v>
      </c>
      <c r="J11" s="270">
        <f t="shared" si="3"/>
        <v>-6.3870000000000005</v>
      </c>
      <c r="K11" s="259">
        <f t="shared" si="4"/>
        <v>87.65367664115054</v>
      </c>
      <c r="L11" s="260">
        <f t="shared" si="1"/>
        <v>86.98677800974252</v>
      </c>
    </row>
    <row r="12" spans="1:12" s="231" customFormat="1" ht="16.5" customHeight="1">
      <c r="A12" s="230" t="s">
        <v>53</v>
      </c>
      <c r="B12" s="615">
        <v>147.019</v>
      </c>
      <c r="C12" s="606">
        <v>174.829</v>
      </c>
      <c r="D12" s="421">
        <v>174113</v>
      </c>
      <c r="E12" s="401">
        <v>174</v>
      </c>
      <c r="F12" s="402">
        <v>1</v>
      </c>
      <c r="G12" s="431">
        <f t="shared" si="2"/>
        <v>27.810000000000002</v>
      </c>
      <c r="H12" s="432" t="e">
        <f>#REF!-B12</f>
        <v>#REF!</v>
      </c>
      <c r="I12" s="414">
        <f t="shared" si="0"/>
        <v>26.980999999999995</v>
      </c>
      <c r="J12" s="270">
        <f t="shared" si="3"/>
        <v>27.810000000000002</v>
      </c>
      <c r="K12" s="259">
        <f t="shared" si="4"/>
        <v>118.91592243179454</v>
      </c>
      <c r="L12" s="260">
        <f t="shared" si="1"/>
        <v>118.35204973506825</v>
      </c>
    </row>
    <row r="13" spans="1:12" s="231" customFormat="1" ht="16.5" customHeight="1">
      <c r="A13" s="230" t="s">
        <v>54</v>
      </c>
      <c r="B13" s="616">
        <v>781.385</v>
      </c>
      <c r="C13" s="607">
        <v>884.47</v>
      </c>
      <c r="D13" s="421">
        <v>877979</v>
      </c>
      <c r="E13" s="401">
        <v>847</v>
      </c>
      <c r="F13" s="402">
        <v>37</v>
      </c>
      <c r="G13" s="431">
        <f t="shared" si="2"/>
        <v>103.08500000000004</v>
      </c>
      <c r="H13" s="432" t="e">
        <f>#REF!-B13</f>
        <v>#REF!</v>
      </c>
      <c r="I13" s="414">
        <f t="shared" si="0"/>
        <v>65.61500000000001</v>
      </c>
      <c r="J13" s="270">
        <f t="shared" si="3"/>
        <v>103.08500000000004</v>
      </c>
      <c r="K13" s="259">
        <f t="shared" si="4"/>
        <v>113.19260031866494</v>
      </c>
      <c r="L13" s="260">
        <f t="shared" si="1"/>
        <v>108.39726895192511</v>
      </c>
    </row>
    <row r="14" spans="1:12" s="62" customFormat="1" ht="21" customHeight="1">
      <c r="A14" s="249" t="s">
        <v>55</v>
      </c>
      <c r="B14" s="614">
        <f>SUM(B15:B16)</f>
        <v>3671.269</v>
      </c>
      <c r="C14" s="605">
        <f>SUM(C15:C16)</f>
        <v>4948.355</v>
      </c>
      <c r="D14" s="420">
        <f>SUM(D15:D16)</f>
        <v>3754181.2604807722</v>
      </c>
      <c r="E14" s="400">
        <f>SUM(E15:E16)</f>
        <v>3754</v>
      </c>
      <c r="F14" s="399">
        <f t="shared" si="5"/>
        <v>1194.3549999999996</v>
      </c>
      <c r="G14" s="429">
        <f t="shared" si="2"/>
        <v>1277.0859999999998</v>
      </c>
      <c r="H14" s="430" t="e">
        <f>#REF!-B14</f>
        <v>#REF!</v>
      </c>
      <c r="I14" s="413">
        <f t="shared" si="0"/>
        <v>82.73100000000022</v>
      </c>
      <c r="J14" s="269">
        <f t="shared" si="3"/>
        <v>1277.0859999999998</v>
      </c>
      <c r="K14" s="257">
        <f t="shared" si="4"/>
        <v>134.7859554829679</v>
      </c>
      <c r="L14" s="258">
        <f t="shared" si="1"/>
        <v>102.25347148356605</v>
      </c>
    </row>
    <row r="15" spans="1:12" s="231" customFormat="1" ht="16.5" customHeight="1">
      <c r="A15" s="230" t="s">
        <v>56</v>
      </c>
      <c r="B15" s="615">
        <v>2400.669</v>
      </c>
      <c r="C15" s="606">
        <v>2826.032</v>
      </c>
      <c r="D15" s="421">
        <f>Pr3a!J9*1000</f>
        <v>2167428.769430013</v>
      </c>
      <c r="E15" s="401">
        <v>2167</v>
      </c>
      <c r="F15" s="402">
        <f t="shared" si="5"/>
        <v>659.0320000000002</v>
      </c>
      <c r="G15" s="431">
        <f t="shared" si="2"/>
        <v>425.3630000000003</v>
      </c>
      <c r="H15" s="432" t="e">
        <f>#REF!-B15</f>
        <v>#REF!</v>
      </c>
      <c r="I15" s="414">
        <f t="shared" si="0"/>
        <v>-233.66899999999987</v>
      </c>
      <c r="J15" s="270">
        <f t="shared" si="3"/>
        <v>425.3630000000003</v>
      </c>
      <c r="K15" s="259">
        <f t="shared" si="4"/>
        <v>117.71851929607958</v>
      </c>
      <c r="L15" s="260">
        <f t="shared" si="1"/>
        <v>90.2665048784318</v>
      </c>
    </row>
    <row r="16" spans="1:12" s="231" customFormat="1" ht="16.5" customHeight="1">
      <c r="A16" s="230" t="s">
        <v>237</v>
      </c>
      <c r="B16" s="615">
        <v>1270.6</v>
      </c>
      <c r="C16" s="606">
        <v>2122.323</v>
      </c>
      <c r="D16" s="421">
        <f>Pr3a!J13*1000</f>
        <v>1586752.4910507593</v>
      </c>
      <c r="E16" s="401">
        <v>1587</v>
      </c>
      <c r="F16" s="402">
        <f t="shared" si="5"/>
        <v>535.3229999999999</v>
      </c>
      <c r="G16" s="431">
        <f t="shared" si="2"/>
        <v>851.723</v>
      </c>
      <c r="H16" s="432" t="e">
        <f>#REF!-B16</f>
        <v>#REF!</v>
      </c>
      <c r="I16" s="414">
        <f t="shared" si="0"/>
        <v>316.4000000000001</v>
      </c>
      <c r="J16" s="270">
        <f t="shared" si="3"/>
        <v>851.723</v>
      </c>
      <c r="K16" s="259">
        <f t="shared" si="4"/>
        <v>167.0331339524634</v>
      </c>
      <c r="L16" s="260">
        <f t="shared" si="1"/>
        <v>124.90162128128443</v>
      </c>
    </row>
    <row r="17" spans="1:12" s="62" customFormat="1" ht="21" customHeight="1">
      <c r="A17" s="249" t="s">
        <v>57</v>
      </c>
      <c r="B17" s="617">
        <v>349.741</v>
      </c>
      <c r="C17" s="608">
        <v>1071.324</v>
      </c>
      <c r="D17" s="422">
        <v>1019740</v>
      </c>
      <c r="E17" s="403">
        <v>1019</v>
      </c>
      <c r="F17" s="399">
        <f t="shared" si="5"/>
        <v>52.32400000000007</v>
      </c>
      <c r="G17" s="429">
        <f t="shared" si="2"/>
        <v>721.5830000000001</v>
      </c>
      <c r="H17" s="430" t="e">
        <f>#REF!-B17</f>
        <v>#REF!</v>
      </c>
      <c r="I17" s="413">
        <f t="shared" si="0"/>
        <v>669.259</v>
      </c>
      <c r="J17" s="269">
        <f t="shared" si="3"/>
        <v>721.5830000000001</v>
      </c>
      <c r="K17" s="257">
        <f t="shared" si="4"/>
        <v>306.31924767184864</v>
      </c>
      <c r="L17" s="258">
        <f t="shared" si="1"/>
        <v>291.3584624050369</v>
      </c>
    </row>
    <row r="18" spans="1:12" s="45" customFormat="1" ht="30" customHeight="1">
      <c r="A18" s="43" t="s">
        <v>58</v>
      </c>
      <c r="B18" s="618">
        <f>B4+B5+B6+B7+B8+B9+B14+B17</f>
        <v>10684.519</v>
      </c>
      <c r="C18" s="609">
        <f>C4+C5+C6+C7+C8+C9+C14+C17</f>
        <v>12897.103</v>
      </c>
      <c r="D18" s="423">
        <f>D4+D5+D6+D7+D8+D9+D14+D17</f>
        <v>11693506.687865997</v>
      </c>
      <c r="E18" s="404">
        <f>E4+E5+E6+E7+E8+E9+E14+E17</f>
        <v>11603</v>
      </c>
      <c r="F18" s="405">
        <f t="shared" si="5"/>
        <v>1294.1029999999992</v>
      </c>
      <c r="G18" s="433">
        <f t="shared" si="2"/>
        <v>2212.583999999999</v>
      </c>
      <c r="H18" s="434" t="e">
        <f>#REF!-B18</f>
        <v>#REF!</v>
      </c>
      <c r="I18" s="415">
        <f t="shared" si="0"/>
        <v>918.4809999999998</v>
      </c>
      <c r="J18" s="271">
        <f t="shared" si="3"/>
        <v>2212.583999999999</v>
      </c>
      <c r="K18" s="261">
        <f t="shared" si="4"/>
        <v>120.70831639683546</v>
      </c>
      <c r="L18" s="262">
        <f t="shared" si="1"/>
        <v>108.5963720032694</v>
      </c>
    </row>
    <row r="19" spans="1:12" s="62" customFormat="1" ht="21" customHeight="1" thickBot="1">
      <c r="A19" s="224" t="s">
        <v>59</v>
      </c>
      <c r="B19" s="619">
        <v>0</v>
      </c>
      <c r="C19" s="610">
        <v>0</v>
      </c>
      <c r="D19" s="424"/>
      <c r="E19" s="406">
        <v>0</v>
      </c>
      <c r="F19" s="407">
        <f t="shared" si="5"/>
        <v>0</v>
      </c>
      <c r="G19" s="435">
        <f t="shared" si="2"/>
        <v>0</v>
      </c>
      <c r="H19" s="436" t="e">
        <f>#REF!-B19</f>
        <v>#REF!</v>
      </c>
      <c r="I19" s="416">
        <f t="shared" si="0"/>
        <v>0</v>
      </c>
      <c r="J19" s="269">
        <f t="shared" si="3"/>
        <v>0</v>
      </c>
      <c r="K19" s="263"/>
      <c r="L19" s="264"/>
    </row>
    <row r="20" spans="1:12" s="45" customFormat="1" ht="25.5" customHeight="1" thickBot="1">
      <c r="A20" s="277" t="s">
        <v>60</v>
      </c>
      <c r="B20" s="620">
        <f>B18+B19</f>
        <v>10684.519</v>
      </c>
      <c r="C20" s="611">
        <v>12898</v>
      </c>
      <c r="D20" s="425">
        <f>D18+D19</f>
        <v>11693506.687865997</v>
      </c>
      <c r="E20" s="408">
        <f>E19+E18</f>
        <v>11603</v>
      </c>
      <c r="F20" s="409">
        <f t="shared" si="5"/>
        <v>1295</v>
      </c>
      <c r="G20" s="437">
        <f t="shared" si="2"/>
        <v>2213.4809999999998</v>
      </c>
      <c r="H20" s="438" t="e">
        <f>#REF!-B20</f>
        <v>#REF!</v>
      </c>
      <c r="I20" s="417">
        <f t="shared" si="0"/>
        <v>918.4809999999998</v>
      </c>
      <c r="J20" s="279">
        <f t="shared" si="3"/>
        <v>2213.4809999999998</v>
      </c>
      <c r="K20" s="280">
        <f t="shared" si="4"/>
        <v>120.71671172094878</v>
      </c>
      <c r="L20" s="281">
        <f>E20/B20*100</f>
        <v>108.5963720032694</v>
      </c>
    </row>
    <row r="21" spans="1:12" s="45" customFormat="1" ht="21" customHeight="1" thickBot="1">
      <c r="A21" s="278" t="s">
        <v>238</v>
      </c>
      <c r="B21" s="621">
        <f>B20-B17-B14</f>
        <v>6663.509</v>
      </c>
      <c r="C21" s="612">
        <f>C20-C17-C14</f>
        <v>6878.321</v>
      </c>
      <c r="D21" s="426">
        <f>D20-D17-D14</f>
        <v>6919585.427385224</v>
      </c>
      <c r="E21" s="410">
        <f>E20-E17-E14</f>
        <v>6830</v>
      </c>
      <c r="F21" s="411">
        <f>F20-F17-F14</f>
        <v>48.32100000000037</v>
      </c>
      <c r="G21" s="439">
        <f>C21-B21</f>
        <v>214.8119999999999</v>
      </c>
      <c r="H21" s="440" t="e">
        <f>#REF!-B21</f>
        <v>#REF!</v>
      </c>
      <c r="I21" s="418">
        <f t="shared" si="0"/>
        <v>166.49099999999999</v>
      </c>
      <c r="J21" s="265">
        <f>C21-B21</f>
        <v>214.8119999999999</v>
      </c>
      <c r="K21" s="275">
        <f>C21/B21*100</f>
        <v>103.22370690877733</v>
      </c>
      <c r="L21" s="276">
        <f>E21/B21*100</f>
        <v>102.49854843746739</v>
      </c>
    </row>
    <row r="22" spans="1:8" ht="12">
      <c r="A22" s="232"/>
      <c r="B22" s="233"/>
      <c r="C22" s="233"/>
      <c r="D22" s="233"/>
      <c r="E22" s="234"/>
      <c r="F22" s="234"/>
      <c r="G22" s="229"/>
      <c r="H22" s="48"/>
    </row>
    <row r="23" spans="1:2" ht="12">
      <c r="A23" s="236" t="s">
        <v>226</v>
      </c>
      <c r="B23" s="48"/>
    </row>
    <row r="24" ht="12">
      <c r="A24" s="48" t="s">
        <v>227</v>
      </c>
    </row>
  </sheetData>
  <mergeCells count="3">
    <mergeCell ref="E1:F1"/>
    <mergeCell ref="G1:I1"/>
    <mergeCell ref="K1:L1"/>
  </mergeCells>
  <printOptions/>
  <pageMargins left="1.12" right="0.22" top="2.15" bottom="0.35" header="0.93" footer="0.21"/>
  <pageSetup horizontalDpi="600" verticalDpi="600" orientation="portrait" paperSize="9" r:id="rId1"/>
  <headerFooter alignWithMargins="0">
    <oddHeader>&amp;C&amp;"Arial CE,Tučné"
&amp;12Kvantifikácia nákladov na výkony vo verejnom záujme
pri prevádzkovaní dráhy za rok 2002 (mil.Sk)&amp;R
Príloha č.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2" sqref="A2"/>
    </sheetView>
  </sheetViews>
  <sheetFormatPr defaultColWidth="9.00390625" defaultRowHeight="12.75"/>
  <cols>
    <col min="1" max="1" width="36.125" style="0" customWidth="1"/>
    <col min="2" max="2" width="9.375" style="4" customWidth="1"/>
    <col min="3" max="3" width="10.75390625" style="0" customWidth="1"/>
    <col min="4" max="4" width="10.75390625" style="3" customWidth="1"/>
    <col min="5" max="9" width="10.75390625" style="0" customWidth="1"/>
    <col min="10" max="10" width="11.25390625" style="0" customWidth="1"/>
  </cols>
  <sheetData>
    <row r="1" spans="1:2" ht="20.25" customHeight="1">
      <c r="A1" s="1" t="s">
        <v>263</v>
      </c>
      <c r="B1" s="2"/>
    </row>
    <row r="2" ht="20.25" customHeight="1"/>
    <row r="3" spans="1:10" ht="25.5">
      <c r="A3" s="5"/>
      <c r="B3" s="6" t="s">
        <v>61</v>
      </c>
      <c r="C3" s="7" t="s">
        <v>62</v>
      </c>
      <c r="D3" s="8" t="s">
        <v>63</v>
      </c>
      <c r="E3" s="7" t="s">
        <v>64</v>
      </c>
      <c r="F3" s="7" t="s">
        <v>65</v>
      </c>
      <c r="G3" s="7" t="s">
        <v>66</v>
      </c>
      <c r="H3" s="7" t="s">
        <v>67</v>
      </c>
      <c r="I3" s="7" t="s">
        <v>68</v>
      </c>
      <c r="J3" s="7" t="s">
        <v>69</v>
      </c>
    </row>
    <row r="4" spans="1:11" ht="12.75">
      <c r="A4" s="9" t="s">
        <v>259</v>
      </c>
      <c r="B4" s="10" t="s">
        <v>70</v>
      </c>
      <c r="C4" s="10">
        <v>3668</v>
      </c>
      <c r="D4" s="11">
        <v>3673</v>
      </c>
      <c r="E4" s="10">
        <v>3665</v>
      </c>
      <c r="F4" s="10">
        <v>3667</v>
      </c>
      <c r="G4" s="10">
        <v>3662</v>
      </c>
      <c r="H4" s="10">
        <v>3662</v>
      </c>
      <c r="I4" s="11">
        <v>3662</v>
      </c>
      <c r="J4" s="11">
        <v>3657.171</v>
      </c>
      <c r="K4" s="11"/>
    </row>
    <row r="5" spans="1:10" ht="12.75">
      <c r="A5" s="9" t="s">
        <v>71</v>
      </c>
      <c r="B5" s="10" t="s">
        <v>72</v>
      </c>
      <c r="C5" s="9"/>
      <c r="D5" s="12">
        <v>1.058</v>
      </c>
      <c r="E5" s="13">
        <v>1.061</v>
      </c>
      <c r="F5" s="13">
        <v>1.067</v>
      </c>
      <c r="G5" s="13">
        <v>1.106</v>
      </c>
      <c r="H5" s="13">
        <v>1.12</v>
      </c>
      <c r="I5" s="13">
        <v>1.071</v>
      </c>
      <c r="J5" s="14">
        <v>1.033</v>
      </c>
    </row>
    <row r="6" spans="1:10" s="20" customFormat="1" ht="19.5" customHeight="1">
      <c r="A6" s="15"/>
      <c r="B6" s="16"/>
      <c r="C6" s="15"/>
      <c r="D6" s="17"/>
      <c r="E6" s="18"/>
      <c r="F6" s="18"/>
      <c r="G6" s="18"/>
      <c r="H6" s="18"/>
      <c r="I6" s="18"/>
      <c r="J6" s="19"/>
    </row>
    <row r="7" spans="1:10" ht="12.75">
      <c r="A7" s="9" t="s">
        <v>73</v>
      </c>
      <c r="B7" s="10" t="s">
        <v>74</v>
      </c>
      <c r="C7" s="21">
        <v>1324.343</v>
      </c>
      <c r="D7" s="22"/>
      <c r="E7" s="23"/>
      <c r="F7" s="23"/>
      <c r="G7" s="23"/>
      <c r="H7" s="23"/>
      <c r="I7" s="23"/>
      <c r="J7" s="23"/>
    </row>
    <row r="8" spans="1:10" ht="12.75">
      <c r="A8" s="9" t="s">
        <v>75</v>
      </c>
      <c r="B8" s="10" t="s">
        <v>76</v>
      </c>
      <c r="C8" s="24">
        <f>C7/C4</f>
        <v>0.3610531624863686</v>
      </c>
      <c r="D8" s="25">
        <f>C8*D5</f>
        <v>0.381994245910578</v>
      </c>
      <c r="E8" s="25">
        <f aca="true" t="shared" si="0" ref="E8:J8">D8*E5</f>
        <v>0.4052958949111232</v>
      </c>
      <c r="F8" s="25">
        <f t="shared" si="0"/>
        <v>0.4324507198701685</v>
      </c>
      <c r="G8" s="25">
        <f t="shared" si="0"/>
        <v>0.4782904961764064</v>
      </c>
      <c r="H8" s="25">
        <f t="shared" si="0"/>
        <v>0.5356853557175753</v>
      </c>
      <c r="I8" s="25">
        <f t="shared" si="0"/>
        <v>0.573719015973523</v>
      </c>
      <c r="J8" s="25">
        <f t="shared" si="0"/>
        <v>0.5926517435006492</v>
      </c>
    </row>
    <row r="9" spans="1:10" s="31" customFormat="1" ht="12.75">
      <c r="A9" s="26" t="s">
        <v>77</v>
      </c>
      <c r="B9" s="27" t="s">
        <v>74</v>
      </c>
      <c r="C9" s="28">
        <f>C8*C4</f>
        <v>1324.343</v>
      </c>
      <c r="D9" s="29">
        <f aca="true" t="shared" si="1" ref="D9:J9">D8*D4</f>
        <v>1403.064865229553</v>
      </c>
      <c r="E9" s="28">
        <f t="shared" si="1"/>
        <v>1485.4094548492667</v>
      </c>
      <c r="F9" s="28">
        <f t="shared" si="1"/>
        <v>1585.7967897639078</v>
      </c>
      <c r="G9" s="28">
        <f t="shared" si="1"/>
        <v>1751.4997969980002</v>
      </c>
      <c r="H9" s="28">
        <f t="shared" si="1"/>
        <v>1961.6797726377606</v>
      </c>
      <c r="I9" s="28">
        <f t="shared" si="1"/>
        <v>2100.9590364950413</v>
      </c>
      <c r="J9" s="30">
        <f t="shared" si="1"/>
        <v>2167.428769430013</v>
      </c>
    </row>
    <row r="10" spans="1:10" s="20" customFormat="1" ht="19.5" customHeight="1">
      <c r="A10" s="15"/>
      <c r="B10" s="16"/>
      <c r="C10" s="32"/>
      <c r="D10" s="33"/>
      <c r="E10" s="32"/>
      <c r="F10" s="32"/>
      <c r="G10" s="32"/>
      <c r="H10" s="32"/>
      <c r="I10" s="32"/>
      <c r="J10" s="32"/>
    </row>
    <row r="11" spans="1:10" ht="12.75">
      <c r="A11" s="9" t="s">
        <v>78</v>
      </c>
      <c r="B11" s="10" t="s">
        <v>74</v>
      </c>
      <c r="C11" s="21">
        <v>969.538</v>
      </c>
      <c r="D11" s="22"/>
      <c r="E11" s="23"/>
      <c r="F11" s="23"/>
      <c r="G11" s="23"/>
      <c r="H11" s="23"/>
      <c r="I11" s="23"/>
      <c r="J11" s="23"/>
    </row>
    <row r="12" spans="1:10" ht="12.75">
      <c r="A12" s="9" t="s">
        <v>79</v>
      </c>
      <c r="B12" s="10" t="s">
        <v>76</v>
      </c>
      <c r="C12" s="24">
        <f>C11/C4</f>
        <v>0.2643233369683751</v>
      </c>
      <c r="D12" s="34">
        <f>C12*D5</f>
        <v>0.2796540905125409</v>
      </c>
      <c r="E12" s="34">
        <f aca="true" t="shared" si="2" ref="E12:J12">D12*E5</f>
        <v>0.2967129900338059</v>
      </c>
      <c r="F12" s="34">
        <f t="shared" si="2"/>
        <v>0.31659276036607087</v>
      </c>
      <c r="G12" s="34">
        <f t="shared" si="2"/>
        <v>0.3501515929648744</v>
      </c>
      <c r="H12" s="34">
        <f t="shared" si="2"/>
        <v>0.3921697841206594</v>
      </c>
      <c r="I12" s="34">
        <f t="shared" si="2"/>
        <v>0.4200138387932262</v>
      </c>
      <c r="J12" s="34">
        <f t="shared" si="2"/>
        <v>0.4338742954734026</v>
      </c>
    </row>
    <row r="13" spans="1:10" s="31" customFormat="1" ht="12.75">
      <c r="A13" s="26" t="s">
        <v>80</v>
      </c>
      <c r="B13" s="27" t="s">
        <v>74</v>
      </c>
      <c r="C13" s="28">
        <f>C12*C4</f>
        <v>969.5379999999999</v>
      </c>
      <c r="D13" s="29">
        <f>D12*D4</f>
        <v>1027.1694744525628</v>
      </c>
      <c r="E13" s="29">
        <f aca="true" t="shared" si="3" ref="E13:J13">E12*E4</f>
        <v>1087.4531084738987</v>
      </c>
      <c r="F13" s="29">
        <f t="shared" si="3"/>
        <v>1160.9456522623818</v>
      </c>
      <c r="G13" s="29">
        <f t="shared" si="3"/>
        <v>1282.2551334373702</v>
      </c>
      <c r="H13" s="29">
        <f t="shared" si="3"/>
        <v>1436.1257494498548</v>
      </c>
      <c r="I13" s="29">
        <f t="shared" si="3"/>
        <v>1538.0906776607942</v>
      </c>
      <c r="J13" s="30">
        <f t="shared" si="3"/>
        <v>1586.7524910507593</v>
      </c>
    </row>
    <row r="14" spans="1:10" s="39" customFormat="1" ht="19.5" customHeight="1">
      <c r="A14" s="35"/>
      <c r="B14" s="36"/>
      <c r="C14" s="37"/>
      <c r="D14" s="38"/>
      <c r="E14" s="38"/>
      <c r="F14" s="38"/>
      <c r="G14" s="38"/>
      <c r="H14" s="38"/>
      <c r="I14" s="38"/>
      <c r="J14" s="38"/>
    </row>
    <row r="15" spans="1:10" s="31" customFormat="1" ht="12.75">
      <c r="A15" s="26" t="s">
        <v>81</v>
      </c>
      <c r="B15" s="10" t="s">
        <v>74</v>
      </c>
      <c r="C15" s="29">
        <f>C11+C7</f>
        <v>2293.8810000000003</v>
      </c>
      <c r="D15" s="29"/>
      <c r="E15" s="29"/>
      <c r="F15" s="29"/>
      <c r="G15" s="29"/>
      <c r="H15" s="29"/>
      <c r="I15" s="29"/>
      <c r="J15" s="29"/>
    </row>
    <row r="16" spans="1:10" s="31" customFormat="1" ht="12.75">
      <c r="A16" s="26" t="s">
        <v>82</v>
      </c>
      <c r="B16" s="10" t="s">
        <v>76</v>
      </c>
      <c r="C16" s="40">
        <f>C15/C4</f>
        <v>0.6253764994547438</v>
      </c>
      <c r="D16" s="34">
        <f>C16*D5</f>
        <v>0.661648336423119</v>
      </c>
      <c r="E16" s="34">
        <f aca="true" t="shared" si="4" ref="E16:J16">D16*E5</f>
        <v>0.7020088849449293</v>
      </c>
      <c r="F16" s="34">
        <f t="shared" si="4"/>
        <v>0.7490434802362396</v>
      </c>
      <c r="G16" s="34">
        <f t="shared" si="4"/>
        <v>0.828442089141281</v>
      </c>
      <c r="H16" s="34">
        <f t="shared" si="4"/>
        <v>0.9278551398382349</v>
      </c>
      <c r="I16" s="34">
        <f t="shared" si="4"/>
        <v>0.9937328547667496</v>
      </c>
      <c r="J16" s="34">
        <f t="shared" si="4"/>
        <v>1.0265260389740523</v>
      </c>
    </row>
    <row r="17" spans="1:10" s="31" customFormat="1" ht="12.75">
      <c r="A17" s="26" t="s">
        <v>83</v>
      </c>
      <c r="B17" s="27" t="s">
        <v>74</v>
      </c>
      <c r="C17" s="28">
        <f>C16*C4</f>
        <v>2293.8810000000003</v>
      </c>
      <c r="D17" s="28">
        <f aca="true" t="shared" si="5" ref="D17:J17">D16*D4</f>
        <v>2430.234339682116</v>
      </c>
      <c r="E17" s="28">
        <f t="shared" si="5"/>
        <v>2572.862563323166</v>
      </c>
      <c r="F17" s="28">
        <f t="shared" si="5"/>
        <v>2746.7424420262905</v>
      </c>
      <c r="G17" s="28">
        <f t="shared" si="5"/>
        <v>3033.754930435371</v>
      </c>
      <c r="H17" s="28">
        <f t="shared" si="5"/>
        <v>3397.8055220876163</v>
      </c>
      <c r="I17" s="28">
        <f t="shared" si="5"/>
        <v>3639.0497141558367</v>
      </c>
      <c r="J17" s="30">
        <f t="shared" si="5"/>
        <v>3754.1812604807733</v>
      </c>
    </row>
    <row r="18" spans="1:10" ht="19.5" customHeight="1">
      <c r="A18" s="9"/>
      <c r="B18" s="10"/>
      <c r="C18" s="23"/>
      <c r="D18" s="22"/>
      <c r="E18" s="23"/>
      <c r="F18" s="23"/>
      <c r="G18" s="23"/>
      <c r="H18" s="23"/>
      <c r="I18" s="23"/>
      <c r="J18" s="23"/>
    </row>
    <row r="19" spans="1:10" ht="12.75">
      <c r="A19" s="9" t="s">
        <v>84</v>
      </c>
      <c r="B19" s="10" t="s">
        <v>74</v>
      </c>
      <c r="C19" s="21">
        <v>1386.077</v>
      </c>
      <c r="D19" s="22"/>
      <c r="E19" s="23"/>
      <c r="F19" s="23"/>
      <c r="G19" s="23"/>
      <c r="H19" s="23"/>
      <c r="I19" s="23"/>
      <c r="J19" s="23"/>
    </row>
    <row r="20" spans="1:10" ht="12.75">
      <c r="A20" s="9" t="s">
        <v>85</v>
      </c>
      <c r="B20" s="10" t="s">
        <v>76</v>
      </c>
      <c r="C20" s="40">
        <f>C19/C4</f>
        <v>0.3778835877862595</v>
      </c>
      <c r="D20" s="34">
        <f>C20*D5</f>
        <v>0.3998008358778626</v>
      </c>
      <c r="E20" s="34">
        <f aca="true" t="shared" si="6" ref="E20:J20">D20*E5</f>
        <v>0.4241886868664122</v>
      </c>
      <c r="F20" s="34">
        <f t="shared" si="6"/>
        <v>0.45260932888646177</v>
      </c>
      <c r="G20" s="34">
        <f t="shared" si="6"/>
        <v>0.5005859177484268</v>
      </c>
      <c r="H20" s="34">
        <f t="shared" si="6"/>
        <v>0.560656227878238</v>
      </c>
      <c r="I20" s="34">
        <f t="shared" si="6"/>
        <v>0.6004628200575929</v>
      </c>
      <c r="J20" s="34">
        <f t="shared" si="6"/>
        <v>0.6202780931194934</v>
      </c>
    </row>
    <row r="21" spans="1:10" s="31" customFormat="1" ht="12.75">
      <c r="A21" s="26" t="s">
        <v>86</v>
      </c>
      <c r="B21" s="27" t="s">
        <v>74</v>
      </c>
      <c r="C21" s="28">
        <f>C20*C4</f>
        <v>1386.077</v>
      </c>
      <c r="D21" s="28">
        <f aca="true" t="shared" si="7" ref="D21:J21">D20*D4</f>
        <v>1468.4684701793892</v>
      </c>
      <c r="E21" s="28">
        <f t="shared" si="7"/>
        <v>1554.6515373654008</v>
      </c>
      <c r="F21" s="28">
        <f t="shared" si="7"/>
        <v>1659.7184090266553</v>
      </c>
      <c r="G21" s="28">
        <f t="shared" si="7"/>
        <v>1833.1456307947387</v>
      </c>
      <c r="H21" s="28">
        <f t="shared" si="7"/>
        <v>2053.1231064901076</v>
      </c>
      <c r="I21" s="28">
        <f t="shared" si="7"/>
        <v>2198.8948470509054</v>
      </c>
      <c r="J21" s="30">
        <f t="shared" si="7"/>
        <v>2268.4630540919106</v>
      </c>
    </row>
    <row r="22" spans="1:10" s="20" customFormat="1" ht="19.5" customHeight="1">
      <c r="A22" s="15"/>
      <c r="B22" s="16"/>
      <c r="C22" s="32"/>
      <c r="D22" s="33"/>
      <c r="E22" s="32"/>
      <c r="F22" s="32"/>
      <c r="G22" s="32"/>
      <c r="H22" s="32"/>
      <c r="I22" s="32"/>
      <c r="J22" s="32"/>
    </row>
    <row r="23" spans="1:10" ht="12.75">
      <c r="A23" s="9" t="s">
        <v>87</v>
      </c>
      <c r="B23" s="10" t="s">
        <v>74</v>
      </c>
      <c r="C23" s="21">
        <v>508.473</v>
      </c>
      <c r="D23" s="22"/>
      <c r="E23" s="23"/>
      <c r="F23" s="23"/>
      <c r="G23" s="23"/>
      <c r="H23" s="23"/>
      <c r="I23" s="23"/>
      <c r="J23" s="23"/>
    </row>
    <row r="24" spans="1:10" ht="12.75">
      <c r="A24" s="9" t="s">
        <v>88</v>
      </c>
      <c r="B24" s="10" t="s">
        <v>76</v>
      </c>
      <c r="C24" s="40">
        <f>C23/C4</f>
        <v>0.1386240458015267</v>
      </c>
      <c r="D24" s="34">
        <f>C24*D5</f>
        <v>0.14666424045801527</v>
      </c>
      <c r="E24" s="34">
        <f aca="true" t="shared" si="8" ref="E24:J24">D24*E5</f>
        <v>0.15561075912595418</v>
      </c>
      <c r="F24" s="34">
        <f t="shared" si="8"/>
        <v>0.1660366799873931</v>
      </c>
      <c r="G24" s="34">
        <f t="shared" si="8"/>
        <v>0.1836365680660568</v>
      </c>
      <c r="H24" s="34">
        <f t="shared" si="8"/>
        <v>0.20567295623398363</v>
      </c>
      <c r="I24" s="34">
        <f t="shared" si="8"/>
        <v>0.22027573612659646</v>
      </c>
      <c r="J24" s="34">
        <f t="shared" si="8"/>
        <v>0.22754483541877413</v>
      </c>
    </row>
    <row r="25" spans="1:10" ht="12.75">
      <c r="A25" s="9" t="s">
        <v>89</v>
      </c>
      <c r="B25" s="27" t="s">
        <v>74</v>
      </c>
      <c r="C25" s="28">
        <f>C24*C4</f>
        <v>508.47299999999996</v>
      </c>
      <c r="D25" s="28">
        <f aca="true" t="shared" si="9" ref="D25:J25">D24*D4</f>
        <v>538.6977552022901</v>
      </c>
      <c r="E25" s="28">
        <f t="shared" si="9"/>
        <v>570.3134321966221</v>
      </c>
      <c r="F25" s="28">
        <f t="shared" si="9"/>
        <v>608.8565055137705</v>
      </c>
      <c r="G25" s="28">
        <f t="shared" si="9"/>
        <v>672.4771122579</v>
      </c>
      <c r="H25" s="28">
        <f t="shared" si="9"/>
        <v>753.1743657288481</v>
      </c>
      <c r="I25" s="28">
        <f t="shared" si="9"/>
        <v>806.6497456955963</v>
      </c>
      <c r="J25" s="30">
        <f t="shared" si="9"/>
        <v>832.1703732933136</v>
      </c>
    </row>
    <row r="26" spans="1:10" ht="12.75">
      <c r="A26" s="15"/>
      <c r="B26" s="36"/>
      <c r="C26" s="37"/>
      <c r="D26" s="37"/>
      <c r="E26" s="37"/>
      <c r="F26" s="37"/>
      <c r="G26" s="37"/>
      <c r="H26" s="37"/>
      <c r="I26" s="37"/>
      <c r="J26" s="38"/>
    </row>
    <row r="27" spans="1:10" ht="12.75">
      <c r="A27" s="15" t="s">
        <v>90</v>
      </c>
      <c r="B27" s="36"/>
      <c r="C27" s="37"/>
      <c r="D27" s="37"/>
      <c r="E27" s="37"/>
      <c r="F27" s="37"/>
      <c r="G27" s="37"/>
      <c r="H27" s="37"/>
      <c r="I27" s="37"/>
      <c r="J27" s="38"/>
    </row>
    <row r="28" spans="1:10" ht="12.75">
      <c r="A28" s="15"/>
      <c r="B28" s="36"/>
      <c r="C28" s="37"/>
      <c r="D28" s="37"/>
      <c r="E28" s="37"/>
      <c r="F28" s="37"/>
      <c r="G28" s="37"/>
      <c r="H28" s="37"/>
      <c r="I28" s="37"/>
      <c r="J28" s="38"/>
    </row>
    <row r="29" ht="27.75" customHeight="1">
      <c r="D29" s="41"/>
    </row>
    <row r="30" ht="30" customHeight="1">
      <c r="D30" s="41"/>
    </row>
  </sheetData>
  <printOptions/>
  <pageMargins left="0.92" right="0.36" top="1.61" bottom="1" header="0.96" footer="0.4921259845"/>
  <pageSetup horizontalDpi="600" verticalDpi="600" orientation="landscape" paperSize="9" r:id="rId1"/>
  <headerFooter alignWithMargins="0">
    <oddHeader>&amp;R
Príloha č. 3a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6">
      <selection activeCell="D16" sqref="D16"/>
    </sheetView>
  </sheetViews>
  <sheetFormatPr defaultColWidth="9.00390625" defaultRowHeight="12.75"/>
  <cols>
    <col min="1" max="1" width="44.625" style="0" customWidth="1"/>
    <col min="2" max="2" width="9.125" style="4" customWidth="1"/>
    <col min="3" max="4" width="12.75390625" style="0" customWidth="1"/>
    <col min="5" max="5" width="9.625" style="0" customWidth="1"/>
  </cols>
  <sheetData>
    <row r="1" spans="1:5" s="2" customFormat="1" ht="12.75">
      <c r="A1" s="219" t="s">
        <v>91</v>
      </c>
      <c r="B1" s="545" t="s">
        <v>92</v>
      </c>
      <c r="C1" s="546" t="s">
        <v>44</v>
      </c>
      <c r="D1" s="629" t="s">
        <v>30</v>
      </c>
      <c r="E1" s="630"/>
    </row>
    <row r="2" spans="1:5" s="2" customFormat="1" ht="13.5" thickBot="1">
      <c r="A2" s="282"/>
      <c r="B2" s="547"/>
      <c r="C2" s="548">
        <v>2002</v>
      </c>
      <c r="D2" s="544" t="s">
        <v>31</v>
      </c>
      <c r="E2" s="121" t="s">
        <v>214</v>
      </c>
    </row>
    <row r="3" spans="1:5" ht="12.75">
      <c r="A3" s="150" t="s">
        <v>94</v>
      </c>
      <c r="B3" s="151" t="s">
        <v>70</v>
      </c>
      <c r="C3" s="152">
        <v>3669</v>
      </c>
      <c r="D3" s="152">
        <v>3669</v>
      </c>
      <c r="E3" s="153">
        <f aca="true" t="shared" si="0" ref="E3:E8">D3/C3*100</f>
        <v>100</v>
      </c>
    </row>
    <row r="4" spans="1:5" ht="12.75">
      <c r="A4" s="154" t="s">
        <v>95</v>
      </c>
      <c r="B4" s="148" t="s">
        <v>96</v>
      </c>
      <c r="C4" s="149">
        <f>'Pr1_dopravné výkony'!B7/1000</f>
        <v>35300</v>
      </c>
      <c r="D4" s="149">
        <f>'Pr1_dopravné výkony'!G7/1000</f>
        <v>35874.127</v>
      </c>
      <c r="E4" s="155">
        <f t="shared" si="0"/>
        <v>101.6264220963173</v>
      </c>
    </row>
    <row r="5" spans="1:5" ht="12.75">
      <c r="A5" s="154" t="s">
        <v>97</v>
      </c>
      <c r="B5" s="148" t="s">
        <v>96</v>
      </c>
      <c r="C5" s="149">
        <f>'Pr1_dopravné výkony'!B8/1000</f>
        <v>20143</v>
      </c>
      <c r="D5" s="149">
        <f>'Pr1_dopravné výkony'!G8/1000</f>
        <v>21008.51</v>
      </c>
      <c r="E5" s="155">
        <f t="shared" si="0"/>
        <v>104.29682768207317</v>
      </c>
    </row>
    <row r="6" spans="1:5" ht="12.75">
      <c r="A6" s="154" t="s">
        <v>95</v>
      </c>
      <c r="B6" s="148" t="s">
        <v>98</v>
      </c>
      <c r="C6" s="149">
        <f>'Pr1_dopravné výkony'!C7/1000</f>
        <v>8000</v>
      </c>
      <c r="D6" s="149">
        <f>'Pr1_dopravné výkony'!H7/1000</f>
        <v>10539.569</v>
      </c>
      <c r="E6" s="155">
        <f t="shared" si="0"/>
        <v>131.74461250000002</v>
      </c>
    </row>
    <row r="7" spans="1:5" ht="12.75">
      <c r="A7" s="154" t="s">
        <v>99</v>
      </c>
      <c r="B7" s="148" t="s">
        <v>100</v>
      </c>
      <c r="C7" s="149">
        <f>'Pr1_dopravné výkony'!D16</f>
        <v>1091</v>
      </c>
      <c r="D7" s="149">
        <f>'Pr1_dopravné výkony'!I16</f>
        <v>1768.398</v>
      </c>
      <c r="E7" s="155">
        <f t="shared" si="0"/>
        <v>162.08964252978916</v>
      </c>
    </row>
    <row r="8" spans="1:5" ht="13.5" thickBot="1">
      <c r="A8" s="156" t="s">
        <v>265</v>
      </c>
      <c r="B8" s="157" t="s">
        <v>100</v>
      </c>
      <c r="C8" s="158">
        <f>'Pr1_dopravné výkony'!D21</f>
        <v>115350</v>
      </c>
      <c r="D8" s="158">
        <f>'Pr1_dopravné výkony'!I21</f>
        <v>115350</v>
      </c>
      <c r="E8" s="159">
        <f t="shared" si="0"/>
        <v>100</v>
      </c>
    </row>
    <row r="9" spans="1:5" ht="19.5" customHeight="1" thickBot="1">
      <c r="A9" s="166"/>
      <c r="B9" s="167"/>
      <c r="C9" s="168"/>
      <c r="D9" s="168"/>
      <c r="E9" s="283"/>
    </row>
    <row r="10" spans="1:5" s="2" customFormat="1" ht="12.75">
      <c r="A10" s="219" t="s">
        <v>91</v>
      </c>
      <c r="B10" s="545" t="s">
        <v>92</v>
      </c>
      <c r="C10" s="546" t="s">
        <v>44</v>
      </c>
      <c r="D10" s="629" t="s">
        <v>30</v>
      </c>
      <c r="E10" s="630"/>
    </row>
    <row r="11" spans="1:5" s="2" customFormat="1" ht="13.5" thickBot="1">
      <c r="A11" s="282"/>
      <c r="B11" s="547"/>
      <c r="C11" s="548">
        <v>2002</v>
      </c>
      <c r="D11" s="544" t="s">
        <v>31</v>
      </c>
      <c r="E11" s="121" t="s">
        <v>214</v>
      </c>
    </row>
    <row r="12" spans="1:5" ht="18" customHeight="1">
      <c r="A12" s="543" t="s">
        <v>239</v>
      </c>
      <c r="B12" s="540" t="s">
        <v>74</v>
      </c>
      <c r="C12" s="541">
        <v>10684.519</v>
      </c>
      <c r="D12" s="541">
        <f>'Pr3-náklady'!C20</f>
        <v>12898</v>
      </c>
      <c r="E12" s="542">
        <f>D12/C12*100</f>
        <v>120.71671172094878</v>
      </c>
    </row>
    <row r="13" spans="1:5" s="50" customFormat="1" ht="20.25" customHeight="1" thickBot="1">
      <c r="A13" s="170" t="s">
        <v>267</v>
      </c>
      <c r="B13" s="286" t="s">
        <v>74</v>
      </c>
      <c r="C13" s="171">
        <v>10684.519</v>
      </c>
      <c r="D13" s="171">
        <f>'Pr3-náklady'!E20</f>
        <v>11603</v>
      </c>
      <c r="E13" s="288">
        <f>D13/C13*100</f>
        <v>108.5963720032694</v>
      </c>
    </row>
    <row r="14" spans="1:6" ht="25.5" customHeight="1" thickBot="1">
      <c r="A14" s="166"/>
      <c r="B14" s="167"/>
      <c r="C14" s="169"/>
      <c r="D14" s="169"/>
      <c r="E14" s="289"/>
      <c r="F14" s="285"/>
    </row>
    <row r="15" spans="1:5" ht="12.75">
      <c r="A15" s="150" t="s">
        <v>211</v>
      </c>
      <c r="B15" s="151" t="s">
        <v>74</v>
      </c>
      <c r="C15" s="163">
        <v>8290.583143305585</v>
      </c>
      <c r="D15" s="163">
        <f>'Pr2_poplatok za ŽDC'!B19/1000</f>
        <v>8290.583347909094</v>
      </c>
      <c r="E15" s="287">
        <f>D15/C15*100</f>
        <v>100.0000024679025</v>
      </c>
    </row>
    <row r="16" spans="1:5" ht="12.75">
      <c r="A16" s="154" t="s">
        <v>212</v>
      </c>
      <c r="B16" s="148" t="s">
        <v>74</v>
      </c>
      <c r="C16" s="160">
        <v>18.399</v>
      </c>
      <c r="D16" s="160">
        <f>'Pr2_poplatok za ŽDC'!B31/1000</f>
        <v>20.543898000000002</v>
      </c>
      <c r="E16" s="290">
        <f>D16/C16*100</f>
        <v>111.65768791782162</v>
      </c>
    </row>
    <row r="17" spans="1:5" ht="12.75">
      <c r="A17" s="154" t="s">
        <v>257</v>
      </c>
      <c r="B17" s="148" t="s">
        <v>74</v>
      </c>
      <c r="C17" s="160">
        <v>0</v>
      </c>
      <c r="D17" s="160">
        <v>0.299</v>
      </c>
      <c r="E17" s="290"/>
    </row>
    <row r="18" spans="1:5" ht="12.75">
      <c r="A18" s="154" t="s">
        <v>258</v>
      </c>
      <c r="B18" s="148" t="s">
        <v>74</v>
      </c>
      <c r="C18" s="160">
        <v>50</v>
      </c>
      <c r="D18" s="160">
        <v>867.682</v>
      </c>
      <c r="E18" s="290">
        <f>D18/C18*100</f>
        <v>1735.3639999999998</v>
      </c>
    </row>
    <row r="19" spans="1:5" ht="12.75">
      <c r="A19" s="154" t="s">
        <v>268</v>
      </c>
      <c r="B19" s="148" t="s">
        <v>74</v>
      </c>
      <c r="C19" s="160">
        <v>0</v>
      </c>
      <c r="D19" s="160">
        <v>98.355</v>
      </c>
      <c r="E19" s="290"/>
    </row>
    <row r="20" spans="1:5" s="50" customFormat="1" ht="15.75">
      <c r="A20" s="164" t="s">
        <v>251</v>
      </c>
      <c r="B20" s="173" t="s">
        <v>74</v>
      </c>
      <c r="C20" s="162">
        <f>SUM(C15:C19)</f>
        <v>8358.982143305584</v>
      </c>
      <c r="D20" s="162">
        <f>SUM(D15:D19)</f>
        <v>9277.463245909095</v>
      </c>
      <c r="E20" s="291">
        <f>D20/C20*100</f>
        <v>110.98795387832108</v>
      </c>
    </row>
    <row r="21" spans="1:5" ht="13.5" thickBot="1">
      <c r="A21" s="156" t="s">
        <v>247</v>
      </c>
      <c r="B21" s="157" t="s">
        <v>101</v>
      </c>
      <c r="C21" s="165">
        <f>C20/C13*100</f>
        <v>78.23451990029298</v>
      </c>
      <c r="D21" s="165">
        <f>D20/D13*100</f>
        <v>79.95745277867013</v>
      </c>
      <c r="E21" s="292">
        <f>D21/C21*100</f>
        <v>102.20226682616953</v>
      </c>
    </row>
    <row r="22" spans="1:5" ht="25.5" customHeight="1" thickBot="1">
      <c r="A22" s="166"/>
      <c r="B22" s="167"/>
      <c r="C22" s="169"/>
      <c r="D22" s="169"/>
      <c r="E22" s="289"/>
    </row>
    <row r="23" spans="1:5" ht="12.75">
      <c r="A23" s="150" t="s">
        <v>252</v>
      </c>
      <c r="B23" s="151" t="s">
        <v>74</v>
      </c>
      <c r="C23" s="163">
        <f>C12-C20</f>
        <v>2325.536856694416</v>
      </c>
      <c r="D23" s="163">
        <f>D12-D20</f>
        <v>3620.5367540909047</v>
      </c>
      <c r="E23" s="287">
        <f>D23/C23*100</f>
        <v>155.686062066427</v>
      </c>
    </row>
    <row r="24" spans="1:5" s="50" customFormat="1" ht="15.75">
      <c r="A24" s="164" t="s">
        <v>249</v>
      </c>
      <c r="B24" s="161" t="s">
        <v>74</v>
      </c>
      <c r="C24" s="162">
        <f>C13-C20</f>
        <v>2325.536856694416</v>
      </c>
      <c r="D24" s="162">
        <f>D13-D20</f>
        <v>2325.5367540909047</v>
      </c>
      <c r="E24" s="291">
        <f>D24/C24*100</f>
        <v>99.9999955879645</v>
      </c>
    </row>
    <row r="25" spans="1:5" ht="13.5" thickBot="1">
      <c r="A25" s="172" t="s">
        <v>248</v>
      </c>
      <c r="B25" s="157"/>
      <c r="C25" s="165">
        <f>C24/C13*100</f>
        <v>21.765480099707027</v>
      </c>
      <c r="D25" s="165">
        <f>D24/D13*100</f>
        <v>20.04254722132987</v>
      </c>
      <c r="E25" s="292">
        <f>D25/C25*100</f>
        <v>92.08410349560656</v>
      </c>
    </row>
    <row r="26" spans="1:5" ht="25.5" customHeight="1" thickBot="1">
      <c r="A26" s="216"/>
      <c r="B26" s="217"/>
      <c r="C26" s="218"/>
      <c r="D26" s="218"/>
      <c r="E26" s="293"/>
    </row>
    <row r="27" spans="1:5" s="50" customFormat="1" ht="15.75">
      <c r="A27" s="174" t="s">
        <v>102</v>
      </c>
      <c r="B27" s="175" t="s">
        <v>74</v>
      </c>
      <c r="C27" s="176">
        <v>805.267</v>
      </c>
      <c r="D27" s="176">
        <v>805.267</v>
      </c>
      <c r="E27" s="294">
        <f>D27/C27*100</f>
        <v>100</v>
      </c>
    </row>
    <row r="28" spans="1:5" ht="12.75">
      <c r="A28" s="154" t="s">
        <v>250</v>
      </c>
      <c r="B28" s="148" t="s">
        <v>101</v>
      </c>
      <c r="C28" s="160">
        <f>C27/C24*100</f>
        <v>34.62714416595527</v>
      </c>
      <c r="D28" s="160">
        <f>D27/D24*100</f>
        <v>34.627145693717225</v>
      </c>
      <c r="E28" s="290">
        <f>D28/C28*100</f>
        <v>100.00000441203566</v>
      </c>
    </row>
    <row r="29" spans="1:5" s="50" customFormat="1" ht="16.5" thickBot="1">
      <c r="A29" s="170" t="s">
        <v>103</v>
      </c>
      <c r="B29" s="178" t="s">
        <v>74</v>
      </c>
      <c r="C29" s="171">
        <f>C24-C27</f>
        <v>1520.2698566944161</v>
      </c>
      <c r="D29" s="171">
        <f>D24-D27</f>
        <v>1520.2697540909046</v>
      </c>
      <c r="E29" s="288">
        <f>D29/C29*100</f>
        <v>99.99999325096718</v>
      </c>
    </row>
    <row r="32" ht="12.75">
      <c r="A32" t="s">
        <v>271</v>
      </c>
    </row>
    <row r="33" spans="1:2" ht="12.75">
      <c r="A33" s="236" t="s">
        <v>226</v>
      </c>
      <c r="B33" s="448"/>
    </row>
    <row r="34" ht="12.75">
      <c r="A34" s="48" t="s">
        <v>227</v>
      </c>
    </row>
    <row r="35" ht="12.75">
      <c r="A35" s="48" t="s">
        <v>270</v>
      </c>
    </row>
    <row r="36" ht="12.75">
      <c r="A36" s="448" t="s">
        <v>269</v>
      </c>
    </row>
  </sheetData>
  <mergeCells count="2">
    <mergeCell ref="D1:E1"/>
    <mergeCell ref="D10:E10"/>
  </mergeCells>
  <printOptions/>
  <pageMargins left="0.78" right="0.43" top="1.93" bottom="0.2755905511811024" header="1.07" footer="0.15748031496062992"/>
  <pageSetup horizontalDpi="600" verticalDpi="600" orientation="portrait" paperSize="9" r:id="rId1"/>
  <headerFooter alignWithMargins="0">
    <oddHeader>&amp;C
&amp;"Arial CE,Tučné"&amp;11Kvantifikácia straty z výkonov vo verejnom záujme
 pri prevádzkovaní dráhy v roku 2002
&amp;R
Príloha č.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7">
      <selection activeCell="A39" sqref="A39"/>
    </sheetView>
  </sheetViews>
  <sheetFormatPr defaultColWidth="9.00390625" defaultRowHeight="12.75"/>
  <cols>
    <col min="1" max="1" width="39.375" style="54" customWidth="1"/>
    <col min="2" max="4" width="14.25390625" style="54" customWidth="1"/>
    <col min="5" max="16384" width="9.125" style="54" customWidth="1"/>
  </cols>
  <sheetData>
    <row r="1" spans="1:5" ht="12.75">
      <c r="A1" s="549" t="s">
        <v>39</v>
      </c>
      <c r="B1" s="51" t="s">
        <v>213</v>
      </c>
      <c r="C1" s="559" t="s">
        <v>104</v>
      </c>
      <c r="D1" s="52" t="s">
        <v>105</v>
      </c>
      <c r="E1" s="53"/>
    </row>
    <row r="2" spans="1:5" ht="12.75">
      <c r="A2" s="551"/>
      <c r="B2" s="562" t="s">
        <v>93</v>
      </c>
      <c r="C2" s="560" t="s">
        <v>106</v>
      </c>
      <c r="D2" s="55" t="s">
        <v>107</v>
      </c>
      <c r="E2" s="53"/>
    </row>
    <row r="3" spans="1:5" ht="13.5" thickBot="1">
      <c r="A3" s="552" t="s">
        <v>42</v>
      </c>
      <c r="B3" s="563" t="s">
        <v>272</v>
      </c>
      <c r="C3" s="561"/>
      <c r="D3" s="550"/>
      <c r="E3" s="53"/>
    </row>
    <row r="4" spans="1:4" s="62" customFormat="1" ht="19.5" customHeight="1">
      <c r="A4" s="299" t="s">
        <v>45</v>
      </c>
      <c r="B4" s="570">
        <f>'Pr3-náklady'!E4*1000</f>
        <v>496000</v>
      </c>
      <c r="C4" s="571">
        <f>105696/466112*B4</f>
        <v>112473.43127831937</v>
      </c>
      <c r="D4" s="572">
        <f>B4-C4</f>
        <v>383526.5687216806</v>
      </c>
    </row>
    <row r="5" spans="1:4" s="62" customFormat="1" ht="19.5" customHeight="1">
      <c r="A5" s="300" t="s">
        <v>46</v>
      </c>
      <c r="B5" s="573">
        <f>'Pr3-náklady'!E5*1000</f>
        <v>40000</v>
      </c>
      <c r="C5" s="574">
        <f>8309/37982*B5</f>
        <v>8750.460744563214</v>
      </c>
      <c r="D5" s="63">
        <f>B5-C5</f>
        <v>31249.539255436786</v>
      </c>
    </row>
    <row r="6" spans="1:4" s="62" customFormat="1" ht="19.5" customHeight="1">
      <c r="A6" s="300" t="s">
        <v>47</v>
      </c>
      <c r="B6" s="573">
        <f>'Pr3-náklady'!E6*1000</f>
        <v>390000</v>
      </c>
      <c r="C6" s="574">
        <f>52814/220714*B6</f>
        <v>93321.9460478266</v>
      </c>
      <c r="D6" s="63">
        <f>B6-C6</f>
        <v>296678.0539521734</v>
      </c>
    </row>
    <row r="7" spans="1:4" s="62" customFormat="1" ht="19.5" customHeight="1">
      <c r="A7" s="300" t="s">
        <v>48</v>
      </c>
      <c r="B7" s="573">
        <f>'Pr3-náklady'!E7*1000</f>
        <v>2221000</v>
      </c>
      <c r="C7" s="574">
        <f>665454/2007778*B7</f>
        <v>736123.8812259125</v>
      </c>
      <c r="D7" s="63">
        <f>B7-C7</f>
        <v>1484876.1187740876</v>
      </c>
    </row>
    <row r="8" spans="1:4" s="62" customFormat="1" ht="19.5" customHeight="1">
      <c r="A8" s="300" t="s">
        <v>49</v>
      </c>
      <c r="B8" s="573">
        <f>'Pr3-náklady'!E8*1000</f>
        <v>1795000</v>
      </c>
      <c r="C8" s="574">
        <f>429453/1614900*B8</f>
        <v>477347.28775775584</v>
      </c>
      <c r="D8" s="63">
        <f>B8-C8</f>
        <v>1317652.7122422443</v>
      </c>
    </row>
    <row r="9" spans="1:4" s="62" customFormat="1" ht="19.5" customHeight="1">
      <c r="A9" s="300" t="s">
        <v>50</v>
      </c>
      <c r="B9" s="573">
        <f>SUM(B10:B13)</f>
        <v>1888000</v>
      </c>
      <c r="C9" s="574">
        <f>SUM(C10:C13)</f>
        <v>597553.3013442721</v>
      </c>
      <c r="D9" s="63">
        <f>SUM(D10:D13)</f>
        <v>1290446.6986557278</v>
      </c>
    </row>
    <row r="10" spans="1:4" s="44" customFormat="1" ht="19.5" customHeight="1">
      <c r="A10" s="301" t="s">
        <v>51</v>
      </c>
      <c r="B10" s="575">
        <f>'Pr3-náklady'!E10*1000</f>
        <v>822000</v>
      </c>
      <c r="C10" s="576">
        <f>245392/756523*B10</f>
        <v>266630.656305228</v>
      </c>
      <c r="D10" s="64">
        <f>B10-C10</f>
        <v>555369.343694772</v>
      </c>
    </row>
    <row r="11" spans="1:4" s="44" customFormat="1" ht="19.5" customHeight="1">
      <c r="A11" s="301" t="s">
        <v>52</v>
      </c>
      <c r="B11" s="575">
        <f>'Pr3-náklady'!E11*1000</f>
        <v>45000</v>
      </c>
      <c r="C11" s="576">
        <f>9839/44468*B11</f>
        <v>9956.710443464963</v>
      </c>
      <c r="D11" s="64">
        <f>B11-C11</f>
        <v>35043.28955653503</v>
      </c>
    </row>
    <row r="12" spans="1:4" s="44" customFormat="1" ht="19.5" customHeight="1">
      <c r="A12" s="301" t="s">
        <v>53</v>
      </c>
      <c r="B12" s="575">
        <f>'Pr3-náklady'!E12*1000</f>
        <v>174000</v>
      </c>
      <c r="C12" s="576">
        <f>179107/409270*B12</f>
        <v>76146.84193808488</v>
      </c>
      <c r="D12" s="64">
        <f>B12-C12</f>
        <v>97853.15806191512</v>
      </c>
    </row>
    <row r="13" spans="1:4" s="44" customFormat="1" ht="19.5" customHeight="1">
      <c r="A13" s="301" t="s">
        <v>54</v>
      </c>
      <c r="B13" s="575">
        <f>'Pr3-náklady'!E13*1000</f>
        <v>847000</v>
      </c>
      <c r="C13" s="576">
        <f>169977/588069*B13</f>
        <v>244819.09265749427</v>
      </c>
      <c r="D13" s="64">
        <f>B13-C13</f>
        <v>602180.9073425058</v>
      </c>
    </row>
    <row r="14" spans="1:4" s="65" customFormat="1" ht="19.5" customHeight="1">
      <c r="A14" s="302" t="s">
        <v>108</v>
      </c>
      <c r="B14" s="577">
        <f>B9+B8+B7+B6+B5+B4</f>
        <v>6830000</v>
      </c>
      <c r="C14" s="578">
        <f>C9+C8+C7+C6+C5+C4</f>
        <v>2025570.3083986496</v>
      </c>
      <c r="D14" s="303">
        <f>D9+D8+D7+D6+D5+D4</f>
        <v>4804429.691601351</v>
      </c>
    </row>
    <row r="15" spans="1:4" s="62" customFormat="1" ht="19.5" customHeight="1">
      <c r="A15" s="300" t="s">
        <v>55</v>
      </c>
      <c r="B15" s="573">
        <f>SUM(B16:B17)</f>
        <v>3754000</v>
      </c>
      <c r="C15" s="574">
        <f>SUM(C16:C17)</f>
        <v>1222104.3073982089</v>
      </c>
      <c r="D15" s="63">
        <f>SUM(D16:D17)</f>
        <v>2531895.692601791</v>
      </c>
    </row>
    <row r="16" spans="1:4" s="44" customFormat="1" ht="19.5" customHeight="1">
      <c r="A16" s="301" t="s">
        <v>56</v>
      </c>
      <c r="B16" s="575">
        <f>'Pr3-náklady'!E15*1000</f>
        <v>2167000</v>
      </c>
      <c r="C16" s="576">
        <f>614771/1975310*B16</f>
        <v>674430.2195604742</v>
      </c>
      <c r="D16" s="64">
        <f>B16-C16</f>
        <v>1492569.7804395258</v>
      </c>
    </row>
    <row r="17" spans="1:4" s="44" customFormat="1" ht="19.5" customHeight="1">
      <c r="A17" s="301" t="s">
        <v>237</v>
      </c>
      <c r="B17" s="575">
        <f>'Pr3-náklady'!E16*1000</f>
        <v>1587000</v>
      </c>
      <c r="C17" s="576">
        <f>677536/1963302*B17</f>
        <v>547674.0878377346</v>
      </c>
      <c r="D17" s="64">
        <f>B17-C17</f>
        <v>1039325.9121622654</v>
      </c>
    </row>
    <row r="18" spans="1:4" s="62" customFormat="1" ht="19.5" customHeight="1">
      <c r="A18" s="300" t="s">
        <v>57</v>
      </c>
      <c r="B18" s="573">
        <f>'Pr3-náklady'!E17*1000</f>
        <v>1019000</v>
      </c>
      <c r="C18" s="574">
        <f>287063/831827*B18</f>
        <v>351656.29031036503</v>
      </c>
      <c r="D18" s="63">
        <f>B18-C18</f>
        <v>667343.709689635</v>
      </c>
    </row>
    <row r="19" spans="1:4" s="65" customFormat="1" ht="19.5" customHeight="1">
      <c r="A19" s="302" t="s">
        <v>109</v>
      </c>
      <c r="B19" s="577">
        <f>B14+B15+B18</f>
        <v>11603000</v>
      </c>
      <c r="C19" s="578">
        <f>C14+C15+C18</f>
        <v>3599330.9061072236</v>
      </c>
      <c r="D19" s="303">
        <f>D14+D15+D18</f>
        <v>8003669.093892776</v>
      </c>
    </row>
    <row r="20" spans="1:4" s="62" customFormat="1" ht="19.5" customHeight="1" thickBot="1">
      <c r="A20" s="587" t="s">
        <v>59</v>
      </c>
      <c r="B20" s="588">
        <v>0</v>
      </c>
      <c r="C20" s="589">
        <v>0</v>
      </c>
      <c r="D20" s="590">
        <v>0</v>
      </c>
    </row>
    <row r="21" spans="1:4" s="65" customFormat="1" ht="19.5" customHeight="1" thickBot="1">
      <c r="A21" s="591" t="s">
        <v>110</v>
      </c>
      <c r="B21" s="592">
        <f>B19+B20</f>
        <v>11603000</v>
      </c>
      <c r="C21" s="593">
        <f>C19+C20</f>
        <v>3599330.9061072236</v>
      </c>
      <c r="D21" s="594">
        <f>D19+D20</f>
        <v>8003669.093892776</v>
      </c>
    </row>
    <row r="22" spans="1:4" ht="12.75">
      <c r="A22" s="553"/>
      <c r="B22" s="564"/>
      <c r="C22" s="295"/>
      <c r="D22" s="296"/>
    </row>
    <row r="23" spans="1:4" ht="12.75">
      <c r="A23" s="554" t="s">
        <v>240</v>
      </c>
      <c r="B23" s="565">
        <f>('Pr4-Strata'!D15+'Pr4-Strata'!D16)*1000</f>
        <v>8311127.245909094</v>
      </c>
      <c r="C23" s="297">
        <f>'Pr2_poplatok za ŽDC'!B47</f>
        <v>1827836.2575454544</v>
      </c>
      <c r="D23" s="298">
        <f>'Pr2_poplatok za ŽDC'!B49</f>
        <v>6483290.988363639</v>
      </c>
    </row>
    <row r="24" spans="1:4" ht="12.75">
      <c r="A24" s="554" t="s">
        <v>261</v>
      </c>
      <c r="B24" s="565">
        <f>('Pr4-Strata'!D18+'Pr4-Strata'!D19)*1000</f>
        <v>966037</v>
      </c>
      <c r="C24" s="297">
        <f>C14/B14*B24</f>
        <v>286497.1982451693</v>
      </c>
      <c r="D24" s="298">
        <f>B24-C24</f>
        <v>679539.8017548306</v>
      </c>
    </row>
    <row r="25" spans="1:4" ht="13.5" thickBot="1">
      <c r="A25" s="595" t="s">
        <v>260</v>
      </c>
      <c r="B25" s="596">
        <f>'Pr4-Strata'!D17*1000</f>
        <v>299</v>
      </c>
      <c r="C25" s="597">
        <v>299</v>
      </c>
      <c r="D25" s="598"/>
    </row>
    <row r="26" spans="1:4" s="579" customFormat="1" ht="16.5" thickBot="1">
      <c r="A26" s="599" t="s">
        <v>241</v>
      </c>
      <c r="B26" s="600">
        <f>SUM(B23:B25)</f>
        <v>9277463.245909095</v>
      </c>
      <c r="C26" s="601">
        <f>SUM(C23:C25)</f>
        <v>2114632.4557906236</v>
      </c>
      <c r="D26" s="602">
        <f>SUM(D23:D25)</f>
        <v>7162830.79011847</v>
      </c>
    </row>
    <row r="27" spans="1:4" ht="18.75" customHeight="1">
      <c r="A27" s="555"/>
      <c r="B27" s="566"/>
      <c r="C27" s="222"/>
      <c r="D27" s="223"/>
    </row>
    <row r="28" spans="1:4" s="580" customFormat="1" ht="15.75">
      <c r="A28" s="585" t="s">
        <v>111</v>
      </c>
      <c r="B28" s="586">
        <f>B21-B26</f>
        <v>2325536.754090905</v>
      </c>
      <c r="C28" s="586">
        <f>C21-C26</f>
        <v>1484698.4503166</v>
      </c>
      <c r="D28" s="586">
        <f>D21-D26</f>
        <v>840838.3037743066</v>
      </c>
    </row>
    <row r="29" spans="1:4" ht="18" customHeight="1">
      <c r="A29" s="556"/>
      <c r="B29" s="567"/>
      <c r="C29" s="58"/>
      <c r="D29" s="59"/>
    </row>
    <row r="30" spans="1:4" ht="12.75">
      <c r="A30" s="557" t="s">
        <v>112</v>
      </c>
      <c r="B30" s="568">
        <f>'Pr4-Strata'!D27*1000</f>
        <v>805267</v>
      </c>
      <c r="C30" s="56">
        <f>C21/B21*B30</f>
        <v>249799.39677395893</v>
      </c>
      <c r="D30" s="57">
        <f>B30-C30</f>
        <v>555467.6032260411</v>
      </c>
    </row>
    <row r="31" spans="1:4" ht="13.5" thickBot="1">
      <c r="A31" s="558"/>
      <c r="B31" s="569"/>
      <c r="C31" s="60"/>
      <c r="D31" s="61"/>
    </row>
    <row r="32" spans="1:4" s="580" customFormat="1" ht="16.5" thickBot="1">
      <c r="A32" s="584" t="s">
        <v>113</v>
      </c>
      <c r="B32" s="581">
        <f>B28-B30</f>
        <v>1520269.7540909052</v>
      </c>
      <c r="C32" s="582">
        <f>C28-C30</f>
        <v>1234899.053542641</v>
      </c>
      <c r="D32" s="583">
        <f>D28-D30</f>
        <v>285370.7005482655</v>
      </c>
    </row>
    <row r="33" ht="12.75">
      <c r="A33" s="31"/>
    </row>
    <row r="34" ht="12.75">
      <c r="A34" s="54" t="s">
        <v>114</v>
      </c>
    </row>
    <row r="35" ht="12.75">
      <c r="A35" s="147" t="s">
        <v>274</v>
      </c>
    </row>
    <row r="36" ht="12.75">
      <c r="A36" s="147" t="s">
        <v>273</v>
      </c>
    </row>
    <row r="37" ht="12.75">
      <c r="A37" s="147" t="s">
        <v>275</v>
      </c>
    </row>
    <row r="38" ht="12.75">
      <c r="A38" s="147" t="s">
        <v>276</v>
      </c>
    </row>
  </sheetData>
  <printOptions/>
  <pageMargins left="1.13" right="0.69" top="1.77" bottom="0.31" header="1.12" footer="0.31"/>
  <pageSetup horizontalDpi="600" verticalDpi="600" orientation="portrait" paperSize="9" r:id="rId1"/>
  <headerFooter alignWithMargins="0">
    <oddHeader>&amp;CKvantifikácia straty z výkonov vo verejnom záujme v roku 2002
 v členení na osobnú a nákladnú dopravu&amp;R
Príloha č. 4a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3">
      <selection activeCell="D9" sqref="D9"/>
    </sheetView>
  </sheetViews>
  <sheetFormatPr defaultColWidth="9.00390625" defaultRowHeight="12.75"/>
  <cols>
    <col min="1" max="1" width="37.75390625" style="54" customWidth="1"/>
    <col min="2" max="2" width="14.75390625" style="54" customWidth="1"/>
    <col min="3" max="3" width="16.875" style="54" customWidth="1"/>
    <col min="4" max="4" width="14.25390625" style="54" customWidth="1"/>
    <col min="5" max="16384" width="9.125" style="54" customWidth="1"/>
  </cols>
  <sheetData>
    <row r="1" ht="12.75">
      <c r="A1" s="54" t="s">
        <v>115</v>
      </c>
    </row>
    <row r="2" ht="15.75">
      <c r="A2" s="66" t="s">
        <v>116</v>
      </c>
    </row>
    <row r="5" spans="3:4" s="67" customFormat="1" ht="13.5" thickBot="1">
      <c r="C5" s="68"/>
      <c r="D5" s="71" t="s">
        <v>117</v>
      </c>
    </row>
    <row r="6" spans="1:4" s="72" customFormat="1" ht="39" thickBot="1">
      <c r="A6" s="93" t="s">
        <v>118</v>
      </c>
      <c r="B6" s="82" t="s">
        <v>14</v>
      </c>
      <c r="C6" s="78" t="s">
        <v>119</v>
      </c>
      <c r="D6" s="79" t="s">
        <v>120</v>
      </c>
    </row>
    <row r="7" spans="1:4" s="42" customFormat="1" ht="18" customHeight="1">
      <c r="A7" s="80" t="s">
        <v>121</v>
      </c>
      <c r="B7" s="75">
        <v>0</v>
      </c>
      <c r="C7" s="94">
        <v>0</v>
      </c>
      <c r="D7" s="95">
        <v>0</v>
      </c>
    </row>
    <row r="8" spans="1:4" s="42" customFormat="1" ht="18" customHeight="1">
      <c r="A8" s="81" t="s">
        <v>122</v>
      </c>
      <c r="B8" s="84">
        <v>2476158</v>
      </c>
      <c r="C8" s="73">
        <v>1770648</v>
      </c>
      <c r="D8" s="74">
        <v>705510</v>
      </c>
    </row>
    <row r="9" spans="1:4" s="42" customFormat="1" ht="18" customHeight="1">
      <c r="A9" s="81" t="s">
        <v>123</v>
      </c>
      <c r="B9" s="84">
        <v>958417</v>
      </c>
      <c r="C9" s="73">
        <v>801602</v>
      </c>
      <c r="D9" s="74">
        <v>156815</v>
      </c>
    </row>
    <row r="10" spans="1:4" s="42" customFormat="1" ht="18" customHeight="1">
      <c r="A10" s="81" t="s">
        <v>124</v>
      </c>
      <c r="B10" s="84">
        <v>107070</v>
      </c>
      <c r="C10" s="73">
        <v>6089</v>
      </c>
      <c r="D10" s="74">
        <v>100981</v>
      </c>
    </row>
    <row r="11" spans="1:4" s="42" customFormat="1" ht="18" customHeight="1">
      <c r="A11" s="81" t="s">
        <v>125</v>
      </c>
      <c r="B11" s="84">
        <v>44270</v>
      </c>
      <c r="C11" s="73">
        <v>6892</v>
      </c>
      <c r="D11" s="74">
        <v>37378</v>
      </c>
    </row>
    <row r="12" spans="1:4" s="42" customFormat="1" ht="18" customHeight="1" thickBot="1">
      <c r="A12" s="85" t="s">
        <v>126</v>
      </c>
      <c r="B12" s="86">
        <v>19056</v>
      </c>
      <c r="C12" s="87"/>
      <c r="D12" s="88">
        <v>19056</v>
      </c>
    </row>
    <row r="13" spans="1:4" s="70" customFormat="1" ht="18" customHeight="1" thickBot="1">
      <c r="A13" s="89" t="s">
        <v>17</v>
      </c>
      <c r="B13" s="90">
        <v>3604971</v>
      </c>
      <c r="C13" s="91">
        <f>SUM(C7:C12)</f>
        <v>2585231</v>
      </c>
      <c r="D13" s="92">
        <f>B13-C13</f>
        <v>1019740</v>
      </c>
    </row>
    <row r="14" s="42" customFormat="1" ht="12.75"/>
    <row r="15" s="42" customFormat="1" ht="12.75">
      <c r="A15" s="47" t="s">
        <v>127</v>
      </c>
    </row>
    <row r="16" s="42" customFormat="1" ht="12.75">
      <c r="A16" s="47" t="s">
        <v>128</v>
      </c>
    </row>
    <row r="17" s="42" customFormat="1" ht="12.75"/>
    <row r="18" s="42" customFormat="1" ht="12.75"/>
    <row r="19" s="42" customFormat="1" ht="12.75"/>
    <row r="20" s="42" customFormat="1" ht="15.75">
      <c r="A20" s="70" t="s">
        <v>262</v>
      </c>
    </row>
    <row r="21" s="42" customFormat="1" ht="12.75"/>
    <row r="22" s="42" customFormat="1" ht="13.5" thickBot="1">
      <c r="D22" s="71" t="s">
        <v>117</v>
      </c>
    </row>
    <row r="23" spans="1:4" s="69" customFormat="1" ht="39" thickBot="1">
      <c r="A23" s="93" t="s">
        <v>118</v>
      </c>
      <c r="B23" s="82" t="s">
        <v>14</v>
      </c>
      <c r="C23" s="78" t="s">
        <v>119</v>
      </c>
      <c r="D23" s="79" t="s">
        <v>120</v>
      </c>
    </row>
    <row r="24" spans="1:4" s="42" customFormat="1" ht="18" customHeight="1">
      <c r="A24" s="221" t="s">
        <v>129</v>
      </c>
      <c r="B24" s="83">
        <v>361</v>
      </c>
      <c r="C24" s="76"/>
      <c r="D24" s="77">
        <v>361</v>
      </c>
    </row>
    <row r="25" spans="1:4" s="42" customFormat="1" ht="18" customHeight="1">
      <c r="A25" s="220" t="s">
        <v>216</v>
      </c>
      <c r="B25" s="84">
        <v>0</v>
      </c>
      <c r="C25" s="73"/>
      <c r="D25" s="74">
        <v>0</v>
      </c>
    </row>
    <row r="26" spans="1:4" s="42" customFormat="1" ht="18" customHeight="1">
      <c r="A26" s="81" t="s">
        <v>130</v>
      </c>
      <c r="B26" s="84">
        <v>0</v>
      </c>
      <c r="C26" s="73"/>
      <c r="D26" s="74">
        <v>0</v>
      </c>
    </row>
    <row r="27" spans="1:4" s="42" customFormat="1" ht="18" customHeight="1">
      <c r="A27" s="81" t="s">
        <v>131</v>
      </c>
      <c r="B27" s="84">
        <v>0</v>
      </c>
      <c r="C27" s="73"/>
      <c r="D27" s="74">
        <v>0</v>
      </c>
    </row>
    <row r="28" spans="1:4" s="42" customFormat="1" ht="18" customHeight="1">
      <c r="A28" s="81" t="s">
        <v>132</v>
      </c>
      <c r="B28" s="84">
        <v>17400</v>
      </c>
      <c r="C28" s="73"/>
      <c r="D28" s="74">
        <v>17400</v>
      </c>
    </row>
    <row r="29" spans="1:4" s="42" customFormat="1" ht="18" customHeight="1">
      <c r="A29" s="81" t="s">
        <v>133</v>
      </c>
      <c r="B29" s="84">
        <v>312953</v>
      </c>
      <c r="C29" s="73"/>
      <c r="D29" s="74">
        <v>312953</v>
      </c>
    </row>
    <row r="30" spans="1:4" s="42" customFormat="1" ht="18" customHeight="1">
      <c r="A30" s="81" t="s">
        <v>134</v>
      </c>
      <c r="B30" s="84">
        <v>0</v>
      </c>
      <c r="C30" s="73"/>
      <c r="D30" s="74">
        <v>0</v>
      </c>
    </row>
    <row r="31" spans="1:4" s="42" customFormat="1" ht="18" customHeight="1">
      <c r="A31" s="81" t="s">
        <v>135</v>
      </c>
      <c r="B31" s="84">
        <v>1709675</v>
      </c>
      <c r="C31" s="73">
        <v>1172707</v>
      </c>
      <c r="D31" s="74">
        <v>536968</v>
      </c>
    </row>
    <row r="32" spans="1:4" s="42" customFormat="1" ht="18" customHeight="1">
      <c r="A32" s="81" t="s">
        <v>136</v>
      </c>
      <c r="B32" s="84">
        <v>228825</v>
      </c>
      <c r="C32" s="73">
        <v>9080</v>
      </c>
      <c r="D32" s="74">
        <v>219745</v>
      </c>
    </row>
    <row r="33" spans="1:4" s="42" customFormat="1" ht="18" customHeight="1">
      <c r="A33" s="81" t="s">
        <v>137</v>
      </c>
      <c r="B33" s="84">
        <v>108281</v>
      </c>
      <c r="C33" s="73"/>
      <c r="D33" s="74">
        <v>108281</v>
      </c>
    </row>
    <row r="34" spans="1:4" s="42" customFormat="1" ht="18" customHeight="1">
      <c r="A34" s="81" t="s">
        <v>138</v>
      </c>
      <c r="B34" s="84">
        <v>340</v>
      </c>
      <c r="C34" s="73"/>
      <c r="D34" s="74">
        <v>340</v>
      </c>
    </row>
    <row r="35" spans="1:4" s="42" customFormat="1" ht="18" customHeight="1">
      <c r="A35" s="81" t="s">
        <v>139</v>
      </c>
      <c r="B35" s="84">
        <v>7040</v>
      </c>
      <c r="C35" s="73"/>
      <c r="D35" s="74">
        <v>7040</v>
      </c>
    </row>
    <row r="36" spans="1:5" s="42" customFormat="1" ht="18" customHeight="1" thickBot="1">
      <c r="A36" s="85" t="s">
        <v>140</v>
      </c>
      <c r="B36" s="86">
        <v>1365189</v>
      </c>
      <c r="C36" s="87">
        <v>1163627</v>
      </c>
      <c r="D36" s="88">
        <v>201562</v>
      </c>
      <c r="E36" s="46"/>
    </row>
    <row r="37" spans="1:4" s="70" customFormat="1" ht="18" customHeight="1" thickBot="1">
      <c r="A37" s="89" t="s">
        <v>17</v>
      </c>
      <c r="B37" s="90">
        <f>SUM(B24:B31)</f>
        <v>2040389</v>
      </c>
      <c r="C37" s="90">
        <f>SUM(C24:C31)</f>
        <v>1172707</v>
      </c>
      <c r="D37" s="92">
        <f>B37-C37</f>
        <v>867682</v>
      </c>
    </row>
    <row r="38" s="42" customFormat="1" ht="12.75"/>
    <row r="39" s="42" customFormat="1" ht="12.75">
      <c r="A39" s="47" t="s">
        <v>141</v>
      </c>
    </row>
    <row r="40" s="42" customFormat="1" ht="12.75">
      <c r="A40" s="47" t="s">
        <v>128</v>
      </c>
    </row>
    <row r="41" s="42" customFormat="1" ht="12.75"/>
    <row r="42" s="42" customFormat="1" ht="12.75"/>
  </sheetData>
  <printOptions/>
  <pageMargins left="0.99" right="0.41" top="1.14" bottom="0.77" header="0.4921259845" footer="0.4921259845"/>
  <pageSetup horizontalDpi="600" verticalDpi="600" orientation="portrait" paperSize="9" r:id="rId1"/>
  <headerFooter alignWithMargins="0">
    <oddHeader>&amp;R
Príloha č. 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2" sqref="A2"/>
    </sheetView>
  </sheetViews>
  <sheetFormatPr defaultColWidth="9.00390625" defaultRowHeight="12.75"/>
  <cols>
    <col min="1" max="1" width="50.25390625" style="0" customWidth="1"/>
    <col min="2" max="12" width="8.00390625" style="0" customWidth="1"/>
  </cols>
  <sheetData>
    <row r="1" spans="1:12" ht="12.75">
      <c r="A1" s="183" t="s">
        <v>264</v>
      </c>
      <c r="B1" s="184" t="s">
        <v>142</v>
      </c>
      <c r="C1" s="185"/>
      <c r="D1" s="185"/>
      <c r="E1" s="185"/>
      <c r="F1" s="186"/>
      <c r="G1" s="184" t="s">
        <v>143</v>
      </c>
      <c r="H1" s="185"/>
      <c r="I1" s="185"/>
      <c r="J1" s="185"/>
      <c r="K1" s="187"/>
      <c r="L1" s="186"/>
    </row>
    <row r="2" spans="1:12" ht="13.5" thickBot="1">
      <c r="A2" s="188"/>
      <c r="B2" s="189">
        <v>562</v>
      </c>
      <c r="C2" s="190">
        <v>563</v>
      </c>
      <c r="D2" s="190">
        <v>568</v>
      </c>
      <c r="E2" s="190">
        <v>574</v>
      </c>
      <c r="F2" s="191">
        <v>579</v>
      </c>
      <c r="G2" s="189">
        <v>562</v>
      </c>
      <c r="H2" s="190">
        <v>563</v>
      </c>
      <c r="I2" s="190">
        <v>568</v>
      </c>
      <c r="J2" s="190">
        <v>574</v>
      </c>
      <c r="K2" s="191">
        <v>579</v>
      </c>
      <c r="L2" s="191" t="s">
        <v>17</v>
      </c>
    </row>
    <row r="3" spans="1:12" s="352" customFormat="1" ht="12.75" thickBot="1">
      <c r="A3" s="346" t="s">
        <v>144</v>
      </c>
      <c r="B3" s="347">
        <v>2476158</v>
      </c>
      <c r="C3" s="348">
        <v>958417</v>
      </c>
      <c r="D3" s="348">
        <v>107070</v>
      </c>
      <c r="E3" s="348">
        <v>44270</v>
      </c>
      <c r="F3" s="349">
        <v>19056</v>
      </c>
      <c r="G3" s="350">
        <f>G12+G16+G32+G33+G34+G35+G36+G37</f>
        <v>705510</v>
      </c>
      <c r="H3" s="347">
        <f>H12+H16+H32+H33+H34+H35+H36+H37</f>
        <v>156815</v>
      </c>
      <c r="I3" s="347">
        <f>I12+I16+I32+I33+I34+I35+I36+I37</f>
        <v>100981</v>
      </c>
      <c r="J3" s="347">
        <f>J12+J16+J32+J33+J34+J35+J36+J37</f>
        <v>37378</v>
      </c>
      <c r="K3" s="351">
        <f>K12+K16+K32+K33+K34+K35+K36+K37</f>
        <v>19056</v>
      </c>
      <c r="L3" s="353">
        <f>G3+H3+I3+J3+K3</f>
        <v>1019740</v>
      </c>
    </row>
    <row r="4" spans="1:12" ht="12.75">
      <c r="A4" s="192" t="s">
        <v>145</v>
      </c>
      <c r="B4" s="193"/>
      <c r="C4" s="194"/>
      <c r="D4" s="194"/>
      <c r="E4" s="194"/>
      <c r="F4" s="195"/>
      <c r="G4" s="193"/>
      <c r="H4" s="194"/>
      <c r="I4" s="194"/>
      <c r="J4" s="194"/>
      <c r="K4" s="196"/>
      <c r="L4" s="197">
        <f aca="true" t="shared" si="0" ref="L4:L37">G4+H4+I4+J4+K4</f>
        <v>0</v>
      </c>
    </row>
    <row r="5" spans="1:12" ht="12" customHeight="1">
      <c r="A5" s="198" t="s">
        <v>146</v>
      </c>
      <c r="B5" s="199">
        <v>1770648</v>
      </c>
      <c r="C5" s="200">
        <v>801602</v>
      </c>
      <c r="D5" s="200">
        <v>6089</v>
      </c>
      <c r="E5" s="200">
        <v>6892</v>
      </c>
      <c r="F5" s="201">
        <v>0</v>
      </c>
      <c r="G5" s="199"/>
      <c r="H5" s="200"/>
      <c r="I5" s="200"/>
      <c r="J5" s="200"/>
      <c r="K5" s="202"/>
      <c r="L5" s="203">
        <f t="shared" si="0"/>
        <v>0</v>
      </c>
    </row>
    <row r="6" spans="1:12" ht="12" customHeight="1">
      <c r="A6" s="204" t="s">
        <v>147</v>
      </c>
      <c r="B6" s="205">
        <v>260243</v>
      </c>
      <c r="C6" s="206"/>
      <c r="D6" s="206"/>
      <c r="E6" s="206"/>
      <c r="F6" s="207"/>
      <c r="G6" s="205"/>
      <c r="H6" s="206"/>
      <c r="I6" s="206"/>
      <c r="J6" s="206"/>
      <c r="K6" s="208"/>
      <c r="L6" s="203">
        <f t="shared" si="0"/>
        <v>0</v>
      </c>
    </row>
    <row r="7" spans="1:12" ht="12" customHeight="1">
      <c r="A7" s="204" t="s">
        <v>148</v>
      </c>
      <c r="B7" s="205">
        <v>129479</v>
      </c>
      <c r="C7" s="206">
        <v>1565</v>
      </c>
      <c r="D7" s="206">
        <v>150</v>
      </c>
      <c r="E7" s="206">
        <v>6892</v>
      </c>
      <c r="F7" s="207"/>
      <c r="G7" s="205"/>
      <c r="H7" s="206"/>
      <c r="I7" s="206"/>
      <c r="J7" s="206"/>
      <c r="K7" s="208"/>
      <c r="L7" s="203">
        <f t="shared" si="0"/>
        <v>0</v>
      </c>
    </row>
    <row r="8" spans="1:12" ht="12" customHeight="1">
      <c r="A8" s="204" t="s">
        <v>149</v>
      </c>
      <c r="B8" s="205">
        <v>690934</v>
      </c>
      <c r="C8" s="206"/>
      <c r="D8" s="206"/>
      <c r="E8" s="206"/>
      <c r="F8" s="207"/>
      <c r="G8" s="205"/>
      <c r="H8" s="206"/>
      <c r="I8" s="206"/>
      <c r="J8" s="206"/>
      <c r="K8" s="208"/>
      <c r="L8" s="203">
        <f t="shared" si="0"/>
        <v>0</v>
      </c>
    </row>
    <row r="9" spans="1:12" ht="12" customHeight="1">
      <c r="A9" s="204" t="s">
        <v>150</v>
      </c>
      <c r="B9" s="205">
        <v>270420</v>
      </c>
      <c r="C9" s="206"/>
      <c r="D9" s="206"/>
      <c r="E9" s="206"/>
      <c r="F9" s="207"/>
      <c r="G9" s="205"/>
      <c r="H9" s="206"/>
      <c r="I9" s="206"/>
      <c r="J9" s="206"/>
      <c r="K9" s="208"/>
      <c r="L9" s="203">
        <f t="shared" si="0"/>
        <v>0</v>
      </c>
    </row>
    <row r="10" spans="1:12" ht="12" customHeight="1">
      <c r="A10" s="204" t="s">
        <v>151</v>
      </c>
      <c r="B10" s="205">
        <v>367009</v>
      </c>
      <c r="C10" s="206"/>
      <c r="D10" s="206"/>
      <c r="E10" s="206"/>
      <c r="F10" s="207"/>
      <c r="G10" s="205"/>
      <c r="H10" s="206"/>
      <c r="I10" s="206"/>
      <c r="J10" s="206"/>
      <c r="K10" s="208"/>
      <c r="L10" s="203">
        <f t="shared" si="0"/>
        <v>0</v>
      </c>
    </row>
    <row r="11" spans="1:12" ht="12" customHeight="1">
      <c r="A11" s="204" t="s">
        <v>152</v>
      </c>
      <c r="B11" s="205">
        <v>52563</v>
      </c>
      <c r="C11" s="206">
        <v>800037</v>
      </c>
      <c r="D11" s="206">
        <v>5939</v>
      </c>
      <c r="E11" s="206"/>
      <c r="F11" s="207"/>
      <c r="G11" s="205"/>
      <c r="H11" s="206"/>
      <c r="I11" s="206"/>
      <c r="J11" s="206"/>
      <c r="K11" s="208"/>
      <c r="L11" s="203">
        <f t="shared" si="0"/>
        <v>0</v>
      </c>
    </row>
    <row r="12" spans="1:12" ht="12" customHeight="1">
      <c r="A12" s="198" t="s">
        <v>153</v>
      </c>
      <c r="B12" s="199">
        <f aca="true" t="shared" si="1" ref="B12:K12">SUM(B13:B15)</f>
        <v>394359</v>
      </c>
      <c r="C12" s="200">
        <f t="shared" si="1"/>
        <v>0</v>
      </c>
      <c r="D12" s="200">
        <f t="shared" si="1"/>
        <v>55031</v>
      </c>
      <c r="E12" s="200">
        <f t="shared" si="1"/>
        <v>0</v>
      </c>
      <c r="F12" s="201">
        <f t="shared" si="1"/>
        <v>0</v>
      </c>
      <c r="G12" s="199">
        <f t="shared" si="1"/>
        <v>394359</v>
      </c>
      <c r="H12" s="200">
        <f t="shared" si="1"/>
        <v>0</v>
      </c>
      <c r="I12" s="200">
        <f t="shared" si="1"/>
        <v>55031</v>
      </c>
      <c r="J12" s="200">
        <f t="shared" si="1"/>
        <v>0</v>
      </c>
      <c r="K12" s="202">
        <f t="shared" si="1"/>
        <v>0</v>
      </c>
      <c r="L12" s="203">
        <f t="shared" si="0"/>
        <v>449390</v>
      </c>
    </row>
    <row r="13" spans="1:12" ht="12" customHeight="1">
      <c r="A13" s="204" t="s">
        <v>154</v>
      </c>
      <c r="B13" s="205">
        <v>29323</v>
      </c>
      <c r="C13" s="206"/>
      <c r="D13" s="206">
        <v>3750</v>
      </c>
      <c r="E13" s="206"/>
      <c r="F13" s="207"/>
      <c r="G13" s="205">
        <v>29323</v>
      </c>
      <c r="H13" s="206"/>
      <c r="I13" s="206">
        <v>3750</v>
      </c>
      <c r="J13" s="206"/>
      <c r="K13" s="208"/>
      <c r="L13" s="354">
        <f t="shared" si="0"/>
        <v>33073</v>
      </c>
    </row>
    <row r="14" spans="1:12" ht="12" customHeight="1">
      <c r="A14" s="204" t="s">
        <v>155</v>
      </c>
      <c r="B14" s="205">
        <v>308254</v>
      </c>
      <c r="C14" s="206"/>
      <c r="D14" s="206">
        <v>50481</v>
      </c>
      <c r="E14" s="206"/>
      <c r="F14" s="207"/>
      <c r="G14" s="205">
        <v>308254</v>
      </c>
      <c r="H14" s="206"/>
      <c r="I14" s="206">
        <v>50481</v>
      </c>
      <c r="J14" s="206"/>
      <c r="K14" s="208"/>
      <c r="L14" s="354">
        <f t="shared" si="0"/>
        <v>358735</v>
      </c>
    </row>
    <row r="15" spans="1:12" ht="12" customHeight="1">
      <c r="A15" s="204" t="s">
        <v>156</v>
      </c>
      <c r="B15" s="205">
        <v>56782</v>
      </c>
      <c r="C15" s="206"/>
      <c r="D15" s="206">
        <v>800</v>
      </c>
      <c r="E15" s="206"/>
      <c r="F15" s="207"/>
      <c r="G15" s="205">
        <v>56782</v>
      </c>
      <c r="H15" s="206"/>
      <c r="I15" s="206">
        <v>800</v>
      </c>
      <c r="J15" s="206"/>
      <c r="K15" s="208"/>
      <c r="L15" s="354">
        <f t="shared" si="0"/>
        <v>57582</v>
      </c>
    </row>
    <row r="16" spans="1:12" ht="12" customHeight="1">
      <c r="A16" s="198" t="s">
        <v>157</v>
      </c>
      <c r="B16" s="199">
        <f aca="true" t="shared" si="2" ref="B16:K16">SUM(B17:B31)</f>
        <v>311151</v>
      </c>
      <c r="C16" s="200">
        <f t="shared" si="2"/>
        <v>3930</v>
      </c>
      <c r="D16" s="200">
        <f t="shared" si="2"/>
        <v>5146</v>
      </c>
      <c r="E16" s="200">
        <f t="shared" si="2"/>
        <v>3836</v>
      </c>
      <c r="F16" s="201">
        <f t="shared" si="2"/>
        <v>0</v>
      </c>
      <c r="G16" s="199">
        <f t="shared" si="2"/>
        <v>311151</v>
      </c>
      <c r="H16" s="200">
        <f t="shared" si="2"/>
        <v>3930</v>
      </c>
      <c r="I16" s="200">
        <f t="shared" si="2"/>
        <v>5146</v>
      </c>
      <c r="J16" s="200">
        <f t="shared" si="2"/>
        <v>3836</v>
      </c>
      <c r="K16" s="202">
        <f t="shared" si="2"/>
        <v>0</v>
      </c>
      <c r="L16" s="203">
        <f t="shared" si="0"/>
        <v>324063</v>
      </c>
    </row>
    <row r="17" spans="1:12" ht="12" customHeight="1">
      <c r="A17" s="204" t="s">
        <v>158</v>
      </c>
      <c r="B17" s="205">
        <v>131372</v>
      </c>
      <c r="C17" s="206"/>
      <c r="D17" s="206"/>
      <c r="E17" s="206"/>
      <c r="F17" s="207"/>
      <c r="G17" s="205">
        <v>131372</v>
      </c>
      <c r="H17" s="206"/>
      <c r="I17" s="206"/>
      <c r="J17" s="206"/>
      <c r="K17" s="208"/>
      <c r="L17" s="354">
        <f t="shared" si="0"/>
        <v>131372</v>
      </c>
    </row>
    <row r="18" spans="1:12" ht="12" customHeight="1">
      <c r="A18" s="204" t="s">
        <v>159</v>
      </c>
      <c r="B18" s="205">
        <v>55782</v>
      </c>
      <c r="C18" s="206"/>
      <c r="D18" s="206"/>
      <c r="E18" s="206"/>
      <c r="F18" s="207"/>
      <c r="G18" s="205">
        <v>55782</v>
      </c>
      <c r="H18" s="206"/>
      <c r="I18" s="206"/>
      <c r="J18" s="206"/>
      <c r="K18" s="208"/>
      <c r="L18" s="354">
        <f t="shared" si="0"/>
        <v>55782</v>
      </c>
    </row>
    <row r="19" spans="1:12" ht="12" customHeight="1">
      <c r="A19" s="204" t="s">
        <v>160</v>
      </c>
      <c r="B19" s="205">
        <v>5666</v>
      </c>
      <c r="C19" s="206">
        <v>3930</v>
      </c>
      <c r="D19" s="206">
        <v>591</v>
      </c>
      <c r="E19" s="206">
        <v>3836</v>
      </c>
      <c r="F19" s="207"/>
      <c r="G19" s="205">
        <v>5666</v>
      </c>
      <c r="H19" s="206">
        <v>3930</v>
      </c>
      <c r="I19" s="206">
        <v>591</v>
      </c>
      <c r="J19" s="206">
        <v>3836</v>
      </c>
      <c r="K19" s="208"/>
      <c r="L19" s="354">
        <f t="shared" si="0"/>
        <v>14023</v>
      </c>
    </row>
    <row r="20" spans="1:12" ht="12" customHeight="1">
      <c r="A20" s="204" t="s">
        <v>161</v>
      </c>
      <c r="B20" s="205">
        <v>12887</v>
      </c>
      <c r="C20" s="206"/>
      <c r="D20" s="206"/>
      <c r="E20" s="206"/>
      <c r="F20" s="207"/>
      <c r="G20" s="205">
        <v>12887</v>
      </c>
      <c r="H20" s="206"/>
      <c r="I20" s="206"/>
      <c r="J20" s="206"/>
      <c r="K20" s="208"/>
      <c r="L20" s="354">
        <f t="shared" si="0"/>
        <v>12887</v>
      </c>
    </row>
    <row r="21" spans="1:12" ht="12" customHeight="1">
      <c r="A21" s="204" t="s">
        <v>162</v>
      </c>
      <c r="B21" s="205">
        <v>21068</v>
      </c>
      <c r="C21" s="206"/>
      <c r="D21" s="206"/>
      <c r="E21" s="206"/>
      <c r="F21" s="207"/>
      <c r="G21" s="205">
        <v>21068</v>
      </c>
      <c r="H21" s="206"/>
      <c r="I21" s="206"/>
      <c r="J21" s="206"/>
      <c r="K21" s="208"/>
      <c r="L21" s="354">
        <f t="shared" si="0"/>
        <v>21068</v>
      </c>
    </row>
    <row r="22" spans="1:12" ht="12" customHeight="1">
      <c r="A22" s="204" t="s">
        <v>163</v>
      </c>
      <c r="B22" s="205">
        <v>4716</v>
      </c>
      <c r="C22" s="206"/>
      <c r="D22" s="206"/>
      <c r="E22" s="206"/>
      <c r="F22" s="207"/>
      <c r="G22" s="205">
        <v>4716</v>
      </c>
      <c r="H22" s="206"/>
      <c r="I22" s="206"/>
      <c r="J22" s="206"/>
      <c r="K22" s="208"/>
      <c r="L22" s="354">
        <f t="shared" si="0"/>
        <v>4716</v>
      </c>
    </row>
    <row r="23" spans="1:12" ht="12" customHeight="1">
      <c r="A23" s="204" t="s">
        <v>164</v>
      </c>
      <c r="B23" s="205">
        <v>1549</v>
      </c>
      <c r="C23" s="206"/>
      <c r="D23" s="206"/>
      <c r="E23" s="206"/>
      <c r="F23" s="207"/>
      <c r="G23" s="205">
        <v>1549</v>
      </c>
      <c r="H23" s="206"/>
      <c r="I23" s="206"/>
      <c r="J23" s="206"/>
      <c r="K23" s="208"/>
      <c r="L23" s="354">
        <f t="shared" si="0"/>
        <v>1549</v>
      </c>
    </row>
    <row r="24" spans="1:12" ht="12" customHeight="1">
      <c r="A24" s="204" t="s">
        <v>165</v>
      </c>
      <c r="B24" s="205">
        <v>11521</v>
      </c>
      <c r="C24" s="206"/>
      <c r="D24" s="206">
        <v>4555</v>
      </c>
      <c r="E24" s="206"/>
      <c r="F24" s="207"/>
      <c r="G24" s="205">
        <v>11521</v>
      </c>
      <c r="H24" s="206"/>
      <c r="I24" s="206">
        <v>4555</v>
      </c>
      <c r="J24" s="206"/>
      <c r="K24" s="208"/>
      <c r="L24" s="354">
        <f t="shared" si="0"/>
        <v>16076</v>
      </c>
    </row>
    <row r="25" spans="1:12" ht="12" customHeight="1">
      <c r="A25" s="204" t="s">
        <v>166</v>
      </c>
      <c r="B25" s="205">
        <v>4741</v>
      </c>
      <c r="C25" s="206"/>
      <c r="D25" s="206"/>
      <c r="E25" s="206"/>
      <c r="F25" s="207"/>
      <c r="G25" s="205">
        <v>4741</v>
      </c>
      <c r="H25" s="206"/>
      <c r="I25" s="206"/>
      <c r="J25" s="206"/>
      <c r="K25" s="208"/>
      <c r="L25" s="354">
        <f t="shared" si="0"/>
        <v>4741</v>
      </c>
    </row>
    <row r="26" spans="1:12" ht="12" customHeight="1">
      <c r="A26" s="204" t="s">
        <v>167</v>
      </c>
      <c r="B26" s="205">
        <v>5125</v>
      </c>
      <c r="C26" s="206"/>
      <c r="D26" s="206"/>
      <c r="E26" s="206"/>
      <c r="F26" s="207"/>
      <c r="G26" s="205">
        <v>5125</v>
      </c>
      <c r="H26" s="206"/>
      <c r="I26" s="206"/>
      <c r="J26" s="206"/>
      <c r="K26" s="208"/>
      <c r="L26" s="354">
        <f t="shared" si="0"/>
        <v>5125</v>
      </c>
    </row>
    <row r="27" spans="1:12" ht="12" customHeight="1">
      <c r="A27" s="204" t="s">
        <v>151</v>
      </c>
      <c r="B27" s="205">
        <v>15244</v>
      </c>
      <c r="C27" s="206"/>
      <c r="D27" s="206"/>
      <c r="E27" s="206"/>
      <c r="F27" s="207"/>
      <c r="G27" s="205">
        <v>15244</v>
      </c>
      <c r="H27" s="206"/>
      <c r="I27" s="206"/>
      <c r="J27" s="206"/>
      <c r="K27" s="208"/>
      <c r="L27" s="354">
        <f t="shared" si="0"/>
        <v>15244</v>
      </c>
    </row>
    <row r="28" spans="1:12" ht="12" customHeight="1">
      <c r="A28" s="204" t="s">
        <v>168</v>
      </c>
      <c r="B28" s="205">
        <v>2264</v>
      </c>
      <c r="C28" s="206"/>
      <c r="D28" s="206"/>
      <c r="E28" s="206"/>
      <c r="F28" s="207"/>
      <c r="G28" s="205">
        <v>2264</v>
      </c>
      <c r="H28" s="206"/>
      <c r="I28" s="206"/>
      <c r="J28" s="206"/>
      <c r="K28" s="208"/>
      <c r="L28" s="354">
        <f t="shared" si="0"/>
        <v>2264</v>
      </c>
    </row>
    <row r="29" spans="1:12" ht="12" customHeight="1">
      <c r="A29" s="204" t="s">
        <v>169</v>
      </c>
      <c r="B29" s="205">
        <v>3040</v>
      </c>
      <c r="C29" s="206"/>
      <c r="D29" s="206"/>
      <c r="E29" s="206"/>
      <c r="F29" s="207"/>
      <c r="G29" s="205">
        <v>3040</v>
      </c>
      <c r="H29" s="206"/>
      <c r="I29" s="206"/>
      <c r="J29" s="206"/>
      <c r="K29" s="208"/>
      <c r="L29" s="354">
        <f t="shared" si="0"/>
        <v>3040</v>
      </c>
    </row>
    <row r="30" spans="1:12" ht="12" customHeight="1">
      <c r="A30" s="204" t="s">
        <v>170</v>
      </c>
      <c r="B30" s="205">
        <v>23345</v>
      </c>
      <c r="C30" s="206"/>
      <c r="D30" s="206"/>
      <c r="E30" s="206"/>
      <c r="F30" s="207"/>
      <c r="G30" s="205">
        <v>23345</v>
      </c>
      <c r="H30" s="206"/>
      <c r="I30" s="206"/>
      <c r="J30" s="206"/>
      <c r="K30" s="208"/>
      <c r="L30" s="354">
        <f t="shared" si="0"/>
        <v>23345</v>
      </c>
    </row>
    <row r="31" spans="1:12" ht="12" customHeight="1">
      <c r="A31" s="204" t="s">
        <v>171</v>
      </c>
      <c r="B31" s="205">
        <v>12831</v>
      </c>
      <c r="C31" s="206"/>
      <c r="D31" s="206"/>
      <c r="E31" s="206"/>
      <c r="F31" s="207"/>
      <c r="G31" s="205">
        <v>12831</v>
      </c>
      <c r="H31" s="206"/>
      <c r="I31" s="206"/>
      <c r="J31" s="206"/>
      <c r="K31" s="208"/>
      <c r="L31" s="354">
        <f t="shared" si="0"/>
        <v>12831</v>
      </c>
    </row>
    <row r="32" spans="1:12" ht="12" customHeight="1">
      <c r="A32" s="198" t="s">
        <v>172</v>
      </c>
      <c r="B32" s="205"/>
      <c r="C32" s="200">
        <v>23503</v>
      </c>
      <c r="D32" s="206"/>
      <c r="E32" s="206"/>
      <c r="F32" s="207"/>
      <c r="G32" s="205"/>
      <c r="H32" s="200">
        <v>23503</v>
      </c>
      <c r="I32" s="206"/>
      <c r="J32" s="206"/>
      <c r="K32" s="208"/>
      <c r="L32" s="203">
        <f t="shared" si="0"/>
        <v>23503</v>
      </c>
    </row>
    <row r="33" spans="1:12" ht="12" customHeight="1">
      <c r="A33" s="198" t="s">
        <v>173</v>
      </c>
      <c r="B33" s="205"/>
      <c r="C33" s="200">
        <v>129382</v>
      </c>
      <c r="D33" s="206"/>
      <c r="E33" s="206"/>
      <c r="F33" s="207"/>
      <c r="G33" s="205"/>
      <c r="H33" s="200">
        <v>129382</v>
      </c>
      <c r="I33" s="206"/>
      <c r="J33" s="206"/>
      <c r="K33" s="208"/>
      <c r="L33" s="203">
        <f t="shared" si="0"/>
        <v>129382</v>
      </c>
    </row>
    <row r="34" spans="1:12" ht="12" customHeight="1">
      <c r="A34" s="198" t="s">
        <v>174</v>
      </c>
      <c r="B34" s="205"/>
      <c r="C34" s="206"/>
      <c r="D34" s="200">
        <f>12058+24644</f>
        <v>36702</v>
      </c>
      <c r="E34" s="200"/>
      <c r="F34" s="207"/>
      <c r="G34" s="205"/>
      <c r="H34" s="206"/>
      <c r="I34" s="200">
        <f>12058+24644</f>
        <v>36702</v>
      </c>
      <c r="J34" s="200"/>
      <c r="K34" s="208"/>
      <c r="L34" s="203">
        <f t="shared" si="0"/>
        <v>36702</v>
      </c>
    </row>
    <row r="35" spans="1:12" ht="12" customHeight="1">
      <c r="A35" s="198" t="s">
        <v>175</v>
      </c>
      <c r="B35" s="205"/>
      <c r="C35" s="206"/>
      <c r="D35" s="200">
        <v>4102</v>
      </c>
      <c r="E35" s="200"/>
      <c r="F35" s="207"/>
      <c r="G35" s="205"/>
      <c r="H35" s="206"/>
      <c r="I35" s="200">
        <v>4102</v>
      </c>
      <c r="J35" s="200"/>
      <c r="K35" s="208"/>
      <c r="L35" s="203">
        <f t="shared" si="0"/>
        <v>4102</v>
      </c>
    </row>
    <row r="36" spans="1:12" ht="12" customHeight="1">
      <c r="A36" s="198" t="s">
        <v>176</v>
      </c>
      <c r="B36" s="205"/>
      <c r="C36" s="206"/>
      <c r="D36" s="206"/>
      <c r="E36" s="200">
        <v>33542</v>
      </c>
      <c r="F36" s="207"/>
      <c r="G36" s="205"/>
      <c r="H36" s="206"/>
      <c r="I36" s="206"/>
      <c r="J36" s="200">
        <v>33542</v>
      </c>
      <c r="K36" s="208"/>
      <c r="L36" s="203">
        <f t="shared" si="0"/>
        <v>33542</v>
      </c>
    </row>
    <row r="37" spans="1:12" ht="12" customHeight="1" thickBot="1">
      <c r="A37" s="209" t="s">
        <v>177</v>
      </c>
      <c r="B37" s="210"/>
      <c r="C37" s="211"/>
      <c r="D37" s="212"/>
      <c r="E37" s="212"/>
      <c r="F37" s="213">
        <v>19056</v>
      </c>
      <c r="G37" s="210"/>
      <c r="H37" s="211"/>
      <c r="I37" s="212"/>
      <c r="J37" s="212"/>
      <c r="K37" s="214">
        <v>19056</v>
      </c>
      <c r="L37" s="215">
        <f t="shared" si="0"/>
        <v>19056</v>
      </c>
    </row>
    <row r="38" ht="12" customHeight="1"/>
    <row r="39" ht="12" customHeight="1"/>
    <row r="40" ht="12" customHeight="1"/>
    <row r="41" ht="12" customHeight="1"/>
    <row r="42" ht="12" customHeight="1"/>
  </sheetData>
  <printOptions/>
  <pageMargins left="0.64" right="0.28" top="1.31" bottom="0.55" header="0.81" footer="0.31"/>
  <pageSetup horizontalDpi="600" verticalDpi="600" orientation="landscape" paperSize="9" r:id="rId1"/>
  <headerFooter alignWithMargins="0">
    <oddHeader>&amp;RPríloha č.5a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7">
      <selection activeCell="A39" sqref="A39"/>
    </sheetView>
  </sheetViews>
  <sheetFormatPr defaultColWidth="9.00390625" defaultRowHeight="12.75"/>
  <cols>
    <col min="1" max="1" width="6.875" style="0" customWidth="1"/>
    <col min="2" max="2" width="25.00390625" style="0" customWidth="1"/>
    <col min="3" max="3" width="14.75390625" style="0" customWidth="1"/>
    <col min="4" max="4" width="9.75390625" style="0" customWidth="1"/>
    <col min="5" max="5" width="1.75390625" style="0" customWidth="1"/>
    <col min="6" max="6" width="15.125" style="0" customWidth="1"/>
    <col min="7" max="7" width="11.00390625" style="0" customWidth="1"/>
  </cols>
  <sheetData>
    <row r="1" spans="1:7" ht="15.75">
      <c r="A1" s="179" t="s">
        <v>178</v>
      </c>
      <c r="B1" s="180"/>
      <c r="C1" s="181"/>
      <c r="D1" s="181"/>
      <c r="E1" s="181"/>
      <c r="F1" s="182"/>
      <c r="G1" s="182"/>
    </row>
    <row r="2" spans="1:7" ht="16.5" thickBot="1">
      <c r="A2" s="179"/>
      <c r="B2" s="180"/>
      <c r="C2" s="181"/>
      <c r="D2" s="181"/>
      <c r="E2" s="181"/>
      <c r="F2" s="182"/>
      <c r="G2" s="182"/>
    </row>
    <row r="3" spans="1:7" s="97" customFormat="1" ht="21.75" customHeight="1" thickBot="1">
      <c r="A3" s="329"/>
      <c r="B3" s="330"/>
      <c r="C3" s="332" t="s">
        <v>243</v>
      </c>
      <c r="D3" s="333"/>
      <c r="E3" s="331"/>
      <c r="F3" s="631" t="s">
        <v>244</v>
      </c>
      <c r="G3" s="632"/>
    </row>
    <row r="4" spans="1:7" s="97" customFormat="1" ht="15" customHeight="1" thickBot="1">
      <c r="A4" s="304" t="s">
        <v>179</v>
      </c>
      <c r="B4" s="334" t="s">
        <v>180</v>
      </c>
      <c r="C4" s="307" t="s">
        <v>181</v>
      </c>
      <c r="D4" s="305" t="s">
        <v>182</v>
      </c>
      <c r="E4" s="306"/>
      <c r="F4" s="307" t="s">
        <v>181</v>
      </c>
      <c r="G4" s="305" t="s">
        <v>182</v>
      </c>
    </row>
    <row r="5" spans="1:7" s="97" customFormat="1" ht="15" customHeight="1" thickTop="1">
      <c r="A5" s="308">
        <v>501.3</v>
      </c>
      <c r="B5" s="335" t="s">
        <v>183</v>
      </c>
      <c r="C5" s="311">
        <f>(152306+36933)*0.947699</f>
        <v>179341.611061</v>
      </c>
      <c r="D5" s="309">
        <v>0</v>
      </c>
      <c r="E5" s="310"/>
      <c r="F5" s="311">
        <f>(21465+301)*0.9679624</f>
        <v>21068.6695984</v>
      </c>
      <c r="G5" s="309">
        <v>0</v>
      </c>
    </row>
    <row r="6" spans="1:7" s="97" customFormat="1" ht="15" customHeight="1">
      <c r="A6" s="312">
        <v>502</v>
      </c>
      <c r="B6" s="335" t="s">
        <v>184</v>
      </c>
      <c r="C6" s="311">
        <f>161566*0.947699</f>
        <v>153115.93663399998</v>
      </c>
      <c r="D6" s="309">
        <v>0</v>
      </c>
      <c r="E6" s="310"/>
      <c r="F6" s="311">
        <f>3922*0.9679624</f>
        <v>3796.3485328</v>
      </c>
      <c r="G6" s="309">
        <v>0</v>
      </c>
    </row>
    <row r="7" spans="1:7" s="97" customFormat="1" ht="15" customHeight="1">
      <c r="A7" s="313">
        <v>511</v>
      </c>
      <c r="B7" s="336" t="s">
        <v>185</v>
      </c>
      <c r="C7" s="315">
        <f>29977*0.947699</f>
        <v>28409.172923</v>
      </c>
      <c r="D7" s="314">
        <v>0</v>
      </c>
      <c r="E7" s="310"/>
      <c r="F7" s="315">
        <f>2581*0.9679624</f>
        <v>2498.3109544</v>
      </c>
      <c r="G7" s="314">
        <v>0</v>
      </c>
    </row>
    <row r="8" spans="1:7" s="97" customFormat="1" ht="15" customHeight="1">
      <c r="A8" s="313">
        <v>512</v>
      </c>
      <c r="B8" s="336" t="s">
        <v>186</v>
      </c>
      <c r="C8" s="315">
        <f>13699*0.947699</f>
        <v>12982.528601</v>
      </c>
      <c r="D8" s="314">
        <v>0</v>
      </c>
      <c r="E8" s="310"/>
      <c r="F8" s="315">
        <f>10842*0.9679624</f>
        <v>10494.6483408</v>
      </c>
      <c r="G8" s="314">
        <v>0</v>
      </c>
    </row>
    <row r="9" spans="1:7" s="97" customFormat="1" ht="15" customHeight="1">
      <c r="A9" s="315">
        <v>513</v>
      </c>
      <c r="B9" s="337" t="s">
        <v>187</v>
      </c>
      <c r="C9" s="315">
        <f>640*0.947699</f>
        <v>606.5273599999999</v>
      </c>
      <c r="D9" s="314">
        <f>640*0.947699</f>
        <v>606.5273599999999</v>
      </c>
      <c r="E9" s="310"/>
      <c r="F9" s="316">
        <f>5021</f>
        <v>5021</v>
      </c>
      <c r="G9" s="317">
        <f>5021</f>
        <v>5021</v>
      </c>
    </row>
    <row r="10" spans="1:7" s="97" customFormat="1" ht="15" customHeight="1">
      <c r="A10" s="313">
        <v>518</v>
      </c>
      <c r="B10" s="338" t="s">
        <v>188</v>
      </c>
      <c r="C10" s="316">
        <f>184218*0.947699</f>
        <v>174583.214382</v>
      </c>
      <c r="D10" s="317">
        <f>615*0.947699</f>
        <v>582.834885</v>
      </c>
      <c r="E10" s="318"/>
      <c r="F10" s="315">
        <f>491301*0.9679624</f>
        <v>475560.8950824</v>
      </c>
      <c r="G10" s="317">
        <f>171*0.9679624</f>
        <v>165.5215704</v>
      </c>
    </row>
    <row r="11" spans="1:7" s="97" customFormat="1" ht="15" customHeight="1">
      <c r="A11" s="313">
        <v>521</v>
      </c>
      <c r="B11" s="336" t="s">
        <v>189</v>
      </c>
      <c r="C11" s="316">
        <f>826533*0.947699</f>
        <v>783304.497567</v>
      </c>
      <c r="D11" s="317">
        <v>0</v>
      </c>
      <c r="E11" s="318"/>
      <c r="F11" s="315">
        <f>204074*0.9679624</f>
        <v>197535.9588176</v>
      </c>
      <c r="G11" s="317">
        <v>0</v>
      </c>
    </row>
    <row r="12" spans="1:7" s="97" customFormat="1" ht="15" customHeight="1">
      <c r="A12" s="315">
        <v>523</v>
      </c>
      <c r="B12" s="337" t="s">
        <v>190</v>
      </c>
      <c r="C12" s="316">
        <v>0</v>
      </c>
      <c r="D12" s="317">
        <v>0</v>
      </c>
      <c r="E12" s="318"/>
      <c r="F12" s="315">
        <f>4054*0.9679624</f>
        <v>3924.1195696</v>
      </c>
      <c r="G12" s="319">
        <f>4054*0.9679624</f>
        <v>3924.1195696</v>
      </c>
    </row>
    <row r="13" spans="1:7" s="97" customFormat="1" ht="15" customHeight="1">
      <c r="A13" s="313">
        <v>524</v>
      </c>
      <c r="B13" s="336" t="s">
        <v>191</v>
      </c>
      <c r="C13" s="316">
        <f>304720*0.947699</f>
        <v>288782.83928</v>
      </c>
      <c r="D13" s="317">
        <v>0</v>
      </c>
      <c r="E13" s="318"/>
      <c r="F13" s="315">
        <f>64537*0.9679624</f>
        <v>62469.3894088</v>
      </c>
      <c r="G13" s="317">
        <v>0</v>
      </c>
    </row>
    <row r="14" spans="1:7" s="97" customFormat="1" ht="15" customHeight="1">
      <c r="A14" s="315">
        <v>525</v>
      </c>
      <c r="B14" s="337" t="s">
        <v>192</v>
      </c>
      <c r="C14" s="316">
        <f>14338*0.947699</f>
        <v>13588.108262</v>
      </c>
      <c r="D14" s="317">
        <v>0</v>
      </c>
      <c r="E14" s="318"/>
      <c r="F14" s="315">
        <f>2745*0.9679624</f>
        <v>2657.056788</v>
      </c>
      <c r="G14" s="317">
        <v>0</v>
      </c>
    </row>
    <row r="15" spans="1:7" s="97" customFormat="1" ht="15" customHeight="1">
      <c r="A15" s="315">
        <v>527</v>
      </c>
      <c r="B15" s="337" t="s">
        <v>193</v>
      </c>
      <c r="C15" s="316">
        <f>132176*0.947699</f>
        <v>125263.06302399999</v>
      </c>
      <c r="D15" s="317">
        <v>0</v>
      </c>
      <c r="E15" s="318"/>
      <c r="F15" s="315">
        <f>57409*0.9679624</f>
        <v>55569.7534216</v>
      </c>
      <c r="G15" s="317">
        <v>0</v>
      </c>
    </row>
    <row r="16" spans="1:7" s="97" customFormat="1" ht="15" customHeight="1">
      <c r="A16" s="315">
        <v>528</v>
      </c>
      <c r="B16" s="337" t="s">
        <v>194</v>
      </c>
      <c r="C16" s="316">
        <f>283*0.947699</f>
        <v>268.19881699999996</v>
      </c>
      <c r="D16" s="317">
        <f>283*0.947699</f>
        <v>268.19881699999996</v>
      </c>
      <c r="E16" s="318"/>
      <c r="F16" s="315">
        <f>858*0.9679624</f>
        <v>830.5117392</v>
      </c>
      <c r="G16" s="319">
        <f>858*0.9679624</f>
        <v>830.5117392</v>
      </c>
    </row>
    <row r="17" spans="1:7" s="97" customFormat="1" ht="15" customHeight="1">
      <c r="A17" s="315">
        <v>531</v>
      </c>
      <c r="B17" s="337" t="s">
        <v>195</v>
      </c>
      <c r="C17" s="316">
        <f>495*0.947699</f>
        <v>469.111005</v>
      </c>
      <c r="D17" s="317">
        <v>0</v>
      </c>
      <c r="E17" s="318"/>
      <c r="F17" s="315">
        <f>40*0.9679624</f>
        <v>38.718496</v>
      </c>
      <c r="G17" s="317">
        <v>0</v>
      </c>
    </row>
    <row r="18" spans="1:7" s="97" customFormat="1" ht="15" customHeight="1">
      <c r="A18" s="315">
        <v>532</v>
      </c>
      <c r="B18" s="337" t="s">
        <v>196</v>
      </c>
      <c r="C18" s="316">
        <f>1457*0.947699</f>
        <v>1380.797443</v>
      </c>
      <c r="D18" s="317">
        <v>0</v>
      </c>
      <c r="E18" s="318"/>
      <c r="F18" s="315">
        <v>0</v>
      </c>
      <c r="G18" s="317">
        <v>0</v>
      </c>
    </row>
    <row r="19" spans="1:7" s="97" customFormat="1" ht="15" customHeight="1">
      <c r="A19" s="315">
        <v>538</v>
      </c>
      <c r="B19" s="337" t="s">
        <v>197</v>
      </c>
      <c r="C19" s="316">
        <f>6565*0.947699</f>
        <v>6221.643935</v>
      </c>
      <c r="D19" s="317">
        <v>0</v>
      </c>
      <c r="E19" s="318"/>
      <c r="F19" s="315">
        <f>24452*0.9679624</f>
        <v>23668.6166048</v>
      </c>
      <c r="G19" s="317">
        <v>0</v>
      </c>
    </row>
    <row r="20" spans="1:7" s="97" customFormat="1" ht="15" customHeight="1">
      <c r="A20" s="320">
        <v>541</v>
      </c>
      <c r="B20" s="337" t="s">
        <v>198</v>
      </c>
      <c r="C20" s="316">
        <f>3048*0.947699</f>
        <v>2888.5865519999998</v>
      </c>
      <c r="D20" s="317">
        <v>0</v>
      </c>
      <c r="E20" s="318"/>
      <c r="F20" s="315">
        <f>0*0.9679624</f>
        <v>0</v>
      </c>
      <c r="G20" s="319">
        <f>0*0.9679624</f>
        <v>0</v>
      </c>
    </row>
    <row r="21" spans="1:7" s="97" customFormat="1" ht="15" customHeight="1">
      <c r="A21" s="321">
        <v>542</v>
      </c>
      <c r="B21" s="337" t="s">
        <v>199</v>
      </c>
      <c r="C21" s="316">
        <v>0</v>
      </c>
      <c r="D21" s="317">
        <v>0</v>
      </c>
      <c r="E21" s="318"/>
      <c r="F21" s="315">
        <f>0*0.9679624</f>
        <v>0</v>
      </c>
      <c r="G21" s="319">
        <f>0*0.9679624</f>
        <v>0</v>
      </c>
    </row>
    <row r="22" spans="1:7" s="97" customFormat="1" ht="15" customHeight="1">
      <c r="A22" s="321">
        <v>543</v>
      </c>
      <c r="B22" s="337" t="s">
        <v>200</v>
      </c>
      <c r="C22" s="316">
        <f>29*0.947699</f>
        <v>27.483271</v>
      </c>
      <c r="D22" s="317">
        <v>27</v>
      </c>
      <c r="E22" s="318"/>
      <c r="F22" s="315">
        <f>2*0.9679624</f>
        <v>1.9359248</v>
      </c>
      <c r="G22" s="319">
        <f>2*0.9679624</f>
        <v>1.9359248</v>
      </c>
    </row>
    <row r="23" spans="1:7" s="97" customFormat="1" ht="15" customHeight="1">
      <c r="A23" s="321">
        <v>544</v>
      </c>
      <c r="B23" s="337" t="s">
        <v>201</v>
      </c>
      <c r="C23" s="316">
        <f>2251*0.947699</f>
        <v>2133.270449</v>
      </c>
      <c r="D23" s="317">
        <f>2251*0.947699</f>
        <v>2133.270449</v>
      </c>
      <c r="E23" s="318"/>
      <c r="F23" s="315">
        <f>66776*0.9679624</f>
        <v>64636.6572224</v>
      </c>
      <c r="G23" s="319">
        <f>66776*0.9679624</f>
        <v>64636.6572224</v>
      </c>
    </row>
    <row r="24" spans="1:7" s="97" customFormat="1" ht="15" customHeight="1">
      <c r="A24" s="321">
        <v>545</v>
      </c>
      <c r="B24" s="337" t="s">
        <v>202</v>
      </c>
      <c r="C24" s="316">
        <f>179240*0.947699</f>
        <v>169865.56876</v>
      </c>
      <c r="D24" s="317">
        <f>179240*0.947699</f>
        <v>169865.56876</v>
      </c>
      <c r="E24" s="318"/>
      <c r="F24" s="315">
        <f>36115*0.9679624</f>
        <v>34957.962076</v>
      </c>
      <c r="G24" s="319">
        <f>36115*0.9679624</f>
        <v>34957.962076</v>
      </c>
    </row>
    <row r="25" spans="1:7" s="97" customFormat="1" ht="15" customHeight="1">
      <c r="A25" s="321">
        <v>546</v>
      </c>
      <c r="B25" s="337" t="s">
        <v>203</v>
      </c>
      <c r="C25" s="316">
        <f>4596*0.947699</f>
        <v>4355.624604</v>
      </c>
      <c r="D25" s="317">
        <f>4596*0.947699</f>
        <v>4355.624604</v>
      </c>
      <c r="E25" s="318"/>
      <c r="F25" s="315">
        <f>43009*0.9679624</f>
        <v>41631.0948616</v>
      </c>
      <c r="G25" s="319">
        <f>43009*0.9679624</f>
        <v>41631.0948616</v>
      </c>
    </row>
    <row r="26" spans="1:7" s="97" customFormat="1" ht="15" customHeight="1">
      <c r="A26" s="321">
        <v>548</v>
      </c>
      <c r="B26" s="337" t="s">
        <v>204</v>
      </c>
      <c r="C26" s="316">
        <f>11137*0.947699</f>
        <v>10554.523763</v>
      </c>
      <c r="D26" s="317">
        <v>0</v>
      </c>
      <c r="E26" s="318"/>
      <c r="F26" s="315">
        <f>62704*0.9679624</f>
        <v>60695.1143296</v>
      </c>
      <c r="G26" s="317">
        <f>5209*0.9679624</f>
        <v>5042.1161416</v>
      </c>
    </row>
    <row r="27" spans="1:7" s="97" customFormat="1" ht="15" customHeight="1">
      <c r="A27" s="312">
        <v>551</v>
      </c>
      <c r="B27" s="338" t="s">
        <v>205</v>
      </c>
      <c r="C27" s="316">
        <f>60960*0.947699</f>
        <v>57771.73104</v>
      </c>
      <c r="D27" s="317">
        <f>233*0.947699</f>
        <v>220.813867</v>
      </c>
      <c r="E27" s="318"/>
      <c r="F27" s="315">
        <f>12106*0.9679624</f>
        <v>11718.1528144</v>
      </c>
      <c r="G27" s="317">
        <v>0</v>
      </c>
    </row>
    <row r="28" spans="1:7" s="97" customFormat="1" ht="15" customHeight="1">
      <c r="A28" s="321">
        <v>559</v>
      </c>
      <c r="B28" s="337" t="s">
        <v>245</v>
      </c>
      <c r="C28" s="316">
        <f>326101*0.947699</f>
        <v>309045.591599</v>
      </c>
      <c r="D28" s="317">
        <v>0</v>
      </c>
      <c r="E28" s="318"/>
      <c r="F28" s="315">
        <f>2753183*0.9679624-2538180</f>
        <v>126797.62431919994</v>
      </c>
      <c r="G28" s="322"/>
    </row>
    <row r="29" spans="1:7" s="97" customFormat="1" ht="15" customHeight="1">
      <c r="A29" s="321">
        <v>582.8</v>
      </c>
      <c r="B29" s="337" t="s">
        <v>206</v>
      </c>
      <c r="C29" s="316">
        <f>124637*0.947699</f>
        <v>118118.360263</v>
      </c>
      <c r="D29" s="317">
        <f>124637*0.947699</f>
        <v>118118.360263</v>
      </c>
      <c r="E29" s="318"/>
      <c r="F29" s="315">
        <f>412775*0.9679624</f>
        <v>399550.67966</v>
      </c>
      <c r="G29" s="319">
        <f>380686*0.9679624</f>
        <v>368489.7342064</v>
      </c>
    </row>
    <row r="30" spans="1:7" s="97" customFormat="1" ht="15" customHeight="1">
      <c r="A30" s="321">
        <v>599</v>
      </c>
      <c r="B30" s="337" t="s">
        <v>207</v>
      </c>
      <c r="C30" s="316">
        <f>672*0.947699</f>
        <v>636.8537279999999</v>
      </c>
      <c r="D30" s="317">
        <v>0</v>
      </c>
      <c r="E30" s="318"/>
      <c r="F30" s="315">
        <f>3*0.9679624</f>
        <v>2.9038872</v>
      </c>
      <c r="G30" s="317">
        <v>0</v>
      </c>
    </row>
    <row r="31" spans="1:7" s="97" customFormat="1" ht="15" customHeight="1">
      <c r="A31" s="321">
        <v>801</v>
      </c>
      <c r="B31" s="337" t="s">
        <v>208</v>
      </c>
      <c r="C31" s="316">
        <v>0</v>
      </c>
      <c r="D31" s="317">
        <v>0</v>
      </c>
      <c r="E31" s="318"/>
      <c r="F31" s="315">
        <f>492795*0.9679624</f>
        <v>477007.030908</v>
      </c>
      <c r="G31" s="317">
        <v>0</v>
      </c>
    </row>
    <row r="32" spans="1:7" s="97" customFormat="1" ht="15" customHeight="1">
      <c r="A32" s="321">
        <v>892</v>
      </c>
      <c r="B32" s="337" t="s">
        <v>209</v>
      </c>
      <c r="C32" s="316">
        <f>403416*0.947699</f>
        <v>382316.939784</v>
      </c>
      <c r="D32" s="317">
        <v>0</v>
      </c>
      <c r="E32" s="318"/>
      <c r="F32" s="315">
        <f>41520*0.9679624</f>
        <v>40189.798848</v>
      </c>
      <c r="G32" s="317">
        <v>0</v>
      </c>
    </row>
    <row r="33" spans="1:7" s="97" customFormat="1" ht="15" customHeight="1">
      <c r="A33" s="312"/>
      <c r="B33" s="336" t="s">
        <v>210</v>
      </c>
      <c r="C33" s="316">
        <f>C9+C12+SUM(C14:C26)+SUM(C28:C32)</f>
        <v>1147740.252619</v>
      </c>
      <c r="D33" s="317">
        <f>D9+D12+SUM(D14:D26)+SUM(D28:D32)</f>
        <v>295374.550253</v>
      </c>
      <c r="E33" s="318"/>
      <c r="F33" s="323">
        <f>F9+F12+SUM(F14:F26)+SUM(F28:F32)</f>
        <v>1337180.5786559999</v>
      </c>
      <c r="G33" s="317">
        <f>G9+G12+SUM(G14:G26)+SUM(G28:G32)</f>
        <v>524535.1317416</v>
      </c>
    </row>
    <row r="34" spans="1:9" s="97" customFormat="1" ht="15" customHeight="1" thickBot="1">
      <c r="A34" s="324"/>
      <c r="B34" s="339"/>
      <c r="C34" s="326"/>
      <c r="D34" s="325"/>
      <c r="E34" s="318"/>
      <c r="F34" s="326"/>
      <c r="G34" s="325"/>
      <c r="I34" s="318"/>
    </row>
    <row r="35" spans="1:7" s="97" customFormat="1" ht="15" customHeight="1" thickBot="1">
      <c r="A35" s="633" t="s">
        <v>253</v>
      </c>
      <c r="B35" s="634"/>
      <c r="C35" s="328">
        <f>SUM(C4:C34)-C33</f>
        <v>2826031.7841069996</v>
      </c>
      <c r="D35" s="340">
        <f>SUM(D4:D34)-D33</f>
        <v>296178.19900499994</v>
      </c>
      <c r="E35" s="327"/>
      <c r="F35" s="328">
        <f>SUM(F4:F34)-F33</f>
        <v>2122322.9522055993</v>
      </c>
      <c r="G35" s="340">
        <f>SUM(G4:G34)-G33</f>
        <v>524700.6533120001</v>
      </c>
    </row>
    <row r="36" spans="1:7" s="342" customFormat="1" ht="15" customHeight="1" thickBot="1">
      <c r="A36" s="444"/>
      <c r="B36" s="445"/>
      <c r="C36" s="341"/>
      <c r="D36" s="341"/>
      <c r="E36" s="341"/>
      <c r="F36" s="341"/>
      <c r="G36" s="341"/>
    </row>
    <row r="37" spans="1:9" s="342" customFormat="1" ht="15" customHeight="1" thickBot="1">
      <c r="A37" s="344" t="s">
        <v>242</v>
      </c>
      <c r="B37" s="442"/>
      <c r="C37" s="345">
        <f>C35-D35</f>
        <v>2529853.585102</v>
      </c>
      <c r="D37" s="341"/>
      <c r="E37" s="341"/>
      <c r="F37" s="345">
        <f>F35-G35</f>
        <v>1597622.2988935993</v>
      </c>
      <c r="G37" s="341"/>
      <c r="I37" s="343"/>
    </row>
    <row r="38" spans="1:9" s="97" customFormat="1" ht="15" customHeight="1" thickBot="1">
      <c r="A38" s="355"/>
      <c r="B38" s="356"/>
      <c r="C38" s="327"/>
      <c r="D38" s="327"/>
      <c r="E38" s="327"/>
      <c r="F38" s="327"/>
      <c r="G38" s="327"/>
      <c r="I38" s="98"/>
    </row>
    <row r="39" spans="1:7" s="97" customFormat="1" ht="19.5" customHeight="1" thickBot="1">
      <c r="A39" s="358" t="s">
        <v>246</v>
      </c>
      <c r="B39" s="359"/>
      <c r="C39" s="443">
        <v>2167429</v>
      </c>
      <c r="D39" s="441"/>
      <c r="E39" s="357"/>
      <c r="F39" s="443">
        <v>1586752</v>
      </c>
      <c r="G39" s="441"/>
    </row>
    <row r="40" spans="1:6" s="2" customFormat="1" ht="16.5" customHeight="1" thickBot="1">
      <c r="A40" s="446" t="s">
        <v>256</v>
      </c>
      <c r="B40" s="284"/>
      <c r="C40" s="447">
        <f>C35-C39</f>
        <v>658602.7841069996</v>
      </c>
      <c r="F40" s="447">
        <f>F35-F39</f>
        <v>535570.9522055993</v>
      </c>
    </row>
    <row r="42" ht="12.75">
      <c r="A42" t="s">
        <v>254</v>
      </c>
    </row>
  </sheetData>
  <mergeCells count="2">
    <mergeCell ref="F3:G3"/>
    <mergeCell ref="A35:B35"/>
  </mergeCells>
  <printOptions/>
  <pageMargins left="1.2" right="0.32" top="1.67" bottom="1" header="1" footer="0.4921259845"/>
  <pageSetup horizontalDpi="600" verticalDpi="600" orientation="portrait" paperSize="9" r:id="rId1"/>
  <headerFooter alignWithMargins="0">
    <oddHeader>&amp;RPríloha č.6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 ŽSR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Kukučka</dc:creator>
  <cp:keywords/>
  <dc:description/>
  <cp:lastModifiedBy>OI</cp:lastModifiedBy>
  <cp:lastPrinted>2003-07-23T12:12:47Z</cp:lastPrinted>
  <dcterms:created xsi:type="dcterms:W3CDTF">2003-03-27T06:33:28Z</dcterms:created>
  <dcterms:modified xsi:type="dcterms:W3CDTF">2003-07-23T11:47:03Z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