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2120" windowHeight="4080" tabRatio="736" activeTab="3"/>
  </bookViews>
  <sheets>
    <sheet name="Sumarizácia" sheetId="1" r:id="rId1"/>
    <sheet name="Celkový podrobný rozpočet - ZA" sheetId="2" r:id="rId2"/>
    <sheet name="Rozpočet výstavby BA" sheetId="3" r:id="rId3"/>
    <sheet name="Priloha 2" sheetId="4" r:id="rId4"/>
  </sheets>
  <externalReferences>
    <externalReference r:id="rId7"/>
  </externalReferences>
  <definedNames>
    <definedName name="_xlnm.Print_Titles" localSheetId="1">'Celkový podrobný rozpočet - ZA'!$1:$2</definedName>
  </definedNames>
  <calcPr fullCalcOnLoad="1"/>
</workbook>
</file>

<file path=xl/comments2.xml><?xml version="1.0" encoding="utf-8"?>
<comments xmlns="http://schemas.openxmlformats.org/spreadsheetml/2006/main">
  <authors>
    <author>Juraj Lichner</author>
  </authors>
  <commentList>
    <comment ref="X22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11 Provizia
19 Projekty
6,6 Provízia
10 Ostatné</t>
        </r>
      </text>
    </comment>
    <comment ref="Y25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Úroky+ istina + poplatok, prvé zvýšené nájomné</t>
        </r>
      </text>
    </comment>
    <comment ref="X33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7 provízia
7 projekty
10 provízia
182 Stavba roku 2005</t>
        </r>
      </text>
    </comment>
    <comment ref="Y85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11 bežné náklady
6,3 provízia za zabezpečenie financovania</t>
        </r>
      </text>
    </comment>
    <comment ref="Y24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ekonomické služby
právne služby
účtovné služby</t>
        </r>
      </text>
    </comment>
    <comment ref="Y37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ekonomické služby
právne služby
účtovné služby</t>
        </r>
      </text>
    </comment>
    <comment ref="Y43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6,3 poplatok banke</t>
        </r>
      </text>
    </comment>
    <comment ref="Y77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2004 + do 31.8.2005 + do konca roka 2005</t>
        </r>
      </text>
    </comment>
    <comment ref="AG33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Provízia developera
</t>
        </r>
      </text>
    </comment>
    <comment ref="AH38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3 Ubytovanie 2mesiace</t>
        </r>
      </text>
    </comment>
    <comment ref="AH77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3 prenájom na 2 mesiace</t>
        </r>
      </text>
    </comment>
    <comment ref="AH85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12 Náklady do 7/2006
0,6 najom a mzdy do konca 05</t>
        </r>
      </text>
    </comment>
    <comment ref="X83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100 Výpočtová technika mesta</t>
        </r>
      </text>
    </comment>
    <comment ref="AK85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12 Náklady do 7/2006</t>
        </r>
      </text>
    </comment>
    <comment ref="AH83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Ročné osobné náklady pracovníka mesta 360tis</t>
        </r>
      </text>
    </comment>
    <comment ref="AT9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23 Daň z nehnuteľností školiace zariadenia (pozemok)
25 Daň z nehnuteľností obytný súbor ( pozemok) 
533 Daň zo stavieb</t>
        </r>
      </text>
    </comment>
  </commentList>
</comments>
</file>

<file path=xl/comments3.xml><?xml version="1.0" encoding="utf-8"?>
<comments xmlns="http://schemas.openxmlformats.org/spreadsheetml/2006/main">
  <authors>
    <author>Juraj Lichner</author>
  </authors>
  <commentList>
    <comment ref="H14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neakceptujeme</t>
        </r>
      </text>
    </comment>
  </commentList>
</comments>
</file>

<file path=xl/sharedStrings.xml><?xml version="1.0" encoding="utf-8"?>
<sst xmlns="http://schemas.openxmlformats.org/spreadsheetml/2006/main" count="356" uniqueCount="138">
  <si>
    <t>Regionálny rozvoj mesta Žiliny</t>
  </si>
  <si>
    <t>Spolu</t>
  </si>
  <si>
    <t>Položka</t>
  </si>
  <si>
    <t>Daň z nehnuteľností</t>
  </si>
  <si>
    <t>Verejná doprava</t>
  </si>
  <si>
    <t>Propagácia a infosystém</t>
  </si>
  <si>
    <t>Školiace stredisko</t>
  </si>
  <si>
    <t>Podpora bývania</t>
  </si>
  <si>
    <t>Rekreačné zariadenie</t>
  </si>
  <si>
    <t>Policajná a požiarna stanica</t>
  </si>
  <si>
    <t>Zdravotnícke zariadenie</t>
  </si>
  <si>
    <t>Náborové centrum</t>
  </si>
  <si>
    <t>Kancelárske priestory</t>
  </si>
  <si>
    <t>Ostatné</t>
  </si>
  <si>
    <t>Potreba spolu</t>
  </si>
  <si>
    <t>Reálne krytie rozpočtom 2004, 2005</t>
  </si>
  <si>
    <t>Vratky: zo školiaceho zariadenia</t>
  </si>
  <si>
    <t xml:space="preserve">           z odpredaja obytných súb.</t>
  </si>
  <si>
    <t>Vratky spolu</t>
  </si>
  <si>
    <t>Čistá potreba zdrojov</t>
  </si>
  <si>
    <t>2004 - 05</t>
  </si>
  <si>
    <t>2008+</t>
  </si>
  <si>
    <t>Ubytovanie v Bratislave</t>
  </si>
  <si>
    <t>Pozemky pod závody a infraštruktúru</t>
  </si>
  <si>
    <t>Ďalšie vplyvy inej podpory štátu</t>
  </si>
  <si>
    <t>Regionálny rozvoj obcí</t>
  </si>
  <si>
    <t>štátne finančné aktíva</t>
  </si>
  <si>
    <t>hrubé nároky - cash 2005 - 2010</t>
  </si>
  <si>
    <t>Obdobie:</t>
  </si>
  <si>
    <t>04-31.8.05</t>
  </si>
  <si>
    <t>04-05</t>
  </si>
  <si>
    <t>Celkom</t>
  </si>
  <si>
    <t>Plán</t>
  </si>
  <si>
    <t>Reál</t>
  </si>
  <si>
    <t>(+)nevyčerpané (-)prečerpané</t>
  </si>
  <si>
    <t>Požadované krytie</t>
  </si>
  <si>
    <t>Požadovaná zmena v rozpočte 05</t>
  </si>
  <si>
    <t>Úplný rozpočet</t>
  </si>
  <si>
    <t>Zmluva</t>
  </si>
  <si>
    <t>Popis</t>
  </si>
  <si>
    <t>Kapitálové</t>
  </si>
  <si>
    <t>Bežné</t>
  </si>
  <si>
    <t>4.2.</t>
  </si>
  <si>
    <t>Teplička nad Váhom</t>
  </si>
  <si>
    <t>Nededza</t>
  </si>
  <si>
    <t>Mojš</t>
  </si>
  <si>
    <t>Gbeľany</t>
  </si>
  <si>
    <t>Mesto Žilina</t>
  </si>
  <si>
    <t>4.3.</t>
  </si>
  <si>
    <t>Dopravné prostriedky</t>
  </si>
  <si>
    <t>PHM</t>
  </si>
  <si>
    <t>Opravy a udržiavanie</t>
  </si>
  <si>
    <t>Osobné náklady</t>
  </si>
  <si>
    <t>Celkové prevádzkové náklady (vzkm)</t>
  </si>
  <si>
    <t>Poistné</t>
  </si>
  <si>
    <t>Ostatné kapitálové výdavky</t>
  </si>
  <si>
    <t>Ostatné bežné výdavky</t>
  </si>
  <si>
    <t>4.4.</t>
  </si>
  <si>
    <t>Propagácia a informačný systém</t>
  </si>
  <si>
    <t>4.5.</t>
  </si>
  <si>
    <t>Pozemky</t>
  </si>
  <si>
    <t>Stavby</t>
  </si>
  <si>
    <t>Spotreba materiálu a energie</t>
  </si>
  <si>
    <t>Správa, údržba, služby</t>
  </si>
  <si>
    <t>Nájomné (úroky, odpisy)</t>
  </si>
  <si>
    <t>Dane a poplatky</t>
  </si>
  <si>
    <t>Školiace zariadenia</t>
  </si>
  <si>
    <t>4.6.</t>
  </si>
  <si>
    <t>Splátka splátka úveru</t>
  </si>
  <si>
    <t>Rekonštrukcia, modernizácia</t>
  </si>
  <si>
    <t>Nájomné - dočasné ubytovanie</t>
  </si>
  <si>
    <t>Úroky*</t>
  </si>
  <si>
    <t>Poplatok banke</t>
  </si>
  <si>
    <t>Iné</t>
  </si>
  <si>
    <t>4.7.</t>
  </si>
  <si>
    <t>Rekreačné zariadenia</t>
  </si>
  <si>
    <t>4.8.</t>
  </si>
  <si>
    <t>Policajná stanica</t>
  </si>
  <si>
    <t>4.9.</t>
  </si>
  <si>
    <t>Požiarná stanica</t>
  </si>
  <si>
    <t>4.10.</t>
  </si>
  <si>
    <t>Zdravotnícke zariadenia</t>
  </si>
  <si>
    <t>4.11.</t>
  </si>
  <si>
    <t>Ostatné HR služby</t>
  </si>
  <si>
    <t>Nájomné - kancelárske priestory</t>
  </si>
  <si>
    <t>4.12.</t>
  </si>
  <si>
    <t>Charterové lety</t>
  </si>
  <si>
    <t>4.13.</t>
  </si>
  <si>
    <t>Vybavenie kancelárskych priestorov - kapitálové</t>
  </si>
  <si>
    <t>Vybavenie kancelárskych priestorov - bežné</t>
  </si>
  <si>
    <t>Nájom kancelárskych priestorov (vrátane energií)</t>
  </si>
  <si>
    <t>Dočasné kancelárske priestory</t>
  </si>
  <si>
    <t>4.14.</t>
  </si>
  <si>
    <t>Povolenia, oprávnenia</t>
  </si>
  <si>
    <t>4.15.</t>
  </si>
  <si>
    <t>Kurzy slovenského jazyka</t>
  </si>
  <si>
    <t>4.16.</t>
  </si>
  <si>
    <t>Koordinácia pomoci mesta (právne, ekonomické, osobné výdavky, zariadenie)</t>
  </si>
  <si>
    <t>Vjazd áut</t>
  </si>
  <si>
    <t>Náklady developera</t>
  </si>
  <si>
    <t>Dodatočné vykúpenie pozemkov</t>
  </si>
  <si>
    <t>Navýšenie 2004 dodatkom</t>
  </si>
  <si>
    <t>SPOLU:</t>
  </si>
  <si>
    <t>Výnosy z predaja celkom</t>
  </si>
  <si>
    <t>Čistý nárok na štátny rozpočet celkom</t>
  </si>
  <si>
    <t>typ</t>
  </si>
  <si>
    <t>položka</t>
  </si>
  <si>
    <t>počet</t>
  </si>
  <si>
    <t>vymera</t>
  </si>
  <si>
    <t>MJ</t>
  </si>
  <si>
    <t>cena/MJ</t>
  </si>
  <si>
    <t>náklady na obstaranie</t>
  </si>
  <si>
    <t>odpisy 5r.</t>
  </si>
  <si>
    <t>zostatková hodnota</t>
  </si>
  <si>
    <t>kapitálové</t>
  </si>
  <si>
    <t>pozemky (vrátane sietí)</t>
  </si>
  <si>
    <t>m2</t>
  </si>
  <si>
    <t>projekty</t>
  </si>
  <si>
    <t>ks</t>
  </si>
  <si>
    <t>engineering</t>
  </si>
  <si>
    <t>dom manager A</t>
  </si>
  <si>
    <t>m3</t>
  </si>
  <si>
    <t>dom manager B</t>
  </si>
  <si>
    <t xml:space="preserve">dom director </t>
  </si>
  <si>
    <t>dom president mobis</t>
  </si>
  <si>
    <t>dom president kia</t>
  </si>
  <si>
    <t>komunikácie</t>
  </si>
  <si>
    <t>oplotenie</t>
  </si>
  <si>
    <t xml:space="preserve">m </t>
  </si>
  <si>
    <t>sadové úpravy</t>
  </si>
  <si>
    <t>zariadenie interiér</t>
  </si>
  <si>
    <t>club house</t>
  </si>
  <si>
    <t>vrátnica</t>
  </si>
  <si>
    <t>parking</t>
  </si>
  <si>
    <t>tenisove ihriská</t>
  </si>
  <si>
    <t>asfaltové ihriská</t>
  </si>
  <si>
    <t>Spolu:</t>
  </si>
  <si>
    <t>2004 - 2010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</si>
</sst>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#,##0.00\ &quot;Sk&quot;"/>
    <numFmt numFmtId="166" formatCode="d/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_ ;\-#,##0\ "/>
    <numFmt numFmtId="171" formatCode="#,##0.0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[$€-2]\ #,##0.00_);[Red]\([$€-2]\ #,##0.00\)"/>
    <numFmt numFmtId="177" formatCode="0.000"/>
    <numFmt numFmtId="178" formatCode="0.0"/>
    <numFmt numFmtId="179" formatCode="0.0%"/>
    <numFmt numFmtId="180" formatCode="_-* #,##0.0\ _S_k_-;\-* #,##0.0\ _S_k_-;_-* &quot;-&quot;??\ _S_k_-;_-@_-"/>
    <numFmt numFmtId="181" formatCode="_-* #,##0\ _S_k_-;\-* #,##0\ _S_k_-;_-* &quot;-&quot;??\ _S_k_-;_-@_-"/>
    <numFmt numFmtId="182" formatCode="0.00000"/>
    <numFmt numFmtId="183" formatCode="0.0000"/>
    <numFmt numFmtId="184" formatCode="#,##0.000"/>
    <numFmt numFmtId="185" formatCode="#,##0.0000"/>
  </numFmts>
  <fonts count="14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indent="1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inden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indent="1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indent="1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indent="1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indent="1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49" fontId="7" fillId="0" borderId="20" xfId="20" applyNumberFormat="1" applyFont="1" applyBorder="1" applyAlignment="1">
      <alignment horizontal="center"/>
      <protection/>
    </xf>
    <xf numFmtId="49" fontId="7" fillId="0" borderId="21" xfId="20" applyNumberFormat="1" applyFont="1" applyBorder="1" applyAlignment="1">
      <alignment horizontal="center"/>
      <protection/>
    </xf>
    <xf numFmtId="49" fontId="7" fillId="0" borderId="8" xfId="20" applyNumberFormat="1" applyFont="1" applyBorder="1" applyAlignment="1">
      <alignment horizontal="center"/>
      <protection/>
    </xf>
    <xf numFmtId="49" fontId="7" fillId="0" borderId="0" xfId="20" applyNumberFormat="1" applyFont="1" applyAlignment="1">
      <alignment horizontal="center"/>
      <protection/>
    </xf>
    <xf numFmtId="0" fontId="8" fillId="2" borderId="22" xfId="20" applyFont="1" applyFill="1" applyBorder="1" applyAlignment="1">
      <alignment wrapText="1"/>
      <protection/>
    </xf>
    <xf numFmtId="0" fontId="8" fillId="2" borderId="23" xfId="20" applyFont="1" applyFill="1" applyBorder="1" applyAlignment="1">
      <alignment wrapText="1"/>
      <protection/>
    </xf>
    <xf numFmtId="0" fontId="8" fillId="0" borderId="0" xfId="20" applyFont="1" applyAlignment="1">
      <alignment wrapText="1"/>
      <protection/>
    </xf>
    <xf numFmtId="0" fontId="8" fillId="0" borderId="20" xfId="20" applyFont="1" applyBorder="1" applyAlignment="1">
      <alignment horizontal="center"/>
      <protection/>
    </xf>
    <xf numFmtId="0" fontId="8" fillId="0" borderId="21" xfId="20" applyFont="1" applyBorder="1" applyAlignment="1">
      <alignment horizontal="center"/>
      <protection/>
    </xf>
    <xf numFmtId="3" fontId="8" fillId="0" borderId="8" xfId="20" applyNumberFormat="1" applyFont="1" applyBorder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6" fillId="0" borderId="22" xfId="20" applyFont="1" applyBorder="1">
      <alignment/>
      <protection/>
    </xf>
    <xf numFmtId="0" fontId="6" fillId="0" borderId="23" xfId="20" applyFont="1" applyBorder="1">
      <alignment/>
      <protection/>
    </xf>
    <xf numFmtId="3" fontId="8" fillId="0" borderId="11" xfId="20" applyNumberFormat="1" applyFont="1" applyBorder="1" applyAlignment="1">
      <alignment horizontal="center"/>
      <protection/>
    </xf>
    <xf numFmtId="3" fontId="6" fillId="0" borderId="24" xfId="20" applyNumberFormat="1" applyFont="1" applyBorder="1">
      <alignment/>
      <protection/>
    </xf>
    <xf numFmtId="3" fontId="8" fillId="0" borderId="24" xfId="20" applyNumberFormat="1" applyFont="1" applyBorder="1" applyAlignment="1">
      <alignment horizontal="center"/>
      <protection/>
    </xf>
    <xf numFmtId="3" fontId="8" fillId="0" borderId="5" xfId="20" applyNumberFormat="1" applyFont="1" applyBorder="1" applyAlignment="1">
      <alignment horizontal="center"/>
      <protection/>
    </xf>
    <xf numFmtId="0" fontId="7" fillId="0" borderId="20" xfId="20" applyFont="1" applyBorder="1">
      <alignment/>
      <protection/>
    </xf>
    <xf numFmtId="0" fontId="7" fillId="0" borderId="21" xfId="20" applyFont="1" applyBorder="1">
      <alignment/>
      <protection/>
    </xf>
    <xf numFmtId="3" fontId="7" fillId="0" borderId="8" xfId="20" applyNumberFormat="1" applyFont="1" applyBorder="1">
      <alignment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3" fontId="6" fillId="0" borderId="11" xfId="20" applyNumberFormat="1" applyFont="1" applyBorder="1">
      <alignment/>
      <protection/>
    </xf>
    <xf numFmtId="3" fontId="7" fillId="0" borderId="0" xfId="20" applyNumberFormat="1" applyFont="1">
      <alignment/>
      <protection/>
    </xf>
    <xf numFmtId="0" fontId="7" fillId="2" borderId="25" xfId="20" applyFont="1" applyFill="1" applyBorder="1">
      <alignment/>
      <protection/>
    </xf>
    <xf numFmtId="0" fontId="9" fillId="2" borderId="26" xfId="20" applyFont="1" applyFill="1" applyBorder="1" applyAlignment="1">
      <alignment horizontal="right"/>
      <protection/>
    </xf>
    <xf numFmtId="3" fontId="7" fillId="2" borderId="5" xfId="20" applyNumberFormat="1" applyFont="1" applyFill="1" applyBorder="1">
      <alignment/>
      <protection/>
    </xf>
    <xf numFmtId="0" fontId="3" fillId="0" borderId="0" xfId="20">
      <alignment/>
      <protection/>
    </xf>
    <xf numFmtId="3" fontId="3" fillId="0" borderId="0" xfId="20" applyNumberFormat="1">
      <alignment/>
      <protection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5" xfId="0" applyNumberFormat="1" applyBorder="1" applyAlignment="1">
      <alignment/>
    </xf>
    <xf numFmtId="0" fontId="12" fillId="2" borderId="2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29" xfId="0" applyFont="1" applyFill="1" applyBorder="1" applyAlignment="1">
      <alignment/>
    </xf>
    <xf numFmtId="0" fontId="12" fillId="2" borderId="26" xfId="0" applyFont="1" applyFill="1" applyBorder="1" applyAlignment="1">
      <alignment/>
    </xf>
    <xf numFmtId="4" fontId="12" fillId="2" borderId="8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8" fillId="2" borderId="22" xfId="20" applyNumberFormat="1" applyFont="1" applyFill="1" applyBorder="1" applyAlignment="1">
      <alignment horizontal="center" wrapText="1"/>
      <protection/>
    </xf>
    <xf numFmtId="3" fontId="8" fillId="2" borderId="0" xfId="20" applyNumberFormat="1" applyFont="1" applyFill="1" applyBorder="1" applyAlignment="1">
      <alignment horizontal="center" wrapText="1"/>
      <protection/>
    </xf>
    <xf numFmtId="3" fontId="8" fillId="2" borderId="23" xfId="20" applyNumberFormat="1" applyFont="1" applyFill="1" applyBorder="1" applyAlignment="1">
      <alignment horizontal="center" wrapText="1"/>
      <protection/>
    </xf>
    <xf numFmtId="3" fontId="8" fillId="2" borderId="20" xfId="20" applyNumberFormat="1" applyFont="1" applyFill="1" applyBorder="1" applyAlignment="1">
      <alignment horizontal="center" wrapText="1"/>
      <protection/>
    </xf>
    <xf numFmtId="3" fontId="8" fillId="2" borderId="30" xfId="20" applyNumberFormat="1" applyFont="1" applyFill="1" applyBorder="1" applyAlignment="1">
      <alignment horizontal="center" wrapText="1"/>
      <protection/>
    </xf>
    <xf numFmtId="3" fontId="8" fillId="2" borderId="21" xfId="20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Regionalny_rozvoj_051012_MF_20%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raj%20Lichner\Desktop\Pretekar\Po%20jednani%20na%20MH%2020051011%2020%\Regionalny_rozvoj_051012_MF_2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ý podrobný rozpočet"/>
      <sheetName val="Doprava"/>
      <sheetName val="Doškoľovacie stredisko Gbeľany"/>
      <sheetName val="Obytný komplex Krasňany"/>
      <sheetName val="Sumár"/>
    </sheetNames>
    <sheetDataSet>
      <sheetData sheetId="2">
        <row r="25">
          <cell r="B25">
            <v>-88647</v>
          </cell>
        </row>
      </sheetData>
      <sheetData sheetId="3">
        <row r="6">
          <cell r="B6">
            <v>575920.4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75" zoomScaleNormal="75" workbookViewId="0" topLeftCell="A1">
      <selection activeCell="E8" sqref="E8"/>
    </sheetView>
  </sheetViews>
  <sheetFormatPr defaultColWidth="9.00390625" defaultRowHeight="12.75"/>
  <cols>
    <col min="1" max="1" width="0.6171875" style="24" customWidth="1"/>
    <col min="2" max="2" width="36.625" style="22" bestFit="1" customWidth="1"/>
    <col min="3" max="7" width="13.375" style="23" customWidth="1"/>
    <col min="8" max="16384" width="9.125" style="23" customWidth="1"/>
  </cols>
  <sheetData>
    <row r="1" spans="1:7" ht="23.25" customHeight="1" thickBot="1">
      <c r="A1" s="23"/>
      <c r="B1" s="1" t="s">
        <v>2</v>
      </c>
      <c r="C1" s="2" t="s">
        <v>20</v>
      </c>
      <c r="D1" s="2">
        <v>2006</v>
      </c>
      <c r="E1" s="2">
        <v>2007</v>
      </c>
      <c r="F1" s="2" t="s">
        <v>21</v>
      </c>
      <c r="G1" s="3" t="s">
        <v>1</v>
      </c>
    </row>
    <row r="2" spans="1:7" ht="23.25" customHeight="1">
      <c r="A2" s="23"/>
      <c r="B2" s="4" t="s">
        <v>3</v>
      </c>
      <c r="C2" s="5">
        <v>4748</v>
      </c>
      <c r="D2" s="5">
        <v>5236</v>
      </c>
      <c r="E2" s="5">
        <v>4853</v>
      </c>
      <c r="F2" s="5">
        <v>14559</v>
      </c>
      <c r="G2" s="6">
        <v>29396</v>
      </c>
    </row>
    <row r="3" spans="1:7" ht="23.25" customHeight="1">
      <c r="A3" s="23"/>
      <c r="B3" s="7" t="s">
        <v>4</v>
      </c>
      <c r="C3" s="8">
        <v>0</v>
      </c>
      <c r="D3" s="8">
        <v>10826</v>
      </c>
      <c r="E3" s="8">
        <v>11205</v>
      </c>
      <c r="F3" s="8">
        <v>36023</v>
      </c>
      <c r="G3" s="9">
        <v>58054</v>
      </c>
    </row>
    <row r="4" spans="1:7" ht="23.25" customHeight="1">
      <c r="A4" s="23"/>
      <c r="B4" s="7" t="s">
        <v>5</v>
      </c>
      <c r="C4" s="8">
        <v>0</v>
      </c>
      <c r="D4" s="8">
        <v>2400</v>
      </c>
      <c r="E4" s="8">
        <v>2400</v>
      </c>
      <c r="F4" s="8">
        <v>7200</v>
      </c>
      <c r="G4" s="9">
        <v>12000</v>
      </c>
    </row>
    <row r="5" spans="1:7" ht="23.25" customHeight="1">
      <c r="A5" s="23"/>
      <c r="B5" s="10" t="s">
        <v>6</v>
      </c>
      <c r="C5" s="11">
        <v>167133</v>
      </c>
      <c r="D5" s="11">
        <v>42094</v>
      </c>
      <c r="E5" s="11">
        <v>42849</v>
      </c>
      <c r="F5" s="11">
        <v>133604</v>
      </c>
      <c r="G5" s="12">
        <v>385680</v>
      </c>
    </row>
    <row r="6" spans="1:7" ht="23.25" customHeight="1">
      <c r="A6" s="23"/>
      <c r="B6" s="7" t="s">
        <v>7</v>
      </c>
      <c r="C6" s="8">
        <v>730237</v>
      </c>
      <c r="D6" s="8">
        <v>21664</v>
      </c>
      <c r="E6" s="8">
        <v>16275</v>
      </c>
      <c r="F6" s="8">
        <v>27326</v>
      </c>
      <c r="G6" s="9">
        <v>795502</v>
      </c>
    </row>
    <row r="7" spans="1:7" ht="23.25" customHeight="1">
      <c r="A7" s="23"/>
      <c r="B7" s="7" t="s">
        <v>8</v>
      </c>
      <c r="C7" s="8">
        <v>14535</v>
      </c>
      <c r="D7" s="8">
        <v>0</v>
      </c>
      <c r="E7" s="8">
        <v>0</v>
      </c>
      <c r="F7" s="8">
        <v>0</v>
      </c>
      <c r="G7" s="9">
        <v>14535</v>
      </c>
    </row>
    <row r="8" spans="1:7" ht="23.25" customHeight="1">
      <c r="A8" s="23"/>
      <c r="B8" s="7" t="s">
        <v>9</v>
      </c>
      <c r="C8" s="8">
        <v>671</v>
      </c>
      <c r="D8" s="8">
        <v>21949</v>
      </c>
      <c r="E8" s="8">
        <v>149</v>
      </c>
      <c r="F8" s="8">
        <v>447</v>
      </c>
      <c r="G8" s="9">
        <v>23216</v>
      </c>
    </row>
    <row r="9" spans="1:7" ht="23.25" customHeight="1">
      <c r="A9" s="23"/>
      <c r="B9" s="10" t="s">
        <v>10</v>
      </c>
      <c r="C9" s="11">
        <v>0</v>
      </c>
      <c r="D9" s="11">
        <v>131350</v>
      </c>
      <c r="E9" s="11">
        <v>0</v>
      </c>
      <c r="F9" s="11">
        <v>0</v>
      </c>
      <c r="G9" s="12">
        <v>131350</v>
      </c>
    </row>
    <row r="10" spans="1:7" ht="23.25" customHeight="1">
      <c r="A10" s="23"/>
      <c r="B10" s="7" t="s">
        <v>11</v>
      </c>
      <c r="C10" s="8">
        <v>1227</v>
      </c>
      <c r="D10" s="8">
        <v>19400</v>
      </c>
      <c r="E10" s="8">
        <v>2400</v>
      </c>
      <c r="F10" s="8">
        <v>7212</v>
      </c>
      <c r="G10" s="9">
        <v>30239</v>
      </c>
    </row>
    <row r="11" spans="1:7" ht="23.25" customHeight="1">
      <c r="A11" s="23"/>
      <c r="B11" s="7" t="s">
        <v>12</v>
      </c>
      <c r="C11" s="8">
        <v>27681</v>
      </c>
      <c r="D11" s="8">
        <v>3000</v>
      </c>
      <c r="E11" s="8">
        <v>0</v>
      </c>
      <c r="F11" s="8">
        <v>0</v>
      </c>
      <c r="G11" s="9">
        <v>30681</v>
      </c>
    </row>
    <row r="12" spans="1:7" ht="23.25" customHeight="1" thickBot="1">
      <c r="A12" s="23"/>
      <c r="B12" s="7" t="s">
        <v>13</v>
      </c>
      <c r="C12" s="8">
        <v>18650</v>
      </c>
      <c r="D12" s="8">
        <v>15769</v>
      </c>
      <c r="E12" s="8">
        <v>3111</v>
      </c>
      <c r="F12" s="8">
        <v>7679</v>
      </c>
      <c r="G12" s="9">
        <v>45209</v>
      </c>
    </row>
    <row r="13" spans="1:7" ht="23.25" customHeight="1">
      <c r="A13" s="23"/>
      <c r="B13" s="13" t="s">
        <v>14</v>
      </c>
      <c r="C13" s="14">
        <f>SUM(C2:C12)</f>
        <v>964882</v>
      </c>
      <c r="D13" s="14">
        <f>SUM(D2:D12)</f>
        <v>273688</v>
      </c>
      <c r="E13" s="14">
        <f>SUM(E2:E12)</f>
        <v>83242</v>
      </c>
      <c r="F13" s="14">
        <f>SUM(F2:F12)</f>
        <v>234050</v>
      </c>
      <c r="G13" s="15">
        <f>SUM(G2:G12)</f>
        <v>1555862</v>
      </c>
    </row>
    <row r="14" spans="1:7" ht="23.25" customHeight="1">
      <c r="A14" s="23"/>
      <c r="B14" s="4" t="s">
        <v>15</v>
      </c>
      <c r="C14" s="5">
        <v>438924</v>
      </c>
      <c r="D14" s="5"/>
      <c r="E14" s="5"/>
      <c r="F14" s="5"/>
      <c r="G14" s="6">
        <f>SUM(C14:F14)</f>
        <v>438924</v>
      </c>
    </row>
    <row r="15" spans="1:7" ht="23.25" customHeight="1">
      <c r="A15" s="23"/>
      <c r="B15" s="7" t="s">
        <v>27</v>
      </c>
      <c r="C15" s="8"/>
      <c r="D15" s="8">
        <v>270238</v>
      </c>
      <c r="E15" s="8">
        <v>83242</v>
      </c>
      <c r="F15" s="8">
        <v>234050</v>
      </c>
      <c r="G15" s="9">
        <f>SUM(C15:F15)</f>
        <v>587530</v>
      </c>
    </row>
    <row r="16" spans="1:7" ht="23.25" customHeight="1" thickBot="1">
      <c r="A16" s="23"/>
      <c r="B16" s="16" t="s">
        <v>26</v>
      </c>
      <c r="C16" s="17">
        <v>525958</v>
      </c>
      <c r="D16" s="17">
        <v>3450</v>
      </c>
      <c r="E16" s="17"/>
      <c r="F16" s="17"/>
      <c r="G16" s="18">
        <f>SUM(C16:F16)</f>
        <v>529408</v>
      </c>
    </row>
    <row r="17" spans="1:7" ht="23.25" customHeight="1">
      <c r="A17" s="23"/>
      <c r="B17" s="19" t="s">
        <v>16</v>
      </c>
      <c r="C17" s="20"/>
      <c r="D17" s="20"/>
      <c r="E17" s="20"/>
      <c r="F17" s="20">
        <v>88647</v>
      </c>
      <c r="G17" s="21">
        <v>88647</v>
      </c>
    </row>
    <row r="18" spans="1:7" ht="23.25" customHeight="1" thickBot="1">
      <c r="A18" s="23"/>
      <c r="B18" s="10" t="s">
        <v>17</v>
      </c>
      <c r="C18" s="17"/>
      <c r="D18" s="17"/>
      <c r="E18" s="17"/>
      <c r="F18" s="17">
        <v>575920</v>
      </c>
      <c r="G18" s="18">
        <v>575920</v>
      </c>
    </row>
    <row r="19" spans="1:7" ht="23.25" customHeight="1">
      <c r="A19" s="23"/>
      <c r="B19" s="19" t="s">
        <v>18</v>
      </c>
      <c r="C19" s="20"/>
      <c r="D19" s="20"/>
      <c r="E19" s="20"/>
      <c r="F19" s="20">
        <f>F17+F18</f>
        <v>664567</v>
      </c>
      <c r="G19" s="21">
        <f>G17+G18</f>
        <v>664567</v>
      </c>
    </row>
    <row r="20" spans="1:8" ht="23.25" customHeight="1" thickBot="1">
      <c r="A20" s="23"/>
      <c r="B20" s="16" t="s">
        <v>19</v>
      </c>
      <c r="C20" s="17"/>
      <c r="D20" s="17"/>
      <c r="E20" s="17"/>
      <c r="F20" s="17"/>
      <c r="G20" s="18">
        <v>891295</v>
      </c>
      <c r="H20" s="25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&amp;LMinisterstvo hospodárstva SR&amp;CSumarizácia potrieb na regionálny rozvoj Mesta Žiliny&amp;RPríloha č.1</oddHeader>
    <oddFooter>&amp;L17.10.2005&amp;R&amp;P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96"/>
  <sheetViews>
    <sheetView workbookViewId="0" topLeftCell="A1">
      <pane xSplit="2" ySplit="3" topLeftCell="K7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91" sqref="Q91"/>
    </sheetView>
  </sheetViews>
  <sheetFormatPr defaultColWidth="9.00390625" defaultRowHeight="12.75" outlineLevelRow="1" outlineLevelCol="1"/>
  <cols>
    <col min="1" max="1" width="6.75390625" style="53" bestFit="1" customWidth="1"/>
    <col min="2" max="2" width="31.625" style="53" customWidth="1"/>
    <col min="3" max="3" width="9.75390625" style="54" hidden="1" customWidth="1" outlineLevel="1"/>
    <col min="4" max="4" width="10.125" style="54" hidden="1" customWidth="1" outlineLevel="1"/>
    <col min="5" max="5" width="9.75390625" style="54" customWidth="1" collapsed="1"/>
    <col min="6" max="7" width="9.75390625" style="54" hidden="1" customWidth="1" outlineLevel="1"/>
    <col min="8" max="8" width="9.75390625" style="54" customWidth="1" collapsed="1"/>
    <col min="9" max="10" width="9.75390625" style="54" hidden="1" customWidth="1" outlineLevel="1"/>
    <col min="11" max="11" width="9.75390625" style="54" customWidth="1" collapsed="1"/>
    <col min="12" max="13" width="9.75390625" style="54" hidden="1" customWidth="1" outlineLevel="1"/>
    <col min="14" max="14" width="9.75390625" style="54" customWidth="1" collapsed="1"/>
    <col min="15" max="16" width="9.75390625" style="54" hidden="1" customWidth="1" outlineLevel="1"/>
    <col min="17" max="17" width="9.75390625" style="54" customWidth="1" collapsed="1"/>
    <col min="18" max="19" width="9.75390625" style="54" hidden="1" customWidth="1" outlineLevel="1"/>
    <col min="20" max="20" width="9.75390625" style="54" customWidth="1" collapsed="1"/>
    <col min="21" max="22" width="15.125" style="54" hidden="1" customWidth="1" outlineLevel="1"/>
    <col min="23" max="23" width="15.125" style="54" customWidth="1" collapsed="1"/>
    <col min="24" max="25" width="9.75390625" style="54" hidden="1" customWidth="1" outlineLevel="1"/>
    <col min="26" max="26" width="9.75390625" style="54" customWidth="1" collapsed="1"/>
    <col min="27" max="28" width="9.75390625" style="54" hidden="1" customWidth="1" outlineLevel="1"/>
    <col min="29" max="29" width="12.25390625" style="54" customWidth="1" collapsed="1"/>
    <col min="30" max="31" width="9.75390625" style="54" hidden="1" customWidth="1" outlineLevel="1"/>
    <col min="32" max="32" width="9.75390625" style="54" customWidth="1" collapsed="1"/>
    <col min="33" max="34" width="9.75390625" style="54" hidden="1" customWidth="1" outlineLevel="1"/>
    <col min="35" max="35" width="9.75390625" style="54" customWidth="1" collapsed="1"/>
    <col min="36" max="37" width="9.75390625" style="54" hidden="1" customWidth="1" outlineLevel="1"/>
    <col min="38" max="38" width="9.75390625" style="54" customWidth="1" collapsed="1"/>
    <col min="39" max="40" width="9.75390625" style="54" hidden="1" customWidth="1" outlineLevel="1"/>
    <col min="41" max="41" width="9.75390625" style="54" customWidth="1" collapsed="1"/>
    <col min="42" max="43" width="9.75390625" style="54" hidden="1" customWidth="1" outlineLevel="1"/>
    <col min="44" max="44" width="9.75390625" style="54" customWidth="1" collapsed="1"/>
    <col min="45" max="46" width="9.75390625" style="54" hidden="1" customWidth="1" outlineLevel="1"/>
    <col min="47" max="47" width="9.75390625" style="54" customWidth="1" collapsed="1"/>
    <col min="48" max="49" width="9.75390625" style="54" customWidth="1" outlineLevel="1"/>
    <col min="50" max="50" width="9.75390625" style="54" customWidth="1"/>
    <col min="51" max="16384" width="9.125" style="53" customWidth="1"/>
  </cols>
  <sheetData>
    <row r="1" spans="1:50" s="29" customFormat="1" ht="12.75">
      <c r="A1" s="26"/>
      <c r="B1" s="27" t="s">
        <v>28</v>
      </c>
      <c r="C1" s="28">
        <v>2004</v>
      </c>
      <c r="D1" s="28">
        <v>2004</v>
      </c>
      <c r="E1" s="28">
        <v>2004</v>
      </c>
      <c r="F1" s="28">
        <v>2004</v>
      </c>
      <c r="G1" s="28">
        <v>2004</v>
      </c>
      <c r="H1" s="28">
        <v>2004</v>
      </c>
      <c r="I1" s="28">
        <v>2005</v>
      </c>
      <c r="J1" s="28">
        <v>2005</v>
      </c>
      <c r="K1" s="28">
        <v>2005</v>
      </c>
      <c r="L1" s="28">
        <v>2005</v>
      </c>
      <c r="M1" s="28">
        <v>2005</v>
      </c>
      <c r="N1" s="28">
        <v>2005</v>
      </c>
      <c r="O1" s="28" t="s">
        <v>29</v>
      </c>
      <c r="P1" s="28" t="s">
        <v>29</v>
      </c>
      <c r="Q1" s="28" t="s">
        <v>29</v>
      </c>
      <c r="R1" s="28" t="s">
        <v>29</v>
      </c>
      <c r="S1" s="28" t="s">
        <v>29</v>
      </c>
      <c r="T1" s="28" t="s">
        <v>29</v>
      </c>
      <c r="U1" s="28" t="s">
        <v>29</v>
      </c>
      <c r="V1" s="28" t="s">
        <v>29</v>
      </c>
      <c r="W1" s="28" t="s">
        <v>29</v>
      </c>
      <c r="X1" s="28" t="s">
        <v>30</v>
      </c>
      <c r="Y1" s="28" t="s">
        <v>30</v>
      </c>
      <c r="Z1" s="28" t="s">
        <v>30</v>
      </c>
      <c r="AA1" s="28">
        <v>2005</v>
      </c>
      <c r="AB1" s="28">
        <v>2005</v>
      </c>
      <c r="AC1" s="28">
        <v>2005</v>
      </c>
      <c r="AD1" s="28">
        <v>2005</v>
      </c>
      <c r="AE1" s="28">
        <v>2005</v>
      </c>
      <c r="AF1" s="28">
        <v>2005</v>
      </c>
      <c r="AG1" s="28">
        <v>2006</v>
      </c>
      <c r="AH1" s="28">
        <v>2006</v>
      </c>
      <c r="AI1" s="28">
        <v>2006</v>
      </c>
      <c r="AJ1" s="28">
        <v>2007</v>
      </c>
      <c r="AK1" s="28">
        <v>2007</v>
      </c>
      <c r="AL1" s="28">
        <v>2007</v>
      </c>
      <c r="AM1" s="28">
        <v>2008</v>
      </c>
      <c r="AN1" s="28">
        <v>2008</v>
      </c>
      <c r="AO1" s="28">
        <v>2008</v>
      </c>
      <c r="AP1" s="28">
        <v>2009</v>
      </c>
      <c r="AQ1" s="28">
        <v>2009</v>
      </c>
      <c r="AR1" s="28">
        <v>2009</v>
      </c>
      <c r="AS1" s="28">
        <v>2010</v>
      </c>
      <c r="AT1" s="28">
        <v>2010</v>
      </c>
      <c r="AU1" s="28">
        <v>2010</v>
      </c>
      <c r="AV1" s="28" t="s">
        <v>31</v>
      </c>
      <c r="AW1" s="28" t="s">
        <v>31</v>
      </c>
      <c r="AX1" s="28" t="s">
        <v>31</v>
      </c>
    </row>
    <row r="2" spans="1:50" s="32" customFormat="1" ht="39.75" customHeight="1">
      <c r="A2" s="30"/>
      <c r="B2" s="31"/>
      <c r="C2" s="87" t="s">
        <v>32</v>
      </c>
      <c r="D2" s="88"/>
      <c r="E2" s="89"/>
      <c r="F2" s="87" t="s">
        <v>33</v>
      </c>
      <c r="G2" s="88"/>
      <c r="H2" s="89"/>
      <c r="I2" s="87" t="s">
        <v>32</v>
      </c>
      <c r="J2" s="88"/>
      <c r="K2" s="89"/>
      <c r="L2" s="87" t="s">
        <v>33</v>
      </c>
      <c r="M2" s="88"/>
      <c r="N2" s="89"/>
      <c r="O2" s="87" t="s">
        <v>32</v>
      </c>
      <c r="P2" s="88"/>
      <c r="Q2" s="89"/>
      <c r="R2" s="87" t="s">
        <v>33</v>
      </c>
      <c r="S2" s="88"/>
      <c r="T2" s="89"/>
      <c r="U2" s="90" t="s">
        <v>34</v>
      </c>
      <c r="V2" s="91"/>
      <c r="W2" s="92"/>
      <c r="X2" s="87" t="s">
        <v>35</v>
      </c>
      <c r="Y2" s="88"/>
      <c r="Z2" s="89"/>
      <c r="AA2" s="87" t="s">
        <v>36</v>
      </c>
      <c r="AB2" s="88"/>
      <c r="AC2" s="89"/>
      <c r="AD2" s="87" t="s">
        <v>32</v>
      </c>
      <c r="AE2" s="88"/>
      <c r="AF2" s="89"/>
      <c r="AG2" s="87" t="s">
        <v>32</v>
      </c>
      <c r="AH2" s="88"/>
      <c r="AI2" s="89"/>
      <c r="AJ2" s="87" t="s">
        <v>32</v>
      </c>
      <c r="AK2" s="88"/>
      <c r="AL2" s="89"/>
      <c r="AM2" s="87" t="s">
        <v>32</v>
      </c>
      <c r="AN2" s="88"/>
      <c r="AO2" s="89"/>
      <c r="AP2" s="87" t="s">
        <v>32</v>
      </c>
      <c r="AQ2" s="88"/>
      <c r="AR2" s="89"/>
      <c r="AS2" s="87" t="s">
        <v>32</v>
      </c>
      <c r="AT2" s="88"/>
      <c r="AU2" s="89"/>
      <c r="AV2" s="87" t="s">
        <v>37</v>
      </c>
      <c r="AW2" s="88"/>
      <c r="AX2" s="89"/>
    </row>
    <row r="3" spans="1:50" s="36" customFormat="1" ht="12.75">
      <c r="A3" s="33" t="s">
        <v>38</v>
      </c>
      <c r="B3" s="34" t="s">
        <v>39</v>
      </c>
      <c r="C3" s="35" t="s">
        <v>40</v>
      </c>
      <c r="D3" s="35" t="s">
        <v>41</v>
      </c>
      <c r="E3" s="35" t="s">
        <v>31</v>
      </c>
      <c r="F3" s="35" t="s">
        <v>40</v>
      </c>
      <c r="G3" s="35" t="s">
        <v>41</v>
      </c>
      <c r="H3" s="35" t="s">
        <v>31</v>
      </c>
      <c r="I3" s="35" t="s">
        <v>40</v>
      </c>
      <c r="J3" s="35" t="s">
        <v>41</v>
      </c>
      <c r="K3" s="35" t="s">
        <v>31</v>
      </c>
      <c r="L3" s="35" t="s">
        <v>40</v>
      </c>
      <c r="M3" s="35" t="s">
        <v>41</v>
      </c>
      <c r="N3" s="35" t="s">
        <v>31</v>
      </c>
      <c r="O3" s="35" t="s">
        <v>40</v>
      </c>
      <c r="P3" s="35" t="s">
        <v>41</v>
      </c>
      <c r="Q3" s="35" t="s">
        <v>31</v>
      </c>
      <c r="R3" s="35" t="s">
        <v>40</v>
      </c>
      <c r="S3" s="35" t="s">
        <v>41</v>
      </c>
      <c r="T3" s="35" t="s">
        <v>31</v>
      </c>
      <c r="U3" s="35" t="s">
        <v>40</v>
      </c>
      <c r="V3" s="35" t="s">
        <v>41</v>
      </c>
      <c r="W3" s="35" t="s">
        <v>31</v>
      </c>
      <c r="X3" s="35" t="s">
        <v>40</v>
      </c>
      <c r="Y3" s="35" t="s">
        <v>41</v>
      </c>
      <c r="Z3" s="35" t="s">
        <v>31</v>
      </c>
      <c r="AA3" s="35" t="s">
        <v>40</v>
      </c>
      <c r="AB3" s="35" t="s">
        <v>41</v>
      </c>
      <c r="AC3" s="35" t="s">
        <v>31</v>
      </c>
      <c r="AD3" s="35" t="s">
        <v>40</v>
      </c>
      <c r="AE3" s="35" t="s">
        <v>41</v>
      </c>
      <c r="AF3" s="35" t="s">
        <v>31</v>
      </c>
      <c r="AG3" s="35" t="s">
        <v>40</v>
      </c>
      <c r="AH3" s="35" t="s">
        <v>41</v>
      </c>
      <c r="AI3" s="35" t="s">
        <v>31</v>
      </c>
      <c r="AJ3" s="35" t="s">
        <v>40</v>
      </c>
      <c r="AK3" s="35" t="s">
        <v>41</v>
      </c>
      <c r="AL3" s="35" t="s">
        <v>31</v>
      </c>
      <c r="AM3" s="35" t="s">
        <v>40</v>
      </c>
      <c r="AN3" s="35" t="s">
        <v>41</v>
      </c>
      <c r="AO3" s="35" t="s">
        <v>31</v>
      </c>
      <c r="AP3" s="35" t="s">
        <v>40</v>
      </c>
      <c r="AQ3" s="35" t="s">
        <v>41</v>
      </c>
      <c r="AR3" s="35" t="s">
        <v>31</v>
      </c>
      <c r="AS3" s="35" t="s">
        <v>40</v>
      </c>
      <c r="AT3" s="35" t="s">
        <v>41</v>
      </c>
      <c r="AU3" s="35" t="s">
        <v>31</v>
      </c>
      <c r="AV3" s="35" t="s">
        <v>40</v>
      </c>
      <c r="AW3" s="35" t="s">
        <v>41</v>
      </c>
      <c r="AX3" s="35" t="s">
        <v>31</v>
      </c>
    </row>
    <row r="4" spans="1:50" s="36" customFormat="1" ht="12.75" outlineLevel="1">
      <c r="A4" s="37" t="s">
        <v>42</v>
      </c>
      <c r="B4" s="38" t="s">
        <v>43</v>
      </c>
      <c r="C4" s="39"/>
      <c r="D4" s="39"/>
      <c r="E4" s="40">
        <f aca="true" t="shared" si="0" ref="E4:E18">C4+D4</f>
        <v>0</v>
      </c>
      <c r="F4" s="39"/>
      <c r="G4" s="39"/>
      <c r="H4" s="40">
        <f aca="true" t="shared" si="1" ref="H4:H18">F4+G4</f>
        <v>0</v>
      </c>
      <c r="I4" s="39"/>
      <c r="J4" s="39"/>
      <c r="K4" s="40">
        <f aca="true" t="shared" si="2" ref="K4:K18">I4+J4</f>
        <v>0</v>
      </c>
      <c r="L4" s="40"/>
      <c r="M4" s="40">
        <v>1201</v>
      </c>
      <c r="N4" s="40">
        <f aca="true" t="shared" si="3" ref="N4:N9">L4+M4</f>
        <v>1201</v>
      </c>
      <c r="O4" s="39"/>
      <c r="P4" s="39"/>
      <c r="Q4" s="40">
        <f aca="true" t="shared" si="4" ref="Q4:Q18">O4+P4</f>
        <v>0</v>
      </c>
      <c r="R4" s="39"/>
      <c r="S4" s="40">
        <f aca="true" t="shared" si="5" ref="S4:S9">M4</f>
        <v>1201</v>
      </c>
      <c r="T4" s="40">
        <f aca="true" t="shared" si="6" ref="T4:T9">R4+S4</f>
        <v>1201</v>
      </c>
      <c r="U4" s="40">
        <f aca="true" t="shared" si="7" ref="U4:U18">O4-R4</f>
        <v>0</v>
      </c>
      <c r="V4" s="40">
        <f aca="true" t="shared" si="8" ref="V4:V18">P4-S4</f>
        <v>-1201</v>
      </c>
      <c r="W4" s="40">
        <f aca="true" t="shared" si="9" ref="W4:W18">U4+V4</f>
        <v>-1201</v>
      </c>
      <c r="X4" s="40"/>
      <c r="Y4" s="40">
        <f aca="true" t="shared" si="10" ref="Y4:Y9">S4</f>
        <v>1201</v>
      </c>
      <c r="Z4" s="40">
        <f aca="true" t="shared" si="11" ref="Z4:Z18">X4+Y4</f>
        <v>1201</v>
      </c>
      <c r="AA4" s="40">
        <f aca="true" t="shared" si="12" ref="AA4:AA18">X4-R4</f>
        <v>0</v>
      </c>
      <c r="AB4" s="40">
        <f aca="true" t="shared" si="13" ref="AB4:AB9">Y4</f>
        <v>1201</v>
      </c>
      <c r="AC4" s="40">
        <f aca="true" t="shared" si="14" ref="AC4:AC18">AA4+AB4</f>
        <v>1201</v>
      </c>
      <c r="AD4" s="40">
        <f aca="true" t="shared" si="15" ref="AD4:AD18">L4+AA4</f>
        <v>0</v>
      </c>
      <c r="AE4" s="40">
        <f aca="true" t="shared" si="16" ref="AE4:AE18">M4+AB4</f>
        <v>2402</v>
      </c>
      <c r="AF4" s="40">
        <f aca="true" t="shared" si="17" ref="AF4:AF18">AD4+AE4</f>
        <v>2402</v>
      </c>
      <c r="AG4" s="40"/>
      <c r="AH4" s="40">
        <v>1201</v>
      </c>
      <c r="AI4" s="40">
        <f aca="true" t="shared" si="18" ref="AI4:AI18">AG4+AH4</f>
        <v>1201</v>
      </c>
      <c r="AJ4" s="40"/>
      <c r="AK4" s="40">
        <v>1080</v>
      </c>
      <c r="AL4" s="40">
        <f aca="true" t="shared" si="19" ref="AL4:AL18">AJ4+AK4</f>
        <v>1080</v>
      </c>
      <c r="AM4" s="40"/>
      <c r="AN4" s="40">
        <f aca="true" t="shared" si="20" ref="AN4:AO8">AL4+AM4</f>
        <v>1080</v>
      </c>
      <c r="AO4" s="40">
        <f t="shared" si="20"/>
        <v>1080</v>
      </c>
      <c r="AP4" s="40"/>
      <c r="AQ4" s="40">
        <f aca="true" t="shared" si="21" ref="AQ4:AR8">AO4+AP4</f>
        <v>1080</v>
      </c>
      <c r="AR4" s="40">
        <f t="shared" si="21"/>
        <v>1080</v>
      </c>
      <c r="AS4" s="40"/>
      <c r="AT4" s="40">
        <f aca="true" t="shared" si="22" ref="AT4:AU8">AR4+AS4</f>
        <v>1080</v>
      </c>
      <c r="AU4" s="40">
        <f t="shared" si="22"/>
        <v>1080</v>
      </c>
      <c r="AV4" s="40">
        <f aca="true" t="shared" si="23" ref="AV4:AW9">SUM(AS4,AP4,AM4,AJ4,AG4,X4)</f>
        <v>0</v>
      </c>
      <c r="AW4" s="40">
        <f t="shared" si="23"/>
        <v>6722</v>
      </c>
      <c r="AX4" s="40">
        <f aca="true" t="shared" si="24" ref="AX4:AX9">AV4+AW4</f>
        <v>6722</v>
      </c>
    </row>
    <row r="5" spans="1:50" s="36" customFormat="1" ht="12.75" outlineLevel="1">
      <c r="A5" s="37" t="s">
        <v>42</v>
      </c>
      <c r="B5" s="38" t="s">
        <v>44</v>
      </c>
      <c r="C5" s="41"/>
      <c r="D5" s="41"/>
      <c r="E5" s="40">
        <f t="shared" si="0"/>
        <v>0</v>
      </c>
      <c r="F5" s="41"/>
      <c r="G5" s="41"/>
      <c r="H5" s="40">
        <f t="shared" si="1"/>
        <v>0</v>
      </c>
      <c r="I5" s="41"/>
      <c r="J5" s="41"/>
      <c r="K5" s="40">
        <f t="shared" si="2"/>
        <v>0</v>
      </c>
      <c r="L5" s="40"/>
      <c r="M5" s="40">
        <v>2011</v>
      </c>
      <c r="N5" s="40">
        <f t="shared" si="3"/>
        <v>2011</v>
      </c>
      <c r="O5" s="41"/>
      <c r="P5" s="41"/>
      <c r="Q5" s="40">
        <f t="shared" si="4"/>
        <v>0</v>
      </c>
      <c r="R5" s="41"/>
      <c r="S5" s="40">
        <f t="shared" si="5"/>
        <v>2011</v>
      </c>
      <c r="T5" s="40">
        <f t="shared" si="6"/>
        <v>2011</v>
      </c>
      <c r="U5" s="40">
        <f t="shared" si="7"/>
        <v>0</v>
      </c>
      <c r="V5" s="40">
        <f t="shared" si="8"/>
        <v>-2011</v>
      </c>
      <c r="W5" s="40">
        <f t="shared" si="9"/>
        <v>-2011</v>
      </c>
      <c r="X5" s="40"/>
      <c r="Y5" s="40">
        <f t="shared" si="10"/>
        <v>2011</v>
      </c>
      <c r="Z5" s="40">
        <f t="shared" si="11"/>
        <v>2011</v>
      </c>
      <c r="AA5" s="40">
        <f t="shared" si="12"/>
        <v>0</v>
      </c>
      <c r="AB5" s="40">
        <f t="shared" si="13"/>
        <v>2011</v>
      </c>
      <c r="AC5" s="40">
        <f t="shared" si="14"/>
        <v>2011</v>
      </c>
      <c r="AD5" s="40">
        <f t="shared" si="15"/>
        <v>0</v>
      </c>
      <c r="AE5" s="40">
        <f t="shared" si="16"/>
        <v>4022</v>
      </c>
      <c r="AF5" s="40">
        <f t="shared" si="17"/>
        <v>4022</v>
      </c>
      <c r="AG5" s="40"/>
      <c r="AH5" s="40">
        <v>2011</v>
      </c>
      <c r="AI5" s="40">
        <f t="shared" si="18"/>
        <v>2011</v>
      </c>
      <c r="AJ5" s="40"/>
      <c r="AK5" s="40">
        <v>1810</v>
      </c>
      <c r="AL5" s="40">
        <f t="shared" si="19"/>
        <v>1810</v>
      </c>
      <c r="AM5" s="40"/>
      <c r="AN5" s="40">
        <f t="shared" si="20"/>
        <v>1810</v>
      </c>
      <c r="AO5" s="40">
        <f t="shared" si="20"/>
        <v>1810</v>
      </c>
      <c r="AP5" s="40"/>
      <c r="AQ5" s="40">
        <f t="shared" si="21"/>
        <v>1810</v>
      </c>
      <c r="AR5" s="40">
        <f t="shared" si="21"/>
        <v>1810</v>
      </c>
      <c r="AS5" s="40"/>
      <c r="AT5" s="40">
        <f t="shared" si="22"/>
        <v>1810</v>
      </c>
      <c r="AU5" s="40">
        <f t="shared" si="22"/>
        <v>1810</v>
      </c>
      <c r="AV5" s="40">
        <f t="shared" si="23"/>
        <v>0</v>
      </c>
      <c r="AW5" s="40">
        <f t="shared" si="23"/>
        <v>11262</v>
      </c>
      <c r="AX5" s="40">
        <f t="shared" si="24"/>
        <v>11262</v>
      </c>
    </row>
    <row r="6" spans="1:50" s="36" customFormat="1" ht="12.75" outlineLevel="1">
      <c r="A6" s="37" t="s">
        <v>42</v>
      </c>
      <c r="B6" s="38" t="s">
        <v>45</v>
      </c>
      <c r="C6" s="41"/>
      <c r="D6" s="41"/>
      <c r="E6" s="40">
        <f t="shared" si="0"/>
        <v>0</v>
      </c>
      <c r="F6" s="41"/>
      <c r="G6" s="41"/>
      <c r="H6" s="40">
        <f t="shared" si="1"/>
        <v>0</v>
      </c>
      <c r="I6" s="41"/>
      <c r="J6" s="41"/>
      <c r="K6" s="40">
        <f t="shared" si="2"/>
        <v>0</v>
      </c>
      <c r="L6" s="40"/>
      <c r="M6" s="40">
        <v>177</v>
      </c>
      <c r="N6" s="40">
        <f t="shared" si="3"/>
        <v>177</v>
      </c>
      <c r="O6" s="41"/>
      <c r="P6" s="41"/>
      <c r="Q6" s="40">
        <f t="shared" si="4"/>
        <v>0</v>
      </c>
      <c r="R6" s="41"/>
      <c r="S6" s="40">
        <f t="shared" si="5"/>
        <v>177</v>
      </c>
      <c r="T6" s="40">
        <f t="shared" si="6"/>
        <v>177</v>
      </c>
      <c r="U6" s="40">
        <f t="shared" si="7"/>
        <v>0</v>
      </c>
      <c r="V6" s="40">
        <f t="shared" si="8"/>
        <v>-177</v>
      </c>
      <c r="W6" s="40">
        <f t="shared" si="9"/>
        <v>-177</v>
      </c>
      <c r="X6" s="40"/>
      <c r="Y6" s="40">
        <f t="shared" si="10"/>
        <v>177</v>
      </c>
      <c r="Z6" s="40">
        <f t="shared" si="11"/>
        <v>177</v>
      </c>
      <c r="AA6" s="40">
        <f t="shared" si="12"/>
        <v>0</v>
      </c>
      <c r="AB6" s="40">
        <f t="shared" si="13"/>
        <v>177</v>
      </c>
      <c r="AC6" s="40">
        <f t="shared" si="14"/>
        <v>177</v>
      </c>
      <c r="AD6" s="40">
        <f t="shared" si="15"/>
        <v>0</v>
      </c>
      <c r="AE6" s="40">
        <f t="shared" si="16"/>
        <v>354</v>
      </c>
      <c r="AF6" s="40">
        <f t="shared" si="17"/>
        <v>354</v>
      </c>
      <c r="AG6" s="40"/>
      <c r="AH6" s="40">
        <v>177</v>
      </c>
      <c r="AI6" s="40">
        <f t="shared" si="18"/>
        <v>177</v>
      </c>
      <c r="AJ6" s="40"/>
      <c r="AK6" s="40">
        <v>159</v>
      </c>
      <c r="AL6" s="40">
        <f t="shared" si="19"/>
        <v>159</v>
      </c>
      <c r="AM6" s="40"/>
      <c r="AN6" s="40">
        <f t="shared" si="20"/>
        <v>159</v>
      </c>
      <c r="AO6" s="40">
        <f t="shared" si="20"/>
        <v>159</v>
      </c>
      <c r="AP6" s="40"/>
      <c r="AQ6" s="40">
        <f t="shared" si="21"/>
        <v>159</v>
      </c>
      <c r="AR6" s="40">
        <f t="shared" si="21"/>
        <v>159</v>
      </c>
      <c r="AS6" s="40"/>
      <c r="AT6" s="40">
        <f t="shared" si="22"/>
        <v>159</v>
      </c>
      <c r="AU6" s="40">
        <f t="shared" si="22"/>
        <v>159</v>
      </c>
      <c r="AV6" s="40">
        <f t="shared" si="23"/>
        <v>0</v>
      </c>
      <c r="AW6" s="40">
        <f t="shared" si="23"/>
        <v>990</v>
      </c>
      <c r="AX6" s="40">
        <f t="shared" si="24"/>
        <v>990</v>
      </c>
    </row>
    <row r="7" spans="1:50" s="36" customFormat="1" ht="12.75" outlineLevel="1">
      <c r="A7" s="37" t="s">
        <v>42</v>
      </c>
      <c r="B7" s="38" t="s">
        <v>44</v>
      </c>
      <c r="C7" s="41"/>
      <c r="D7" s="41"/>
      <c r="E7" s="40">
        <f t="shared" si="0"/>
        <v>0</v>
      </c>
      <c r="F7" s="41"/>
      <c r="G7" s="41"/>
      <c r="H7" s="40">
        <f t="shared" si="1"/>
        <v>0</v>
      </c>
      <c r="I7" s="41"/>
      <c r="J7" s="41"/>
      <c r="K7" s="40">
        <f t="shared" si="2"/>
        <v>0</v>
      </c>
      <c r="L7" s="40"/>
      <c r="M7" s="40">
        <v>282</v>
      </c>
      <c r="N7" s="40">
        <f t="shared" si="3"/>
        <v>282</v>
      </c>
      <c r="O7" s="41"/>
      <c r="P7" s="41"/>
      <c r="Q7" s="40">
        <f t="shared" si="4"/>
        <v>0</v>
      </c>
      <c r="R7" s="41"/>
      <c r="S7" s="40">
        <f t="shared" si="5"/>
        <v>282</v>
      </c>
      <c r="T7" s="40">
        <f t="shared" si="6"/>
        <v>282</v>
      </c>
      <c r="U7" s="40">
        <f t="shared" si="7"/>
        <v>0</v>
      </c>
      <c r="V7" s="40">
        <f t="shared" si="8"/>
        <v>-282</v>
      </c>
      <c r="W7" s="40">
        <f t="shared" si="9"/>
        <v>-282</v>
      </c>
      <c r="X7" s="40"/>
      <c r="Y7" s="40">
        <f t="shared" si="10"/>
        <v>282</v>
      </c>
      <c r="Z7" s="40">
        <f t="shared" si="11"/>
        <v>282</v>
      </c>
      <c r="AA7" s="40">
        <f t="shared" si="12"/>
        <v>0</v>
      </c>
      <c r="AB7" s="40">
        <f t="shared" si="13"/>
        <v>282</v>
      </c>
      <c r="AC7" s="40">
        <f t="shared" si="14"/>
        <v>282</v>
      </c>
      <c r="AD7" s="40">
        <f t="shared" si="15"/>
        <v>0</v>
      </c>
      <c r="AE7" s="40">
        <f t="shared" si="16"/>
        <v>564</v>
      </c>
      <c r="AF7" s="40">
        <f t="shared" si="17"/>
        <v>564</v>
      </c>
      <c r="AG7" s="40"/>
      <c r="AH7" s="40">
        <v>282</v>
      </c>
      <c r="AI7" s="40">
        <f t="shared" si="18"/>
        <v>282</v>
      </c>
      <c r="AJ7" s="40"/>
      <c r="AK7" s="40">
        <v>254</v>
      </c>
      <c r="AL7" s="40">
        <f t="shared" si="19"/>
        <v>254</v>
      </c>
      <c r="AM7" s="40"/>
      <c r="AN7" s="40">
        <f t="shared" si="20"/>
        <v>254</v>
      </c>
      <c r="AO7" s="40">
        <f t="shared" si="20"/>
        <v>254</v>
      </c>
      <c r="AP7" s="40"/>
      <c r="AQ7" s="40">
        <f t="shared" si="21"/>
        <v>254</v>
      </c>
      <c r="AR7" s="40">
        <f t="shared" si="21"/>
        <v>254</v>
      </c>
      <c r="AS7" s="40"/>
      <c r="AT7" s="40">
        <f t="shared" si="22"/>
        <v>254</v>
      </c>
      <c r="AU7" s="40">
        <f t="shared" si="22"/>
        <v>254</v>
      </c>
      <c r="AV7" s="40">
        <f t="shared" si="23"/>
        <v>0</v>
      </c>
      <c r="AW7" s="40">
        <f t="shared" si="23"/>
        <v>1580</v>
      </c>
      <c r="AX7" s="40">
        <f t="shared" si="24"/>
        <v>1580</v>
      </c>
    </row>
    <row r="8" spans="1:50" s="36" customFormat="1" ht="12.75" outlineLevel="1">
      <c r="A8" s="37" t="s">
        <v>42</v>
      </c>
      <c r="B8" s="38" t="s">
        <v>46</v>
      </c>
      <c r="C8" s="41"/>
      <c r="D8" s="41"/>
      <c r="E8" s="40">
        <f t="shared" si="0"/>
        <v>0</v>
      </c>
      <c r="F8" s="41"/>
      <c r="G8" s="41"/>
      <c r="H8" s="40">
        <f t="shared" si="1"/>
        <v>0</v>
      </c>
      <c r="I8" s="41"/>
      <c r="J8" s="41"/>
      <c r="K8" s="40">
        <f t="shared" si="2"/>
        <v>0</v>
      </c>
      <c r="L8" s="40"/>
      <c r="M8" s="40">
        <v>1077</v>
      </c>
      <c r="N8" s="40">
        <f t="shared" si="3"/>
        <v>1077</v>
      </c>
      <c r="O8" s="41"/>
      <c r="P8" s="41"/>
      <c r="Q8" s="40">
        <f t="shared" si="4"/>
        <v>0</v>
      </c>
      <c r="R8" s="41"/>
      <c r="S8" s="40">
        <f t="shared" si="5"/>
        <v>1077</v>
      </c>
      <c r="T8" s="40">
        <f t="shared" si="6"/>
        <v>1077</v>
      </c>
      <c r="U8" s="40">
        <f t="shared" si="7"/>
        <v>0</v>
      </c>
      <c r="V8" s="40">
        <f t="shared" si="8"/>
        <v>-1077</v>
      </c>
      <c r="W8" s="40">
        <f t="shared" si="9"/>
        <v>-1077</v>
      </c>
      <c r="X8" s="40"/>
      <c r="Y8" s="40">
        <f t="shared" si="10"/>
        <v>1077</v>
      </c>
      <c r="Z8" s="40">
        <f t="shared" si="11"/>
        <v>1077</v>
      </c>
      <c r="AA8" s="40">
        <f t="shared" si="12"/>
        <v>0</v>
      </c>
      <c r="AB8" s="40">
        <f t="shared" si="13"/>
        <v>1077</v>
      </c>
      <c r="AC8" s="40">
        <f t="shared" si="14"/>
        <v>1077</v>
      </c>
      <c r="AD8" s="40">
        <f t="shared" si="15"/>
        <v>0</v>
      </c>
      <c r="AE8" s="40">
        <f t="shared" si="16"/>
        <v>2154</v>
      </c>
      <c r="AF8" s="40">
        <f t="shared" si="17"/>
        <v>2154</v>
      </c>
      <c r="AG8" s="40"/>
      <c r="AH8" s="40">
        <v>1077</v>
      </c>
      <c r="AI8" s="40">
        <f t="shared" si="18"/>
        <v>1077</v>
      </c>
      <c r="AJ8" s="40"/>
      <c r="AK8" s="40">
        <v>969</v>
      </c>
      <c r="AL8" s="40">
        <f t="shared" si="19"/>
        <v>969</v>
      </c>
      <c r="AM8" s="40"/>
      <c r="AN8" s="40">
        <f t="shared" si="20"/>
        <v>969</v>
      </c>
      <c r="AO8" s="40">
        <f t="shared" si="20"/>
        <v>969</v>
      </c>
      <c r="AP8" s="40"/>
      <c r="AQ8" s="40">
        <f t="shared" si="21"/>
        <v>969</v>
      </c>
      <c r="AR8" s="40">
        <f t="shared" si="21"/>
        <v>969</v>
      </c>
      <c r="AS8" s="40"/>
      <c r="AT8" s="40">
        <f t="shared" si="22"/>
        <v>969</v>
      </c>
      <c r="AU8" s="40">
        <f t="shared" si="22"/>
        <v>969</v>
      </c>
      <c r="AV8" s="40">
        <f t="shared" si="23"/>
        <v>0</v>
      </c>
      <c r="AW8" s="40">
        <f t="shared" si="23"/>
        <v>6030</v>
      </c>
      <c r="AX8" s="40">
        <f t="shared" si="24"/>
        <v>6030</v>
      </c>
    </row>
    <row r="9" spans="1:50" s="36" customFormat="1" ht="12.75" outlineLevel="1">
      <c r="A9" s="37" t="s">
        <v>42</v>
      </c>
      <c r="B9" s="38" t="s">
        <v>47</v>
      </c>
      <c r="C9" s="42"/>
      <c r="D9" s="42"/>
      <c r="E9" s="40">
        <f t="shared" si="0"/>
        <v>0</v>
      </c>
      <c r="F9" s="42"/>
      <c r="G9" s="42"/>
      <c r="H9" s="40">
        <f t="shared" si="1"/>
        <v>0</v>
      </c>
      <c r="I9" s="42"/>
      <c r="J9" s="42"/>
      <c r="K9" s="40">
        <f t="shared" si="2"/>
        <v>0</v>
      </c>
      <c r="L9" s="40"/>
      <c r="M9" s="40"/>
      <c r="N9" s="40">
        <f t="shared" si="3"/>
        <v>0</v>
      </c>
      <c r="O9" s="42"/>
      <c r="P9" s="42"/>
      <c r="Q9" s="40">
        <f t="shared" si="4"/>
        <v>0</v>
      </c>
      <c r="R9" s="42"/>
      <c r="S9" s="40">
        <f t="shared" si="5"/>
        <v>0</v>
      </c>
      <c r="T9" s="40">
        <f t="shared" si="6"/>
        <v>0</v>
      </c>
      <c r="U9" s="40">
        <f t="shared" si="7"/>
        <v>0</v>
      </c>
      <c r="V9" s="40">
        <f t="shared" si="8"/>
        <v>0</v>
      </c>
      <c r="W9" s="40">
        <f t="shared" si="9"/>
        <v>0</v>
      </c>
      <c r="X9" s="40"/>
      <c r="Y9" s="40">
        <f t="shared" si="10"/>
        <v>0</v>
      </c>
      <c r="Z9" s="40">
        <f t="shared" si="11"/>
        <v>0</v>
      </c>
      <c r="AA9" s="40">
        <f t="shared" si="12"/>
        <v>0</v>
      </c>
      <c r="AB9" s="40">
        <f t="shared" si="13"/>
        <v>0</v>
      </c>
      <c r="AC9" s="40">
        <f t="shared" si="14"/>
        <v>0</v>
      </c>
      <c r="AD9" s="40">
        <f t="shared" si="15"/>
        <v>0</v>
      </c>
      <c r="AE9" s="40">
        <f t="shared" si="16"/>
        <v>0</v>
      </c>
      <c r="AF9" s="40">
        <f t="shared" si="17"/>
        <v>0</v>
      </c>
      <c r="AG9" s="40"/>
      <c r="AH9" s="40">
        <v>488</v>
      </c>
      <c r="AI9" s="40">
        <f t="shared" si="18"/>
        <v>488</v>
      </c>
      <c r="AJ9" s="40"/>
      <c r="AK9" s="40">
        <v>581</v>
      </c>
      <c r="AL9" s="40">
        <f t="shared" si="19"/>
        <v>581</v>
      </c>
      <c r="AM9" s="40"/>
      <c r="AN9" s="40">
        <v>581</v>
      </c>
      <c r="AO9" s="40">
        <f aca="true" t="shared" si="25" ref="AO9:AO18">AM9+AN9</f>
        <v>581</v>
      </c>
      <c r="AP9" s="40"/>
      <c r="AQ9" s="40">
        <v>581</v>
      </c>
      <c r="AR9" s="40">
        <f aca="true" t="shared" si="26" ref="AR9:AR18">AP9+AQ9</f>
        <v>581</v>
      </c>
      <c r="AS9" s="40"/>
      <c r="AT9" s="40">
        <v>581</v>
      </c>
      <c r="AU9" s="40">
        <f aca="true" t="shared" si="27" ref="AU9:AU18">AS9+AT9</f>
        <v>581</v>
      </c>
      <c r="AV9" s="40">
        <f t="shared" si="23"/>
        <v>0</v>
      </c>
      <c r="AW9" s="40">
        <f t="shared" si="23"/>
        <v>2812</v>
      </c>
      <c r="AX9" s="40">
        <f t="shared" si="24"/>
        <v>2812</v>
      </c>
    </row>
    <row r="10" spans="1:50" s="46" customFormat="1" ht="12.75">
      <c r="A10" s="43" t="s">
        <v>42</v>
      </c>
      <c r="B10" s="44" t="s">
        <v>3</v>
      </c>
      <c r="C10" s="45">
        <f>SUM(C4:C9)</f>
        <v>0</v>
      </c>
      <c r="D10" s="45">
        <f>SUM(D4:D9)</f>
        <v>0</v>
      </c>
      <c r="E10" s="45">
        <f t="shared" si="0"/>
        <v>0</v>
      </c>
      <c r="F10" s="45">
        <f>SUM(F4:F9)</f>
        <v>0</v>
      </c>
      <c r="G10" s="45">
        <f>SUM(G4:G9)</f>
        <v>0</v>
      </c>
      <c r="H10" s="45">
        <f t="shared" si="1"/>
        <v>0</v>
      </c>
      <c r="I10" s="45">
        <f>SUM(I4:I9)</f>
        <v>0</v>
      </c>
      <c r="J10" s="45">
        <f>SUM(J4:J9)</f>
        <v>0</v>
      </c>
      <c r="K10" s="45">
        <f t="shared" si="2"/>
        <v>0</v>
      </c>
      <c r="L10" s="45">
        <f>SUM(L4:L9)</f>
        <v>0</v>
      </c>
      <c r="M10" s="45">
        <f>SUM(M4:M9)</f>
        <v>4748</v>
      </c>
      <c r="N10" s="45">
        <f>SUM(N4:N9)</f>
        <v>4748</v>
      </c>
      <c r="O10" s="45">
        <f>SUM(O4:O9)</f>
        <v>0</v>
      </c>
      <c r="P10" s="45">
        <f>SUM(P4:P9)</f>
        <v>0</v>
      </c>
      <c r="Q10" s="45">
        <f t="shared" si="4"/>
        <v>0</v>
      </c>
      <c r="R10" s="45">
        <f>SUM(R4:R9)</f>
        <v>0</v>
      </c>
      <c r="S10" s="45">
        <f>SUM(S4:S9)</f>
        <v>4748</v>
      </c>
      <c r="T10" s="45">
        <f>SUM(T4:T9)</f>
        <v>4748</v>
      </c>
      <c r="U10" s="45">
        <f t="shared" si="7"/>
        <v>0</v>
      </c>
      <c r="V10" s="45">
        <f t="shared" si="8"/>
        <v>-4748</v>
      </c>
      <c r="W10" s="45">
        <f t="shared" si="9"/>
        <v>-4748</v>
      </c>
      <c r="X10" s="45">
        <f>SUM(X4:X9)</f>
        <v>0</v>
      </c>
      <c r="Y10" s="45">
        <f>SUM(Y4:Y9)</f>
        <v>4748</v>
      </c>
      <c r="Z10" s="45">
        <f t="shared" si="11"/>
        <v>4748</v>
      </c>
      <c r="AA10" s="45">
        <f t="shared" si="12"/>
        <v>0</v>
      </c>
      <c r="AB10" s="45">
        <f aca="true" t="shared" si="28" ref="AB10:AB18">Y10-S10</f>
        <v>0</v>
      </c>
      <c r="AC10" s="45">
        <f t="shared" si="14"/>
        <v>0</v>
      </c>
      <c r="AD10" s="45">
        <f t="shared" si="15"/>
        <v>0</v>
      </c>
      <c r="AE10" s="45">
        <f t="shared" si="16"/>
        <v>4748</v>
      </c>
      <c r="AF10" s="45">
        <f t="shared" si="17"/>
        <v>4748</v>
      </c>
      <c r="AG10" s="45">
        <f>SUM(AG4:AG9)</f>
        <v>0</v>
      </c>
      <c r="AH10" s="45">
        <f>SUM(AH4:AH9)</f>
        <v>5236</v>
      </c>
      <c r="AI10" s="45">
        <f t="shared" si="18"/>
        <v>5236</v>
      </c>
      <c r="AJ10" s="45">
        <f>SUM(AJ4:AJ9)</f>
        <v>0</v>
      </c>
      <c r="AK10" s="45">
        <f>SUM(AK4:AK9)</f>
        <v>4853</v>
      </c>
      <c r="AL10" s="45">
        <f t="shared" si="19"/>
        <v>4853</v>
      </c>
      <c r="AM10" s="45">
        <f>SUM(AM4:AM9)</f>
        <v>0</v>
      </c>
      <c r="AN10" s="45">
        <f>SUM(AN4:AN9)</f>
        <v>4853</v>
      </c>
      <c r="AO10" s="45">
        <f t="shared" si="25"/>
        <v>4853</v>
      </c>
      <c r="AP10" s="45">
        <f>SUM(AP4:AP9)</f>
        <v>0</v>
      </c>
      <c r="AQ10" s="45">
        <f>SUM(AQ4:AQ9)</f>
        <v>4853</v>
      </c>
      <c r="AR10" s="45">
        <f t="shared" si="26"/>
        <v>4853</v>
      </c>
      <c r="AS10" s="45">
        <f>SUM(AS4:AS9)</f>
        <v>0</v>
      </c>
      <c r="AT10" s="45">
        <f>SUM(AT4:AT9)</f>
        <v>4853</v>
      </c>
      <c r="AU10" s="45">
        <f t="shared" si="27"/>
        <v>4853</v>
      </c>
      <c r="AV10" s="45">
        <f>SUM(AV4:AV9)</f>
        <v>0</v>
      </c>
      <c r="AW10" s="45">
        <f>SUM(AW4:AW9)</f>
        <v>29396</v>
      </c>
      <c r="AX10" s="45">
        <f>SUM(AX4:AX9)</f>
        <v>29396</v>
      </c>
    </row>
    <row r="11" spans="1:50" s="47" customFormat="1" ht="11.25" outlineLevel="1">
      <c r="A11" s="37" t="s">
        <v>48</v>
      </c>
      <c r="B11" s="38" t="s">
        <v>49</v>
      </c>
      <c r="C11" s="40"/>
      <c r="D11" s="40"/>
      <c r="E11" s="40">
        <f t="shared" si="0"/>
        <v>0</v>
      </c>
      <c r="F11" s="40"/>
      <c r="G11" s="40"/>
      <c r="H11" s="40">
        <f t="shared" si="1"/>
        <v>0</v>
      </c>
      <c r="I11" s="40">
        <f aca="true" t="shared" si="29" ref="I11:J18">O11-C11</f>
        <v>0</v>
      </c>
      <c r="J11" s="40">
        <f t="shared" si="29"/>
        <v>0</v>
      </c>
      <c r="K11" s="40">
        <f t="shared" si="2"/>
        <v>0</v>
      </c>
      <c r="L11" s="40"/>
      <c r="M11" s="40"/>
      <c r="N11" s="40">
        <f aca="true" t="shared" si="30" ref="N11:N18">L11+M11</f>
        <v>0</v>
      </c>
      <c r="O11" s="40"/>
      <c r="P11" s="40"/>
      <c r="Q11" s="40">
        <f t="shared" si="4"/>
        <v>0</v>
      </c>
      <c r="R11" s="40"/>
      <c r="S11" s="40"/>
      <c r="T11" s="40"/>
      <c r="U11" s="40">
        <f t="shared" si="7"/>
        <v>0</v>
      </c>
      <c r="V11" s="40">
        <f t="shared" si="8"/>
        <v>0</v>
      </c>
      <c r="W11" s="40">
        <f t="shared" si="9"/>
        <v>0</v>
      </c>
      <c r="X11" s="40"/>
      <c r="Y11" s="40"/>
      <c r="Z11" s="40">
        <f t="shared" si="11"/>
        <v>0</v>
      </c>
      <c r="AA11" s="40">
        <f t="shared" si="12"/>
        <v>0</v>
      </c>
      <c r="AB11" s="40">
        <f t="shared" si="28"/>
        <v>0</v>
      </c>
      <c r="AC11" s="40">
        <f t="shared" si="14"/>
        <v>0</v>
      </c>
      <c r="AD11" s="40">
        <f t="shared" si="15"/>
        <v>0</v>
      </c>
      <c r="AE11" s="40">
        <f t="shared" si="16"/>
        <v>0</v>
      </c>
      <c r="AF11" s="40">
        <f t="shared" si="17"/>
        <v>0</v>
      </c>
      <c r="AG11" s="40"/>
      <c r="AH11" s="40"/>
      <c r="AI11" s="40">
        <f t="shared" si="18"/>
        <v>0</v>
      </c>
      <c r="AJ11" s="40"/>
      <c r="AK11" s="40"/>
      <c r="AL11" s="40">
        <f t="shared" si="19"/>
        <v>0</v>
      </c>
      <c r="AM11" s="40"/>
      <c r="AN11" s="40"/>
      <c r="AO11" s="40">
        <f t="shared" si="25"/>
        <v>0</v>
      </c>
      <c r="AP11" s="40"/>
      <c r="AQ11" s="40"/>
      <c r="AR11" s="40">
        <f t="shared" si="26"/>
        <v>0</v>
      </c>
      <c r="AS11" s="40"/>
      <c r="AT11" s="40"/>
      <c r="AU11" s="40">
        <f t="shared" si="27"/>
        <v>0</v>
      </c>
      <c r="AV11" s="40">
        <f aca="true" t="shared" si="31" ref="AV11:AW18">SUM(AS11,AP11,AM11,AJ11,AG11,X11)</f>
        <v>0</v>
      </c>
      <c r="AW11" s="40">
        <f t="shared" si="31"/>
        <v>0</v>
      </c>
      <c r="AX11" s="40">
        <f aca="true" t="shared" si="32" ref="AX11:AX18">AV11+AW11</f>
        <v>0</v>
      </c>
    </row>
    <row r="12" spans="1:50" s="47" customFormat="1" ht="11.25" outlineLevel="1">
      <c r="A12" s="37" t="s">
        <v>48</v>
      </c>
      <c r="B12" s="38" t="s">
        <v>50</v>
      </c>
      <c r="C12" s="40"/>
      <c r="D12" s="40"/>
      <c r="E12" s="40">
        <f t="shared" si="0"/>
        <v>0</v>
      </c>
      <c r="F12" s="40"/>
      <c r="G12" s="40"/>
      <c r="H12" s="40">
        <f t="shared" si="1"/>
        <v>0</v>
      </c>
      <c r="I12" s="40">
        <f t="shared" si="29"/>
        <v>0</v>
      </c>
      <c r="J12" s="40">
        <f t="shared" si="29"/>
        <v>0</v>
      </c>
      <c r="K12" s="40">
        <f t="shared" si="2"/>
        <v>0</v>
      </c>
      <c r="L12" s="40"/>
      <c r="M12" s="40"/>
      <c r="N12" s="40">
        <f t="shared" si="30"/>
        <v>0</v>
      </c>
      <c r="O12" s="40"/>
      <c r="P12" s="40"/>
      <c r="Q12" s="40">
        <f t="shared" si="4"/>
        <v>0</v>
      </c>
      <c r="R12" s="40"/>
      <c r="S12" s="40"/>
      <c r="T12" s="40"/>
      <c r="U12" s="40">
        <f t="shared" si="7"/>
        <v>0</v>
      </c>
      <c r="V12" s="40">
        <f t="shared" si="8"/>
        <v>0</v>
      </c>
      <c r="W12" s="40">
        <f t="shared" si="9"/>
        <v>0</v>
      </c>
      <c r="X12" s="40"/>
      <c r="Y12" s="40"/>
      <c r="Z12" s="40">
        <f t="shared" si="11"/>
        <v>0</v>
      </c>
      <c r="AA12" s="40">
        <f t="shared" si="12"/>
        <v>0</v>
      </c>
      <c r="AB12" s="40">
        <f t="shared" si="28"/>
        <v>0</v>
      </c>
      <c r="AC12" s="40">
        <f t="shared" si="14"/>
        <v>0</v>
      </c>
      <c r="AD12" s="40">
        <f t="shared" si="15"/>
        <v>0</v>
      </c>
      <c r="AE12" s="40">
        <f t="shared" si="16"/>
        <v>0</v>
      </c>
      <c r="AF12" s="40">
        <f t="shared" si="17"/>
        <v>0</v>
      </c>
      <c r="AG12" s="40"/>
      <c r="AH12" s="40"/>
      <c r="AI12" s="40">
        <f t="shared" si="18"/>
        <v>0</v>
      </c>
      <c r="AJ12" s="40"/>
      <c r="AK12" s="40"/>
      <c r="AL12" s="40">
        <f t="shared" si="19"/>
        <v>0</v>
      </c>
      <c r="AM12" s="40"/>
      <c r="AN12" s="40"/>
      <c r="AO12" s="40">
        <f t="shared" si="25"/>
        <v>0</v>
      </c>
      <c r="AP12" s="40"/>
      <c r="AQ12" s="40"/>
      <c r="AR12" s="40">
        <f t="shared" si="26"/>
        <v>0</v>
      </c>
      <c r="AS12" s="40"/>
      <c r="AT12" s="40"/>
      <c r="AU12" s="40">
        <f t="shared" si="27"/>
        <v>0</v>
      </c>
      <c r="AV12" s="40">
        <f t="shared" si="31"/>
        <v>0</v>
      </c>
      <c r="AW12" s="40">
        <f t="shared" si="31"/>
        <v>0</v>
      </c>
      <c r="AX12" s="40">
        <f t="shared" si="32"/>
        <v>0</v>
      </c>
    </row>
    <row r="13" spans="1:50" s="47" customFormat="1" ht="11.25" outlineLevel="1">
      <c r="A13" s="37" t="s">
        <v>48</v>
      </c>
      <c r="B13" s="38" t="s">
        <v>51</v>
      </c>
      <c r="C13" s="40"/>
      <c r="D13" s="40"/>
      <c r="E13" s="40">
        <f t="shared" si="0"/>
        <v>0</v>
      </c>
      <c r="F13" s="40"/>
      <c r="G13" s="40"/>
      <c r="H13" s="40">
        <f t="shared" si="1"/>
        <v>0</v>
      </c>
      <c r="I13" s="40">
        <f t="shared" si="29"/>
        <v>0</v>
      </c>
      <c r="J13" s="40">
        <f t="shared" si="29"/>
        <v>0</v>
      </c>
      <c r="K13" s="40">
        <f t="shared" si="2"/>
        <v>0</v>
      </c>
      <c r="L13" s="40"/>
      <c r="M13" s="40"/>
      <c r="N13" s="40">
        <f t="shared" si="30"/>
        <v>0</v>
      </c>
      <c r="O13" s="40"/>
      <c r="P13" s="40"/>
      <c r="Q13" s="40">
        <f t="shared" si="4"/>
        <v>0</v>
      </c>
      <c r="R13" s="40"/>
      <c r="S13" s="40"/>
      <c r="T13" s="40"/>
      <c r="U13" s="40">
        <f t="shared" si="7"/>
        <v>0</v>
      </c>
      <c r="V13" s="40">
        <f t="shared" si="8"/>
        <v>0</v>
      </c>
      <c r="W13" s="40">
        <f t="shared" si="9"/>
        <v>0</v>
      </c>
      <c r="X13" s="40"/>
      <c r="Y13" s="40"/>
      <c r="Z13" s="40">
        <f t="shared" si="11"/>
        <v>0</v>
      </c>
      <c r="AA13" s="40">
        <f t="shared" si="12"/>
        <v>0</v>
      </c>
      <c r="AB13" s="40">
        <f t="shared" si="28"/>
        <v>0</v>
      </c>
      <c r="AC13" s="40">
        <f t="shared" si="14"/>
        <v>0</v>
      </c>
      <c r="AD13" s="40">
        <f t="shared" si="15"/>
        <v>0</v>
      </c>
      <c r="AE13" s="40">
        <f t="shared" si="16"/>
        <v>0</v>
      </c>
      <c r="AF13" s="40">
        <f t="shared" si="17"/>
        <v>0</v>
      </c>
      <c r="AG13" s="40"/>
      <c r="AH13" s="40"/>
      <c r="AI13" s="40">
        <f t="shared" si="18"/>
        <v>0</v>
      </c>
      <c r="AJ13" s="40"/>
      <c r="AK13" s="40"/>
      <c r="AL13" s="40">
        <f t="shared" si="19"/>
        <v>0</v>
      </c>
      <c r="AM13" s="40"/>
      <c r="AN13" s="40"/>
      <c r="AO13" s="40">
        <f t="shared" si="25"/>
        <v>0</v>
      </c>
      <c r="AP13" s="40"/>
      <c r="AQ13" s="40"/>
      <c r="AR13" s="40">
        <f t="shared" si="26"/>
        <v>0</v>
      </c>
      <c r="AS13" s="40"/>
      <c r="AT13" s="40"/>
      <c r="AU13" s="40">
        <f t="shared" si="27"/>
        <v>0</v>
      </c>
      <c r="AV13" s="40">
        <f t="shared" si="31"/>
        <v>0</v>
      </c>
      <c r="AW13" s="40">
        <f t="shared" si="31"/>
        <v>0</v>
      </c>
      <c r="AX13" s="40">
        <f t="shared" si="32"/>
        <v>0</v>
      </c>
    </row>
    <row r="14" spans="1:50" s="47" customFormat="1" ht="11.25" outlineLevel="1">
      <c r="A14" s="37" t="s">
        <v>48</v>
      </c>
      <c r="B14" s="38" t="s">
        <v>52</v>
      </c>
      <c r="C14" s="40"/>
      <c r="D14" s="40"/>
      <c r="E14" s="40">
        <f t="shared" si="0"/>
        <v>0</v>
      </c>
      <c r="F14" s="40"/>
      <c r="G14" s="40"/>
      <c r="H14" s="40">
        <f t="shared" si="1"/>
        <v>0</v>
      </c>
      <c r="I14" s="40">
        <f t="shared" si="29"/>
        <v>0</v>
      </c>
      <c r="J14" s="40">
        <f t="shared" si="29"/>
        <v>0</v>
      </c>
      <c r="K14" s="40">
        <f t="shared" si="2"/>
        <v>0</v>
      </c>
      <c r="L14" s="40"/>
      <c r="M14" s="40"/>
      <c r="N14" s="40">
        <f t="shared" si="30"/>
        <v>0</v>
      </c>
      <c r="O14" s="40"/>
      <c r="P14" s="40"/>
      <c r="Q14" s="40">
        <f t="shared" si="4"/>
        <v>0</v>
      </c>
      <c r="R14" s="40"/>
      <c r="S14" s="40"/>
      <c r="T14" s="40"/>
      <c r="U14" s="40">
        <f t="shared" si="7"/>
        <v>0</v>
      </c>
      <c r="V14" s="40">
        <f t="shared" si="8"/>
        <v>0</v>
      </c>
      <c r="W14" s="40">
        <f t="shared" si="9"/>
        <v>0</v>
      </c>
      <c r="X14" s="40"/>
      <c r="Y14" s="40"/>
      <c r="Z14" s="40">
        <f t="shared" si="11"/>
        <v>0</v>
      </c>
      <c r="AA14" s="40">
        <f t="shared" si="12"/>
        <v>0</v>
      </c>
      <c r="AB14" s="40">
        <f t="shared" si="28"/>
        <v>0</v>
      </c>
      <c r="AC14" s="40">
        <f t="shared" si="14"/>
        <v>0</v>
      </c>
      <c r="AD14" s="40">
        <f t="shared" si="15"/>
        <v>0</v>
      </c>
      <c r="AE14" s="40">
        <f t="shared" si="16"/>
        <v>0</v>
      </c>
      <c r="AF14" s="40">
        <f t="shared" si="17"/>
        <v>0</v>
      </c>
      <c r="AG14" s="40"/>
      <c r="AH14" s="40"/>
      <c r="AI14" s="40">
        <f t="shared" si="18"/>
        <v>0</v>
      </c>
      <c r="AJ14" s="40"/>
      <c r="AK14" s="40"/>
      <c r="AL14" s="40">
        <f t="shared" si="19"/>
        <v>0</v>
      </c>
      <c r="AM14" s="40"/>
      <c r="AN14" s="40"/>
      <c r="AO14" s="40">
        <f t="shared" si="25"/>
        <v>0</v>
      </c>
      <c r="AP14" s="40"/>
      <c r="AQ14" s="40"/>
      <c r="AR14" s="40">
        <f t="shared" si="26"/>
        <v>0</v>
      </c>
      <c r="AS14" s="40"/>
      <c r="AT14" s="40"/>
      <c r="AU14" s="40">
        <f t="shared" si="27"/>
        <v>0</v>
      </c>
      <c r="AV14" s="40">
        <f t="shared" si="31"/>
        <v>0</v>
      </c>
      <c r="AW14" s="40">
        <f t="shared" si="31"/>
        <v>0</v>
      </c>
      <c r="AX14" s="40">
        <f t="shared" si="32"/>
        <v>0</v>
      </c>
    </row>
    <row r="15" spans="1:50" s="47" customFormat="1" ht="11.25" outlineLevel="1">
      <c r="A15" s="37" t="s">
        <v>48</v>
      </c>
      <c r="B15" s="38" t="s">
        <v>53</v>
      </c>
      <c r="C15" s="40"/>
      <c r="D15" s="40"/>
      <c r="E15" s="40">
        <f t="shared" si="0"/>
        <v>0</v>
      </c>
      <c r="F15" s="40"/>
      <c r="G15" s="40"/>
      <c r="H15" s="40">
        <f t="shared" si="1"/>
        <v>0</v>
      </c>
      <c r="I15" s="40">
        <f t="shared" si="29"/>
        <v>0</v>
      </c>
      <c r="J15" s="40">
        <f t="shared" si="29"/>
        <v>0</v>
      </c>
      <c r="K15" s="40">
        <f t="shared" si="2"/>
        <v>0</v>
      </c>
      <c r="L15" s="40"/>
      <c r="M15" s="40"/>
      <c r="N15" s="40">
        <f t="shared" si="30"/>
        <v>0</v>
      </c>
      <c r="O15" s="40"/>
      <c r="P15" s="40"/>
      <c r="Q15" s="40">
        <f t="shared" si="4"/>
        <v>0</v>
      </c>
      <c r="R15" s="40"/>
      <c r="S15" s="40"/>
      <c r="T15" s="40"/>
      <c r="U15" s="40">
        <f t="shared" si="7"/>
        <v>0</v>
      </c>
      <c r="V15" s="40">
        <f t="shared" si="8"/>
        <v>0</v>
      </c>
      <c r="W15" s="40">
        <f t="shared" si="9"/>
        <v>0</v>
      </c>
      <c r="X15" s="40"/>
      <c r="Y15" s="40"/>
      <c r="Z15" s="40">
        <f t="shared" si="11"/>
        <v>0</v>
      </c>
      <c r="AA15" s="40">
        <f t="shared" si="12"/>
        <v>0</v>
      </c>
      <c r="AB15" s="40">
        <f t="shared" si="28"/>
        <v>0</v>
      </c>
      <c r="AC15" s="40">
        <f t="shared" si="14"/>
        <v>0</v>
      </c>
      <c r="AD15" s="40">
        <f t="shared" si="15"/>
        <v>0</v>
      </c>
      <c r="AE15" s="40">
        <f t="shared" si="16"/>
        <v>0</v>
      </c>
      <c r="AF15" s="40">
        <f t="shared" si="17"/>
        <v>0</v>
      </c>
      <c r="AG15" s="40"/>
      <c r="AH15" s="40">
        <v>10826</v>
      </c>
      <c r="AI15" s="40">
        <f t="shared" si="18"/>
        <v>10826</v>
      </c>
      <c r="AJ15" s="40"/>
      <c r="AK15" s="40">
        <f>AH15*1.035</f>
        <v>11204.91</v>
      </c>
      <c r="AL15" s="40">
        <f t="shared" si="19"/>
        <v>11204.91</v>
      </c>
      <c r="AM15" s="40"/>
      <c r="AN15" s="40">
        <f>AK15*1.035</f>
        <v>11597.081849999999</v>
      </c>
      <c r="AO15" s="40">
        <f t="shared" si="25"/>
        <v>11597.081849999999</v>
      </c>
      <c r="AP15" s="40"/>
      <c r="AQ15" s="40">
        <f>AN15*1.035</f>
        <v>12002.979714749998</v>
      </c>
      <c r="AR15" s="40">
        <f t="shared" si="26"/>
        <v>12002.979714749998</v>
      </c>
      <c r="AS15" s="40"/>
      <c r="AT15" s="40">
        <f>AQ15*1.035</f>
        <v>12423.084004766246</v>
      </c>
      <c r="AU15" s="40">
        <f t="shared" si="27"/>
        <v>12423.084004766246</v>
      </c>
      <c r="AV15" s="40">
        <f t="shared" si="31"/>
        <v>0</v>
      </c>
      <c r="AW15" s="40">
        <f t="shared" si="31"/>
        <v>58054.05556951625</v>
      </c>
      <c r="AX15" s="40">
        <f t="shared" si="32"/>
        <v>58054.05556951625</v>
      </c>
    </row>
    <row r="16" spans="1:50" s="47" customFormat="1" ht="11.25" outlineLevel="1">
      <c r="A16" s="37" t="s">
        <v>48</v>
      </c>
      <c r="B16" s="38" t="s">
        <v>54</v>
      </c>
      <c r="C16" s="40"/>
      <c r="D16" s="40"/>
      <c r="E16" s="40">
        <f t="shared" si="0"/>
        <v>0</v>
      </c>
      <c r="F16" s="40"/>
      <c r="G16" s="40"/>
      <c r="H16" s="40">
        <f t="shared" si="1"/>
        <v>0</v>
      </c>
      <c r="I16" s="40">
        <f t="shared" si="29"/>
        <v>0</v>
      </c>
      <c r="J16" s="40">
        <f t="shared" si="29"/>
        <v>0</v>
      </c>
      <c r="K16" s="40">
        <f t="shared" si="2"/>
        <v>0</v>
      </c>
      <c r="L16" s="40"/>
      <c r="M16" s="40"/>
      <c r="N16" s="40">
        <f t="shared" si="30"/>
        <v>0</v>
      </c>
      <c r="O16" s="40"/>
      <c r="P16" s="40"/>
      <c r="Q16" s="40">
        <f t="shared" si="4"/>
        <v>0</v>
      </c>
      <c r="R16" s="40"/>
      <c r="S16" s="40"/>
      <c r="T16" s="40"/>
      <c r="U16" s="40">
        <f t="shared" si="7"/>
        <v>0</v>
      </c>
      <c r="V16" s="40">
        <f t="shared" si="8"/>
        <v>0</v>
      </c>
      <c r="W16" s="40">
        <f t="shared" si="9"/>
        <v>0</v>
      </c>
      <c r="X16" s="40"/>
      <c r="Y16" s="40"/>
      <c r="Z16" s="40">
        <f t="shared" si="11"/>
        <v>0</v>
      </c>
      <c r="AA16" s="40">
        <f t="shared" si="12"/>
        <v>0</v>
      </c>
      <c r="AB16" s="40">
        <f t="shared" si="28"/>
        <v>0</v>
      </c>
      <c r="AC16" s="40">
        <f t="shared" si="14"/>
        <v>0</v>
      </c>
      <c r="AD16" s="40">
        <f t="shared" si="15"/>
        <v>0</v>
      </c>
      <c r="AE16" s="40">
        <f t="shared" si="16"/>
        <v>0</v>
      </c>
      <c r="AF16" s="40">
        <f t="shared" si="17"/>
        <v>0</v>
      </c>
      <c r="AG16" s="40"/>
      <c r="AH16" s="40"/>
      <c r="AI16" s="40">
        <f t="shared" si="18"/>
        <v>0</v>
      </c>
      <c r="AJ16" s="40"/>
      <c r="AK16" s="40"/>
      <c r="AL16" s="40">
        <f t="shared" si="19"/>
        <v>0</v>
      </c>
      <c r="AM16" s="40"/>
      <c r="AN16" s="40"/>
      <c r="AO16" s="40">
        <f t="shared" si="25"/>
        <v>0</v>
      </c>
      <c r="AP16" s="40"/>
      <c r="AQ16" s="40"/>
      <c r="AR16" s="40">
        <f t="shared" si="26"/>
        <v>0</v>
      </c>
      <c r="AS16" s="40"/>
      <c r="AT16" s="40"/>
      <c r="AU16" s="40">
        <f t="shared" si="27"/>
        <v>0</v>
      </c>
      <c r="AV16" s="40">
        <f t="shared" si="31"/>
        <v>0</v>
      </c>
      <c r="AW16" s="40">
        <f t="shared" si="31"/>
        <v>0</v>
      </c>
      <c r="AX16" s="40">
        <f t="shared" si="32"/>
        <v>0</v>
      </c>
    </row>
    <row r="17" spans="1:50" s="47" customFormat="1" ht="11.25" outlineLevel="1">
      <c r="A17" s="37" t="s">
        <v>48</v>
      </c>
      <c r="B17" s="38" t="s">
        <v>55</v>
      </c>
      <c r="C17" s="40"/>
      <c r="D17" s="40"/>
      <c r="E17" s="40">
        <f t="shared" si="0"/>
        <v>0</v>
      </c>
      <c r="F17" s="40"/>
      <c r="G17" s="40"/>
      <c r="H17" s="40">
        <f t="shared" si="1"/>
        <v>0</v>
      </c>
      <c r="I17" s="40">
        <f t="shared" si="29"/>
        <v>0</v>
      </c>
      <c r="J17" s="40">
        <f t="shared" si="29"/>
        <v>0</v>
      </c>
      <c r="K17" s="40">
        <f t="shared" si="2"/>
        <v>0</v>
      </c>
      <c r="L17" s="40"/>
      <c r="M17" s="40"/>
      <c r="N17" s="40">
        <f t="shared" si="30"/>
        <v>0</v>
      </c>
      <c r="O17" s="40"/>
      <c r="P17" s="40"/>
      <c r="Q17" s="40">
        <f t="shared" si="4"/>
        <v>0</v>
      </c>
      <c r="R17" s="40"/>
      <c r="S17" s="40"/>
      <c r="T17" s="40"/>
      <c r="U17" s="40">
        <f t="shared" si="7"/>
        <v>0</v>
      </c>
      <c r="V17" s="40">
        <f t="shared" si="8"/>
        <v>0</v>
      </c>
      <c r="W17" s="40">
        <f t="shared" si="9"/>
        <v>0</v>
      </c>
      <c r="X17" s="40"/>
      <c r="Y17" s="40"/>
      <c r="Z17" s="40">
        <f t="shared" si="11"/>
        <v>0</v>
      </c>
      <c r="AA17" s="40">
        <f t="shared" si="12"/>
        <v>0</v>
      </c>
      <c r="AB17" s="40">
        <f t="shared" si="28"/>
        <v>0</v>
      </c>
      <c r="AC17" s="40">
        <f t="shared" si="14"/>
        <v>0</v>
      </c>
      <c r="AD17" s="40">
        <f t="shared" si="15"/>
        <v>0</v>
      </c>
      <c r="AE17" s="40">
        <f t="shared" si="16"/>
        <v>0</v>
      </c>
      <c r="AF17" s="40">
        <f t="shared" si="17"/>
        <v>0</v>
      </c>
      <c r="AG17" s="40"/>
      <c r="AH17" s="40"/>
      <c r="AI17" s="40">
        <f t="shared" si="18"/>
        <v>0</v>
      </c>
      <c r="AJ17" s="40"/>
      <c r="AK17" s="40"/>
      <c r="AL17" s="40">
        <f t="shared" si="19"/>
        <v>0</v>
      </c>
      <c r="AM17" s="40"/>
      <c r="AN17" s="40"/>
      <c r="AO17" s="40">
        <f t="shared" si="25"/>
        <v>0</v>
      </c>
      <c r="AP17" s="40"/>
      <c r="AQ17" s="40"/>
      <c r="AR17" s="40">
        <f t="shared" si="26"/>
        <v>0</v>
      </c>
      <c r="AS17" s="40"/>
      <c r="AT17" s="40"/>
      <c r="AU17" s="40">
        <f t="shared" si="27"/>
        <v>0</v>
      </c>
      <c r="AV17" s="40">
        <f t="shared" si="31"/>
        <v>0</v>
      </c>
      <c r="AW17" s="40">
        <f t="shared" si="31"/>
        <v>0</v>
      </c>
      <c r="AX17" s="40">
        <f t="shared" si="32"/>
        <v>0</v>
      </c>
    </row>
    <row r="18" spans="1:50" s="47" customFormat="1" ht="11.25" outlineLevel="1">
      <c r="A18" s="37" t="s">
        <v>48</v>
      </c>
      <c r="B18" s="38" t="s">
        <v>56</v>
      </c>
      <c r="C18" s="40"/>
      <c r="D18" s="40">
        <v>38110</v>
      </c>
      <c r="E18" s="40">
        <f t="shared" si="0"/>
        <v>38110</v>
      </c>
      <c r="F18" s="40"/>
      <c r="G18" s="40"/>
      <c r="H18" s="40">
        <f t="shared" si="1"/>
        <v>0</v>
      </c>
      <c r="I18" s="40">
        <f t="shared" si="29"/>
        <v>0</v>
      </c>
      <c r="J18" s="40">
        <f t="shared" si="29"/>
        <v>0</v>
      </c>
      <c r="K18" s="40">
        <f t="shared" si="2"/>
        <v>0</v>
      </c>
      <c r="L18" s="40"/>
      <c r="M18" s="40"/>
      <c r="N18" s="40">
        <f t="shared" si="30"/>
        <v>0</v>
      </c>
      <c r="O18" s="40"/>
      <c r="P18" s="40">
        <v>38110</v>
      </c>
      <c r="Q18" s="40">
        <f t="shared" si="4"/>
        <v>38110</v>
      </c>
      <c r="R18" s="40"/>
      <c r="S18" s="40"/>
      <c r="T18" s="40"/>
      <c r="U18" s="40">
        <f t="shared" si="7"/>
        <v>0</v>
      </c>
      <c r="V18" s="40">
        <f t="shared" si="8"/>
        <v>38110</v>
      </c>
      <c r="W18" s="40">
        <f t="shared" si="9"/>
        <v>38110</v>
      </c>
      <c r="X18" s="40"/>
      <c r="Y18" s="40"/>
      <c r="Z18" s="40">
        <f t="shared" si="11"/>
        <v>0</v>
      </c>
      <c r="AA18" s="40">
        <f t="shared" si="12"/>
        <v>0</v>
      </c>
      <c r="AB18" s="40">
        <f t="shared" si="28"/>
        <v>0</v>
      </c>
      <c r="AC18" s="40">
        <f t="shared" si="14"/>
        <v>0</v>
      </c>
      <c r="AD18" s="40">
        <f t="shared" si="15"/>
        <v>0</v>
      </c>
      <c r="AE18" s="40">
        <f t="shared" si="16"/>
        <v>0</v>
      </c>
      <c r="AF18" s="40">
        <f t="shared" si="17"/>
        <v>0</v>
      </c>
      <c r="AG18" s="40"/>
      <c r="AH18" s="40"/>
      <c r="AI18" s="40">
        <f t="shared" si="18"/>
        <v>0</v>
      </c>
      <c r="AJ18" s="40"/>
      <c r="AK18" s="40"/>
      <c r="AL18" s="40">
        <f t="shared" si="19"/>
        <v>0</v>
      </c>
      <c r="AM18" s="40"/>
      <c r="AN18" s="40"/>
      <c r="AO18" s="40">
        <f t="shared" si="25"/>
        <v>0</v>
      </c>
      <c r="AP18" s="40"/>
      <c r="AQ18" s="40"/>
      <c r="AR18" s="40">
        <f t="shared" si="26"/>
        <v>0</v>
      </c>
      <c r="AS18" s="40"/>
      <c r="AT18" s="40"/>
      <c r="AU18" s="40">
        <f t="shared" si="27"/>
        <v>0</v>
      </c>
      <c r="AV18" s="40">
        <f t="shared" si="31"/>
        <v>0</v>
      </c>
      <c r="AW18" s="40">
        <f t="shared" si="31"/>
        <v>0</v>
      </c>
      <c r="AX18" s="40">
        <f t="shared" si="32"/>
        <v>0</v>
      </c>
    </row>
    <row r="19" spans="1:50" s="46" customFormat="1" ht="12.75">
      <c r="A19" s="43" t="s">
        <v>48</v>
      </c>
      <c r="B19" s="44" t="s">
        <v>4</v>
      </c>
      <c r="C19" s="45">
        <f aca="true" t="shared" si="33" ref="C19:AX19">SUM(C11:C18)</f>
        <v>0</v>
      </c>
      <c r="D19" s="45">
        <f t="shared" si="33"/>
        <v>38110</v>
      </c>
      <c r="E19" s="45">
        <f t="shared" si="33"/>
        <v>38110</v>
      </c>
      <c r="F19" s="45">
        <f t="shared" si="33"/>
        <v>0</v>
      </c>
      <c r="G19" s="45">
        <f t="shared" si="33"/>
        <v>0</v>
      </c>
      <c r="H19" s="45">
        <f t="shared" si="33"/>
        <v>0</v>
      </c>
      <c r="I19" s="45">
        <f t="shared" si="33"/>
        <v>0</v>
      </c>
      <c r="J19" s="45">
        <f t="shared" si="33"/>
        <v>0</v>
      </c>
      <c r="K19" s="45">
        <f t="shared" si="33"/>
        <v>0</v>
      </c>
      <c r="L19" s="45">
        <f t="shared" si="33"/>
        <v>0</v>
      </c>
      <c r="M19" s="45">
        <f t="shared" si="33"/>
        <v>0</v>
      </c>
      <c r="N19" s="45">
        <f t="shared" si="33"/>
        <v>0</v>
      </c>
      <c r="O19" s="45">
        <f t="shared" si="33"/>
        <v>0</v>
      </c>
      <c r="P19" s="45">
        <f t="shared" si="33"/>
        <v>38110</v>
      </c>
      <c r="Q19" s="45">
        <f t="shared" si="33"/>
        <v>38110</v>
      </c>
      <c r="R19" s="45">
        <f t="shared" si="33"/>
        <v>0</v>
      </c>
      <c r="S19" s="45">
        <f t="shared" si="33"/>
        <v>0</v>
      </c>
      <c r="T19" s="45">
        <f t="shared" si="33"/>
        <v>0</v>
      </c>
      <c r="U19" s="45">
        <f t="shared" si="33"/>
        <v>0</v>
      </c>
      <c r="V19" s="45">
        <f t="shared" si="33"/>
        <v>38110</v>
      </c>
      <c r="W19" s="45">
        <f t="shared" si="33"/>
        <v>38110</v>
      </c>
      <c r="X19" s="45">
        <f t="shared" si="33"/>
        <v>0</v>
      </c>
      <c r="Y19" s="45">
        <f t="shared" si="33"/>
        <v>0</v>
      </c>
      <c r="Z19" s="45">
        <f t="shared" si="33"/>
        <v>0</v>
      </c>
      <c r="AA19" s="45">
        <f t="shared" si="33"/>
        <v>0</v>
      </c>
      <c r="AB19" s="45">
        <f t="shared" si="33"/>
        <v>0</v>
      </c>
      <c r="AC19" s="45">
        <f t="shared" si="33"/>
        <v>0</v>
      </c>
      <c r="AD19" s="45">
        <f t="shared" si="33"/>
        <v>0</v>
      </c>
      <c r="AE19" s="45">
        <f t="shared" si="33"/>
        <v>0</v>
      </c>
      <c r="AF19" s="45">
        <f t="shared" si="33"/>
        <v>0</v>
      </c>
      <c r="AG19" s="45">
        <f t="shared" si="33"/>
        <v>0</v>
      </c>
      <c r="AH19" s="45">
        <f t="shared" si="33"/>
        <v>10826</v>
      </c>
      <c r="AI19" s="45">
        <f t="shared" si="33"/>
        <v>10826</v>
      </c>
      <c r="AJ19" s="45">
        <f t="shared" si="33"/>
        <v>0</v>
      </c>
      <c r="AK19" s="45">
        <f t="shared" si="33"/>
        <v>11204.91</v>
      </c>
      <c r="AL19" s="45">
        <f t="shared" si="33"/>
        <v>11204.91</v>
      </c>
      <c r="AM19" s="45">
        <f t="shared" si="33"/>
        <v>0</v>
      </c>
      <c r="AN19" s="45">
        <f t="shared" si="33"/>
        <v>11597.081849999999</v>
      </c>
      <c r="AO19" s="45">
        <f t="shared" si="33"/>
        <v>11597.081849999999</v>
      </c>
      <c r="AP19" s="45">
        <f t="shared" si="33"/>
        <v>0</v>
      </c>
      <c r="AQ19" s="45">
        <f t="shared" si="33"/>
        <v>12002.979714749998</v>
      </c>
      <c r="AR19" s="45">
        <f t="shared" si="33"/>
        <v>12002.979714749998</v>
      </c>
      <c r="AS19" s="45">
        <f t="shared" si="33"/>
        <v>0</v>
      </c>
      <c r="AT19" s="45">
        <f t="shared" si="33"/>
        <v>12423.084004766246</v>
      </c>
      <c r="AU19" s="45">
        <f t="shared" si="33"/>
        <v>12423.084004766246</v>
      </c>
      <c r="AV19" s="45">
        <f t="shared" si="33"/>
        <v>0</v>
      </c>
      <c r="AW19" s="45">
        <f t="shared" si="33"/>
        <v>58054.05556951625</v>
      </c>
      <c r="AX19" s="45">
        <f t="shared" si="33"/>
        <v>58054.05556951625</v>
      </c>
    </row>
    <row r="20" spans="1:50" s="46" customFormat="1" ht="12.75">
      <c r="A20" s="43" t="s">
        <v>57</v>
      </c>
      <c r="B20" s="44" t="s">
        <v>58</v>
      </c>
      <c r="C20" s="45">
        <v>0</v>
      </c>
      <c r="D20" s="45">
        <v>185</v>
      </c>
      <c r="E20" s="45">
        <f aca="true" t="shared" si="34" ref="E20:E30">C20+D20</f>
        <v>185</v>
      </c>
      <c r="F20" s="45">
        <v>0</v>
      </c>
      <c r="G20" s="45">
        <v>0</v>
      </c>
      <c r="H20" s="45">
        <f aca="true" t="shared" si="35" ref="H20:H30">F20+G20</f>
        <v>0</v>
      </c>
      <c r="I20" s="45">
        <f aca="true" t="shared" si="36" ref="I20:I30">O20-C20</f>
        <v>0</v>
      </c>
      <c r="J20" s="45">
        <f aca="true" t="shared" si="37" ref="J20:J30">P20-D20</f>
        <v>0</v>
      </c>
      <c r="K20" s="45">
        <f aca="true" t="shared" si="38" ref="K20:K30">I20+J20</f>
        <v>0</v>
      </c>
      <c r="L20" s="45">
        <v>0</v>
      </c>
      <c r="M20" s="45">
        <v>0</v>
      </c>
      <c r="N20" s="45">
        <f aca="true" t="shared" si="39" ref="N20:N30">L20+M20</f>
        <v>0</v>
      </c>
      <c r="O20" s="45"/>
      <c r="P20" s="45">
        <v>185</v>
      </c>
      <c r="Q20" s="45">
        <f aca="true" t="shared" si="40" ref="Q20:Q30">O20+P20</f>
        <v>185</v>
      </c>
      <c r="R20" s="45">
        <v>0</v>
      </c>
      <c r="S20" s="45">
        <v>0</v>
      </c>
      <c r="T20" s="45">
        <f aca="true" t="shared" si="41" ref="T20:T30">R20+S20</f>
        <v>0</v>
      </c>
      <c r="U20" s="45">
        <f aca="true" t="shared" si="42" ref="U20:U30">O20-R20</f>
        <v>0</v>
      </c>
      <c r="V20" s="45">
        <f aca="true" t="shared" si="43" ref="V20:V30">P20-S20</f>
        <v>185</v>
      </c>
      <c r="W20" s="45">
        <f aca="true" t="shared" si="44" ref="W20:W30">U20+V20</f>
        <v>185</v>
      </c>
      <c r="X20" s="45">
        <v>0</v>
      </c>
      <c r="Y20" s="45">
        <v>0</v>
      </c>
      <c r="Z20" s="45">
        <f aca="true" t="shared" si="45" ref="Z20:Z30">X20+Y20</f>
        <v>0</v>
      </c>
      <c r="AA20" s="45">
        <f aca="true" t="shared" si="46" ref="AA20:AA30">X20-R20</f>
        <v>0</v>
      </c>
      <c r="AB20" s="45">
        <f aca="true" t="shared" si="47" ref="AB20:AB30">Y20-S20</f>
        <v>0</v>
      </c>
      <c r="AC20" s="45">
        <f aca="true" t="shared" si="48" ref="AC20:AC30">AA20+AB20</f>
        <v>0</v>
      </c>
      <c r="AD20" s="45">
        <f aca="true" t="shared" si="49" ref="AD20:AD30">L20+AA20</f>
        <v>0</v>
      </c>
      <c r="AE20" s="45">
        <f aca="true" t="shared" si="50" ref="AE20:AE30">M20+AB20</f>
        <v>0</v>
      </c>
      <c r="AF20" s="45">
        <f aca="true" t="shared" si="51" ref="AF20:AF30">AD20+AE20</f>
        <v>0</v>
      </c>
      <c r="AG20" s="45">
        <v>0</v>
      </c>
      <c r="AH20" s="45">
        <v>2400</v>
      </c>
      <c r="AI20" s="45">
        <f aca="true" t="shared" si="52" ref="AI20:AI30">AG20+AH20</f>
        <v>2400</v>
      </c>
      <c r="AJ20" s="45">
        <v>0</v>
      </c>
      <c r="AK20" s="45">
        <v>2400</v>
      </c>
      <c r="AL20" s="45">
        <f aca="true" t="shared" si="53" ref="AL20:AL30">AJ20+AK20</f>
        <v>2400</v>
      </c>
      <c r="AM20" s="45">
        <v>0</v>
      </c>
      <c r="AN20" s="45">
        <v>2400</v>
      </c>
      <c r="AO20" s="45">
        <f aca="true" t="shared" si="54" ref="AO20:AO30">AM20+AN20</f>
        <v>2400</v>
      </c>
      <c r="AP20" s="45">
        <v>0</v>
      </c>
      <c r="AQ20" s="45">
        <v>2400</v>
      </c>
      <c r="AR20" s="45">
        <f aca="true" t="shared" si="55" ref="AR20:AR30">AP20+AQ20</f>
        <v>2400</v>
      </c>
      <c r="AS20" s="45">
        <v>0</v>
      </c>
      <c r="AT20" s="45">
        <v>2400</v>
      </c>
      <c r="AU20" s="45">
        <f aca="true" t="shared" si="56" ref="AU20:AU30">AS20+AT20</f>
        <v>2400</v>
      </c>
      <c r="AV20" s="45">
        <f aca="true" t="shared" si="57" ref="AV20:AV30">SUM(AS20,AP20,AM20,AJ20,AG20,X20)</f>
        <v>0</v>
      </c>
      <c r="AW20" s="45">
        <f aca="true" t="shared" si="58" ref="AW20:AW30">SUM(AT20,AQ20,AN20,AK20,AH20,Y20)</f>
        <v>12000</v>
      </c>
      <c r="AX20" s="45">
        <f aca="true" t="shared" si="59" ref="AX20:AX30">AV20+AW20</f>
        <v>12000</v>
      </c>
    </row>
    <row r="21" spans="1:50" s="47" customFormat="1" ht="11.25" outlineLevel="1">
      <c r="A21" s="37" t="s">
        <v>59</v>
      </c>
      <c r="B21" s="38" t="s">
        <v>60</v>
      </c>
      <c r="C21" s="48"/>
      <c r="D21" s="48"/>
      <c r="E21" s="48">
        <f t="shared" si="34"/>
        <v>0</v>
      </c>
      <c r="F21" s="48"/>
      <c r="G21" s="48"/>
      <c r="H21" s="48">
        <f t="shared" si="35"/>
        <v>0</v>
      </c>
      <c r="I21" s="48">
        <f t="shared" si="36"/>
        <v>83566</v>
      </c>
      <c r="J21" s="48">
        <f t="shared" si="37"/>
        <v>0</v>
      </c>
      <c r="K21" s="48">
        <f t="shared" si="38"/>
        <v>83566</v>
      </c>
      <c r="L21" s="48">
        <v>105769</v>
      </c>
      <c r="M21" s="48"/>
      <c r="N21" s="48">
        <f t="shared" si="39"/>
        <v>105769</v>
      </c>
      <c r="O21" s="48">
        <f>170000-86434</f>
        <v>83566</v>
      </c>
      <c r="P21" s="48"/>
      <c r="Q21" s="48">
        <f t="shared" si="40"/>
        <v>83566</v>
      </c>
      <c r="R21" s="48">
        <f>105769</f>
        <v>105769</v>
      </c>
      <c r="S21" s="48"/>
      <c r="T21" s="48">
        <f t="shared" si="41"/>
        <v>105769</v>
      </c>
      <c r="U21" s="48">
        <f t="shared" si="42"/>
        <v>-22203</v>
      </c>
      <c r="V21" s="48">
        <f t="shared" si="43"/>
        <v>0</v>
      </c>
      <c r="W21" s="48">
        <f t="shared" si="44"/>
        <v>-22203</v>
      </c>
      <c r="X21" s="48">
        <v>105769</v>
      </c>
      <c r="Y21" s="48"/>
      <c r="Z21" s="48">
        <f t="shared" si="45"/>
        <v>105769</v>
      </c>
      <c r="AA21" s="48">
        <f t="shared" si="46"/>
        <v>0</v>
      </c>
      <c r="AB21" s="48">
        <f t="shared" si="47"/>
        <v>0</v>
      </c>
      <c r="AC21" s="48">
        <f t="shared" si="48"/>
        <v>0</v>
      </c>
      <c r="AD21" s="48">
        <f t="shared" si="49"/>
        <v>105769</v>
      </c>
      <c r="AE21" s="48">
        <f t="shared" si="50"/>
        <v>0</v>
      </c>
      <c r="AF21" s="48">
        <f t="shared" si="51"/>
        <v>105769</v>
      </c>
      <c r="AG21" s="48"/>
      <c r="AH21" s="48"/>
      <c r="AI21" s="48">
        <f t="shared" si="52"/>
        <v>0</v>
      </c>
      <c r="AJ21" s="48"/>
      <c r="AK21" s="48"/>
      <c r="AL21" s="48">
        <f t="shared" si="53"/>
        <v>0</v>
      </c>
      <c r="AM21" s="48"/>
      <c r="AN21" s="48"/>
      <c r="AO21" s="48">
        <f t="shared" si="54"/>
        <v>0</v>
      </c>
      <c r="AP21" s="48"/>
      <c r="AQ21" s="48"/>
      <c r="AR21" s="48">
        <f t="shared" si="55"/>
        <v>0</v>
      </c>
      <c r="AS21" s="48"/>
      <c r="AT21" s="48"/>
      <c r="AU21" s="48">
        <f t="shared" si="56"/>
        <v>0</v>
      </c>
      <c r="AV21" s="48">
        <f t="shared" si="57"/>
        <v>105769</v>
      </c>
      <c r="AW21" s="48">
        <f t="shared" si="58"/>
        <v>0</v>
      </c>
      <c r="AX21" s="48">
        <f t="shared" si="59"/>
        <v>105769</v>
      </c>
    </row>
    <row r="22" spans="1:50" s="47" customFormat="1" ht="11.25" outlineLevel="1">
      <c r="A22" s="37" t="s">
        <v>59</v>
      </c>
      <c r="B22" s="38" t="s">
        <v>61</v>
      </c>
      <c r="C22" s="40"/>
      <c r="D22" s="40"/>
      <c r="E22" s="40">
        <f t="shared" si="34"/>
        <v>0</v>
      </c>
      <c r="F22" s="40"/>
      <c r="G22" s="40"/>
      <c r="H22" s="40">
        <f t="shared" si="35"/>
        <v>0</v>
      </c>
      <c r="I22" s="40">
        <f t="shared" si="36"/>
        <v>0</v>
      </c>
      <c r="J22" s="40">
        <f t="shared" si="37"/>
        <v>0</v>
      </c>
      <c r="K22" s="40">
        <f t="shared" si="38"/>
        <v>0</v>
      </c>
      <c r="L22" s="40">
        <f>29226+11589+19561</f>
        <v>60376</v>
      </c>
      <c r="M22" s="40"/>
      <c r="N22" s="40">
        <f t="shared" si="39"/>
        <v>60376</v>
      </c>
      <c r="O22" s="40"/>
      <c r="P22" s="40"/>
      <c r="Q22" s="40">
        <f t="shared" si="40"/>
        <v>0</v>
      </c>
      <c r="R22" s="40">
        <f>29226+11589+19561</f>
        <v>60376</v>
      </c>
      <c r="S22" s="40"/>
      <c r="T22" s="40">
        <f t="shared" si="41"/>
        <v>60376</v>
      </c>
      <c r="U22" s="40">
        <f t="shared" si="42"/>
        <v>-60376</v>
      </c>
      <c r="V22" s="40">
        <f t="shared" si="43"/>
        <v>0</v>
      </c>
      <c r="W22" s="40">
        <f t="shared" si="44"/>
        <v>-60376</v>
      </c>
      <c r="X22" s="40">
        <f>11589+19561+6624+10000</f>
        <v>47774</v>
      </c>
      <c r="Y22" s="40"/>
      <c r="Z22" s="40">
        <f t="shared" si="45"/>
        <v>47774</v>
      </c>
      <c r="AA22" s="40">
        <f t="shared" si="46"/>
        <v>-12602</v>
      </c>
      <c r="AB22" s="40">
        <f t="shared" si="47"/>
        <v>0</v>
      </c>
      <c r="AC22" s="40">
        <f t="shared" si="48"/>
        <v>-12602</v>
      </c>
      <c r="AD22" s="40">
        <f t="shared" si="49"/>
        <v>47774</v>
      </c>
      <c r="AE22" s="40">
        <f t="shared" si="50"/>
        <v>0</v>
      </c>
      <c r="AF22" s="40">
        <f t="shared" si="51"/>
        <v>47774</v>
      </c>
      <c r="AG22" s="40"/>
      <c r="AH22" s="40"/>
      <c r="AI22" s="40">
        <f t="shared" si="52"/>
        <v>0</v>
      </c>
      <c r="AJ22" s="40"/>
      <c r="AK22" s="40"/>
      <c r="AL22" s="40">
        <f t="shared" si="53"/>
        <v>0</v>
      </c>
      <c r="AM22" s="40"/>
      <c r="AN22" s="40"/>
      <c r="AO22" s="40">
        <f t="shared" si="54"/>
        <v>0</v>
      </c>
      <c r="AP22" s="40"/>
      <c r="AQ22" s="40"/>
      <c r="AR22" s="40">
        <f t="shared" si="55"/>
        <v>0</v>
      </c>
      <c r="AS22" s="40"/>
      <c r="AT22" s="40"/>
      <c r="AU22" s="40">
        <f t="shared" si="56"/>
        <v>0</v>
      </c>
      <c r="AV22" s="40">
        <f t="shared" si="57"/>
        <v>47774</v>
      </c>
      <c r="AW22" s="40">
        <f t="shared" si="58"/>
        <v>0</v>
      </c>
      <c r="AX22" s="40">
        <f t="shared" si="59"/>
        <v>47774</v>
      </c>
    </row>
    <row r="23" spans="1:50" s="47" customFormat="1" ht="11.25" outlineLevel="1">
      <c r="A23" s="37" t="s">
        <v>59</v>
      </c>
      <c r="B23" s="38" t="s">
        <v>62</v>
      </c>
      <c r="C23" s="40"/>
      <c r="D23" s="40"/>
      <c r="E23" s="40">
        <f t="shared" si="34"/>
        <v>0</v>
      </c>
      <c r="F23" s="40"/>
      <c r="G23" s="40"/>
      <c r="H23" s="40">
        <f t="shared" si="35"/>
        <v>0</v>
      </c>
      <c r="I23" s="40">
        <f t="shared" si="36"/>
        <v>0</v>
      </c>
      <c r="J23" s="40">
        <f t="shared" si="37"/>
        <v>0</v>
      </c>
      <c r="K23" s="40">
        <f t="shared" si="38"/>
        <v>0</v>
      </c>
      <c r="L23" s="40"/>
      <c r="M23" s="40"/>
      <c r="N23" s="40">
        <f t="shared" si="39"/>
        <v>0</v>
      </c>
      <c r="O23" s="40"/>
      <c r="P23" s="40"/>
      <c r="Q23" s="40">
        <f t="shared" si="40"/>
        <v>0</v>
      </c>
      <c r="R23" s="40"/>
      <c r="S23" s="40"/>
      <c r="T23" s="40">
        <f t="shared" si="41"/>
        <v>0</v>
      </c>
      <c r="U23" s="40">
        <f t="shared" si="42"/>
        <v>0</v>
      </c>
      <c r="V23" s="40">
        <f t="shared" si="43"/>
        <v>0</v>
      </c>
      <c r="W23" s="40">
        <f t="shared" si="44"/>
        <v>0</v>
      </c>
      <c r="X23" s="40"/>
      <c r="Y23" s="40">
        <v>30</v>
      </c>
      <c r="Z23" s="40">
        <f t="shared" si="45"/>
        <v>30</v>
      </c>
      <c r="AA23" s="40">
        <f t="shared" si="46"/>
        <v>0</v>
      </c>
      <c r="AB23" s="40">
        <f t="shared" si="47"/>
        <v>30</v>
      </c>
      <c r="AC23" s="40">
        <f t="shared" si="48"/>
        <v>30</v>
      </c>
      <c r="AD23" s="40">
        <f t="shared" si="49"/>
        <v>0</v>
      </c>
      <c r="AE23" s="40">
        <f t="shared" si="50"/>
        <v>30</v>
      </c>
      <c r="AF23" s="40">
        <f t="shared" si="51"/>
        <v>30</v>
      </c>
      <c r="AG23" s="40"/>
      <c r="AH23" s="40">
        <v>2434</v>
      </c>
      <c r="AI23" s="40">
        <f t="shared" si="52"/>
        <v>2434</v>
      </c>
      <c r="AJ23" s="40"/>
      <c r="AK23" s="40">
        <f>AH23*1.1</f>
        <v>2677.4</v>
      </c>
      <c r="AL23" s="40">
        <f t="shared" si="53"/>
        <v>2677.4</v>
      </c>
      <c r="AM23" s="40"/>
      <c r="AN23" s="40">
        <f>AK23*1.1</f>
        <v>2945.1400000000003</v>
      </c>
      <c r="AO23" s="40">
        <f t="shared" si="54"/>
        <v>2945.1400000000003</v>
      </c>
      <c r="AP23" s="40"/>
      <c r="AQ23" s="40">
        <f>AN23*1.1</f>
        <v>3239.6540000000005</v>
      </c>
      <c r="AR23" s="40">
        <f t="shared" si="55"/>
        <v>3239.6540000000005</v>
      </c>
      <c r="AS23" s="40"/>
      <c r="AT23" s="40">
        <f>AQ23*1.1</f>
        <v>3563.619400000001</v>
      </c>
      <c r="AU23" s="40">
        <f t="shared" si="56"/>
        <v>3563.619400000001</v>
      </c>
      <c r="AV23" s="40">
        <f t="shared" si="57"/>
        <v>0</v>
      </c>
      <c r="AW23" s="40">
        <f t="shared" si="58"/>
        <v>14889.813400000001</v>
      </c>
      <c r="AX23" s="40">
        <f t="shared" si="59"/>
        <v>14889.813400000001</v>
      </c>
    </row>
    <row r="24" spans="1:50" s="47" customFormat="1" ht="11.25" outlineLevel="1">
      <c r="A24" s="37" t="s">
        <v>59</v>
      </c>
      <c r="B24" s="38" t="s">
        <v>63</v>
      </c>
      <c r="C24" s="40"/>
      <c r="D24" s="40"/>
      <c r="E24" s="40">
        <f t="shared" si="34"/>
        <v>0</v>
      </c>
      <c r="F24" s="40"/>
      <c r="G24" s="40"/>
      <c r="H24" s="40">
        <f t="shared" si="35"/>
        <v>0</v>
      </c>
      <c r="I24" s="40">
        <f t="shared" si="36"/>
        <v>0</v>
      </c>
      <c r="J24" s="40">
        <f t="shared" si="37"/>
        <v>0</v>
      </c>
      <c r="K24" s="40">
        <f t="shared" si="38"/>
        <v>0</v>
      </c>
      <c r="L24" s="40"/>
      <c r="M24" s="40"/>
      <c r="N24" s="40">
        <f t="shared" si="39"/>
        <v>0</v>
      </c>
      <c r="O24" s="40"/>
      <c r="P24" s="40"/>
      <c r="Q24" s="40">
        <f t="shared" si="40"/>
        <v>0</v>
      </c>
      <c r="R24" s="40"/>
      <c r="S24" s="40"/>
      <c r="T24" s="40">
        <f t="shared" si="41"/>
        <v>0</v>
      </c>
      <c r="U24" s="40">
        <f t="shared" si="42"/>
        <v>0</v>
      </c>
      <c r="V24" s="40">
        <f t="shared" si="43"/>
        <v>0</v>
      </c>
      <c r="W24" s="40">
        <f t="shared" si="44"/>
        <v>0</v>
      </c>
      <c r="X24" s="40"/>
      <c r="Y24" s="40">
        <v>250</v>
      </c>
      <c r="Z24" s="40">
        <f t="shared" si="45"/>
        <v>250</v>
      </c>
      <c r="AA24" s="40">
        <f t="shared" si="46"/>
        <v>0</v>
      </c>
      <c r="AB24" s="40">
        <f t="shared" si="47"/>
        <v>250</v>
      </c>
      <c r="AC24" s="40">
        <f t="shared" si="48"/>
        <v>250</v>
      </c>
      <c r="AD24" s="40">
        <f t="shared" si="49"/>
        <v>0</v>
      </c>
      <c r="AE24" s="40">
        <f t="shared" si="50"/>
        <v>250</v>
      </c>
      <c r="AF24" s="40">
        <f t="shared" si="51"/>
        <v>250</v>
      </c>
      <c r="AG24" s="40"/>
      <c r="AH24" s="40">
        <v>9830</v>
      </c>
      <c r="AI24" s="40">
        <f t="shared" si="52"/>
        <v>9830</v>
      </c>
      <c r="AJ24" s="40"/>
      <c r="AK24" s="40">
        <f>AH24*1.05</f>
        <v>10321.5</v>
      </c>
      <c r="AL24" s="40">
        <f t="shared" si="53"/>
        <v>10321.5</v>
      </c>
      <c r="AM24" s="40"/>
      <c r="AN24" s="40">
        <f>(AK24*1.05)</f>
        <v>10837.575</v>
      </c>
      <c r="AO24" s="40">
        <f t="shared" si="54"/>
        <v>10837.575</v>
      </c>
      <c r="AP24" s="40"/>
      <c r="AQ24" s="40">
        <f>AN24*1.05</f>
        <v>11379.45375</v>
      </c>
      <c r="AR24" s="40">
        <f t="shared" si="55"/>
        <v>11379.45375</v>
      </c>
      <c r="AS24" s="40"/>
      <c r="AT24" s="40">
        <f>AQ24*1.05</f>
        <v>11948.4264375</v>
      </c>
      <c r="AU24" s="40">
        <f t="shared" si="56"/>
        <v>11948.4264375</v>
      </c>
      <c r="AV24" s="40">
        <f t="shared" si="57"/>
        <v>0</v>
      </c>
      <c r="AW24" s="40">
        <f t="shared" si="58"/>
        <v>54566.9551875</v>
      </c>
      <c r="AX24" s="40">
        <f t="shared" si="59"/>
        <v>54566.9551875</v>
      </c>
    </row>
    <row r="25" spans="1:50" s="47" customFormat="1" ht="11.25" outlineLevel="1">
      <c r="A25" s="37" t="s">
        <v>59</v>
      </c>
      <c r="B25" s="38" t="s">
        <v>64</v>
      </c>
      <c r="C25" s="40"/>
      <c r="D25" s="40"/>
      <c r="E25" s="40">
        <f t="shared" si="34"/>
        <v>0</v>
      </c>
      <c r="F25" s="40"/>
      <c r="G25" s="40"/>
      <c r="H25" s="40">
        <f t="shared" si="35"/>
        <v>0</v>
      </c>
      <c r="I25" s="40">
        <f t="shared" si="36"/>
        <v>0</v>
      </c>
      <c r="J25" s="40">
        <f t="shared" si="37"/>
        <v>0</v>
      </c>
      <c r="K25" s="40">
        <f t="shared" si="38"/>
        <v>0</v>
      </c>
      <c r="L25" s="40"/>
      <c r="M25" s="40"/>
      <c r="N25" s="40">
        <f t="shared" si="39"/>
        <v>0</v>
      </c>
      <c r="O25" s="40"/>
      <c r="P25" s="40"/>
      <c r="Q25" s="40">
        <f t="shared" si="40"/>
        <v>0</v>
      </c>
      <c r="R25" s="40"/>
      <c r="S25" s="40"/>
      <c r="T25" s="40">
        <f t="shared" si="41"/>
        <v>0</v>
      </c>
      <c r="U25" s="40">
        <f t="shared" si="42"/>
        <v>0</v>
      </c>
      <c r="V25" s="40">
        <f t="shared" si="43"/>
        <v>0</v>
      </c>
      <c r="W25" s="40">
        <f t="shared" si="44"/>
        <v>0</v>
      </c>
      <c r="X25" s="40"/>
      <c r="Y25" s="40">
        <v>12824</v>
      </c>
      <c r="Z25" s="40">
        <f t="shared" si="45"/>
        <v>12824</v>
      </c>
      <c r="AA25" s="40">
        <f t="shared" si="46"/>
        <v>0</v>
      </c>
      <c r="AB25" s="40">
        <f t="shared" si="47"/>
        <v>12824</v>
      </c>
      <c r="AC25" s="40">
        <f t="shared" si="48"/>
        <v>12824</v>
      </c>
      <c r="AD25" s="40">
        <f t="shared" si="49"/>
        <v>0</v>
      </c>
      <c r="AE25" s="40">
        <f t="shared" si="50"/>
        <v>12824</v>
      </c>
      <c r="AF25" s="40">
        <f t="shared" si="51"/>
        <v>12824</v>
      </c>
      <c r="AG25" s="40"/>
      <c r="AH25" s="40">
        <v>29000</v>
      </c>
      <c r="AI25" s="40">
        <f t="shared" si="52"/>
        <v>29000</v>
      </c>
      <c r="AJ25" s="40"/>
      <c r="AK25" s="40">
        <v>29000</v>
      </c>
      <c r="AL25" s="40">
        <f t="shared" si="53"/>
        <v>29000</v>
      </c>
      <c r="AM25" s="40"/>
      <c r="AN25" s="40">
        <v>29000</v>
      </c>
      <c r="AO25" s="40">
        <f t="shared" si="54"/>
        <v>29000</v>
      </c>
      <c r="AP25" s="40"/>
      <c r="AQ25" s="40">
        <v>29000</v>
      </c>
      <c r="AR25" s="40">
        <f t="shared" si="55"/>
        <v>29000</v>
      </c>
      <c r="AS25" s="40"/>
      <c r="AT25" s="40">
        <v>29000</v>
      </c>
      <c r="AU25" s="40">
        <f t="shared" si="56"/>
        <v>29000</v>
      </c>
      <c r="AV25" s="40">
        <f t="shared" si="57"/>
        <v>0</v>
      </c>
      <c r="AW25" s="40">
        <f t="shared" si="58"/>
        <v>157824</v>
      </c>
      <c r="AX25" s="40">
        <f t="shared" si="59"/>
        <v>157824</v>
      </c>
    </row>
    <row r="26" spans="1:50" s="47" customFormat="1" ht="11.25" outlineLevel="1">
      <c r="A26" s="37" t="s">
        <v>59</v>
      </c>
      <c r="B26" s="38" t="s">
        <v>52</v>
      </c>
      <c r="C26" s="40"/>
      <c r="D26" s="40"/>
      <c r="E26" s="40">
        <f t="shared" si="34"/>
        <v>0</v>
      </c>
      <c r="F26" s="40"/>
      <c r="G26" s="40"/>
      <c r="H26" s="40">
        <f t="shared" si="35"/>
        <v>0</v>
      </c>
      <c r="I26" s="40">
        <f t="shared" si="36"/>
        <v>0</v>
      </c>
      <c r="J26" s="40">
        <f t="shared" si="37"/>
        <v>0</v>
      </c>
      <c r="K26" s="40">
        <f t="shared" si="38"/>
        <v>0</v>
      </c>
      <c r="L26" s="40"/>
      <c r="M26" s="40"/>
      <c r="N26" s="40">
        <f t="shared" si="39"/>
        <v>0</v>
      </c>
      <c r="O26" s="40"/>
      <c r="P26" s="40"/>
      <c r="Q26" s="40">
        <f t="shared" si="40"/>
        <v>0</v>
      </c>
      <c r="R26" s="40"/>
      <c r="S26" s="40"/>
      <c r="T26" s="40">
        <f t="shared" si="41"/>
        <v>0</v>
      </c>
      <c r="U26" s="40">
        <f t="shared" si="42"/>
        <v>0</v>
      </c>
      <c r="V26" s="40">
        <f t="shared" si="43"/>
        <v>0</v>
      </c>
      <c r="W26" s="40">
        <f t="shared" si="44"/>
        <v>0</v>
      </c>
      <c r="X26" s="40"/>
      <c r="Y26" s="40">
        <v>100</v>
      </c>
      <c r="Z26" s="40">
        <f t="shared" si="45"/>
        <v>100</v>
      </c>
      <c r="AA26" s="40">
        <f t="shared" si="46"/>
        <v>0</v>
      </c>
      <c r="AB26" s="40">
        <f t="shared" si="47"/>
        <v>100</v>
      </c>
      <c r="AC26" s="40">
        <f t="shared" si="48"/>
        <v>100</v>
      </c>
      <c r="AD26" s="40">
        <f t="shared" si="49"/>
        <v>0</v>
      </c>
      <c r="AE26" s="40">
        <f t="shared" si="50"/>
        <v>100</v>
      </c>
      <c r="AF26" s="40">
        <f t="shared" si="51"/>
        <v>100</v>
      </c>
      <c r="AG26" s="40"/>
      <c r="AH26" s="40">
        <v>400</v>
      </c>
      <c r="AI26" s="40">
        <f t="shared" si="52"/>
        <v>400</v>
      </c>
      <c r="AJ26" s="40"/>
      <c r="AK26" s="40">
        <v>420</v>
      </c>
      <c r="AL26" s="40">
        <f t="shared" si="53"/>
        <v>420</v>
      </c>
      <c r="AM26" s="40"/>
      <c r="AN26" s="40">
        <v>440</v>
      </c>
      <c r="AO26" s="40">
        <f t="shared" si="54"/>
        <v>440</v>
      </c>
      <c r="AP26" s="40"/>
      <c r="AQ26" s="40">
        <v>460</v>
      </c>
      <c r="AR26" s="40">
        <f t="shared" si="55"/>
        <v>460</v>
      </c>
      <c r="AS26" s="40"/>
      <c r="AT26" s="40">
        <v>500</v>
      </c>
      <c r="AU26" s="40">
        <f t="shared" si="56"/>
        <v>500</v>
      </c>
      <c r="AV26" s="40">
        <f t="shared" si="57"/>
        <v>0</v>
      </c>
      <c r="AW26" s="40">
        <f t="shared" si="58"/>
        <v>2320</v>
      </c>
      <c r="AX26" s="40">
        <f t="shared" si="59"/>
        <v>2320</v>
      </c>
    </row>
    <row r="27" spans="1:50" s="47" customFormat="1" ht="11.25" outlineLevel="1">
      <c r="A27" s="37" t="s">
        <v>59</v>
      </c>
      <c r="B27" s="38" t="s">
        <v>65</v>
      </c>
      <c r="C27" s="40"/>
      <c r="D27" s="40"/>
      <c r="E27" s="40">
        <f t="shared" si="34"/>
        <v>0</v>
      </c>
      <c r="F27" s="40"/>
      <c r="G27" s="40"/>
      <c r="H27" s="40">
        <f t="shared" si="35"/>
        <v>0</v>
      </c>
      <c r="I27" s="40">
        <f t="shared" si="36"/>
        <v>0</v>
      </c>
      <c r="J27" s="40">
        <f t="shared" si="37"/>
        <v>0</v>
      </c>
      <c r="K27" s="40">
        <f t="shared" si="38"/>
        <v>0</v>
      </c>
      <c r="L27" s="40"/>
      <c r="M27" s="40"/>
      <c r="N27" s="40">
        <f t="shared" si="39"/>
        <v>0</v>
      </c>
      <c r="O27" s="40"/>
      <c r="P27" s="40"/>
      <c r="Q27" s="40">
        <f t="shared" si="40"/>
        <v>0</v>
      </c>
      <c r="R27" s="40"/>
      <c r="S27" s="40"/>
      <c r="T27" s="40">
        <f t="shared" si="41"/>
        <v>0</v>
      </c>
      <c r="U27" s="40">
        <f t="shared" si="42"/>
        <v>0</v>
      </c>
      <c r="V27" s="40">
        <f t="shared" si="43"/>
        <v>0</v>
      </c>
      <c r="W27" s="40">
        <f t="shared" si="44"/>
        <v>0</v>
      </c>
      <c r="X27" s="40"/>
      <c r="Y27" s="40">
        <f>100</f>
        <v>100</v>
      </c>
      <c r="Z27" s="40">
        <f t="shared" si="45"/>
        <v>100</v>
      </c>
      <c r="AA27" s="40">
        <f t="shared" si="46"/>
        <v>0</v>
      </c>
      <c r="AB27" s="40">
        <f t="shared" si="47"/>
        <v>100</v>
      </c>
      <c r="AC27" s="40">
        <f t="shared" si="48"/>
        <v>100</v>
      </c>
      <c r="AD27" s="40">
        <f t="shared" si="49"/>
        <v>0</v>
      </c>
      <c r="AE27" s="40">
        <f t="shared" si="50"/>
        <v>100</v>
      </c>
      <c r="AF27" s="40">
        <f t="shared" si="51"/>
        <v>100</v>
      </c>
      <c r="AG27" s="40"/>
      <c r="AH27" s="40">
        <v>30</v>
      </c>
      <c r="AI27" s="40">
        <f t="shared" si="52"/>
        <v>30</v>
      </c>
      <c r="AJ27" s="40"/>
      <c r="AK27" s="40">
        <v>30</v>
      </c>
      <c r="AL27" s="40">
        <f t="shared" si="53"/>
        <v>30</v>
      </c>
      <c r="AM27" s="40"/>
      <c r="AN27" s="40">
        <v>30</v>
      </c>
      <c r="AO27" s="40">
        <f t="shared" si="54"/>
        <v>30</v>
      </c>
      <c r="AP27" s="40"/>
      <c r="AQ27" s="40">
        <v>30</v>
      </c>
      <c r="AR27" s="40">
        <f t="shared" si="55"/>
        <v>30</v>
      </c>
      <c r="AS27" s="40"/>
      <c r="AT27" s="40">
        <v>30</v>
      </c>
      <c r="AU27" s="40">
        <f t="shared" si="56"/>
        <v>30</v>
      </c>
      <c r="AV27" s="40">
        <f t="shared" si="57"/>
        <v>0</v>
      </c>
      <c r="AW27" s="40">
        <f t="shared" si="58"/>
        <v>250</v>
      </c>
      <c r="AX27" s="40">
        <f t="shared" si="59"/>
        <v>250</v>
      </c>
    </row>
    <row r="28" spans="1:50" s="47" customFormat="1" ht="11.25" outlineLevel="1">
      <c r="A28" s="37" t="s">
        <v>59</v>
      </c>
      <c r="B28" s="38" t="s">
        <v>54</v>
      </c>
      <c r="C28" s="40"/>
      <c r="D28" s="40"/>
      <c r="E28" s="40">
        <f t="shared" si="34"/>
        <v>0</v>
      </c>
      <c r="F28" s="40"/>
      <c r="G28" s="40"/>
      <c r="H28" s="40">
        <f t="shared" si="35"/>
        <v>0</v>
      </c>
      <c r="I28" s="40">
        <f t="shared" si="36"/>
        <v>0</v>
      </c>
      <c r="J28" s="40">
        <f t="shared" si="37"/>
        <v>0</v>
      </c>
      <c r="K28" s="40">
        <f t="shared" si="38"/>
        <v>0</v>
      </c>
      <c r="L28" s="40"/>
      <c r="M28" s="40"/>
      <c r="N28" s="40">
        <f t="shared" si="39"/>
        <v>0</v>
      </c>
      <c r="O28" s="40"/>
      <c r="P28" s="40"/>
      <c r="Q28" s="40">
        <f t="shared" si="40"/>
        <v>0</v>
      </c>
      <c r="R28" s="40"/>
      <c r="S28" s="40"/>
      <c r="T28" s="40">
        <f t="shared" si="41"/>
        <v>0</v>
      </c>
      <c r="U28" s="40">
        <f t="shared" si="42"/>
        <v>0</v>
      </c>
      <c r="V28" s="40">
        <f t="shared" si="43"/>
        <v>0</v>
      </c>
      <c r="W28" s="40">
        <f t="shared" si="44"/>
        <v>0</v>
      </c>
      <c r="X28" s="40"/>
      <c r="Y28" s="40"/>
      <c r="Z28" s="40">
        <f t="shared" si="45"/>
        <v>0</v>
      </c>
      <c r="AA28" s="40">
        <f t="shared" si="46"/>
        <v>0</v>
      </c>
      <c r="AB28" s="40">
        <f t="shared" si="47"/>
        <v>0</v>
      </c>
      <c r="AC28" s="40">
        <f t="shared" si="48"/>
        <v>0</v>
      </c>
      <c r="AD28" s="40">
        <f t="shared" si="49"/>
        <v>0</v>
      </c>
      <c r="AE28" s="40">
        <f t="shared" si="50"/>
        <v>0</v>
      </c>
      <c r="AF28" s="40">
        <f t="shared" si="51"/>
        <v>0</v>
      </c>
      <c r="AG28" s="40"/>
      <c r="AH28" s="40">
        <v>400</v>
      </c>
      <c r="AI28" s="40">
        <f t="shared" si="52"/>
        <v>400</v>
      </c>
      <c r="AJ28" s="40"/>
      <c r="AK28" s="40">
        <v>400</v>
      </c>
      <c r="AL28" s="40">
        <f t="shared" si="53"/>
        <v>400</v>
      </c>
      <c r="AM28" s="40"/>
      <c r="AN28" s="40">
        <v>400</v>
      </c>
      <c r="AO28" s="40">
        <f t="shared" si="54"/>
        <v>400</v>
      </c>
      <c r="AP28" s="40"/>
      <c r="AQ28" s="40">
        <v>400</v>
      </c>
      <c r="AR28" s="40">
        <f t="shared" si="55"/>
        <v>400</v>
      </c>
      <c r="AS28" s="40"/>
      <c r="AT28" s="40">
        <v>400</v>
      </c>
      <c r="AU28" s="40">
        <f t="shared" si="56"/>
        <v>400</v>
      </c>
      <c r="AV28" s="40">
        <f t="shared" si="57"/>
        <v>0</v>
      </c>
      <c r="AW28" s="40">
        <f t="shared" si="58"/>
        <v>2000</v>
      </c>
      <c r="AX28" s="40">
        <f t="shared" si="59"/>
        <v>2000</v>
      </c>
    </row>
    <row r="29" spans="1:50" s="47" customFormat="1" ht="11.25" outlineLevel="1">
      <c r="A29" s="37" t="s">
        <v>59</v>
      </c>
      <c r="B29" s="38" t="s">
        <v>55</v>
      </c>
      <c r="C29" s="40"/>
      <c r="D29" s="40">
        <v>11329</v>
      </c>
      <c r="E29" s="40">
        <f t="shared" si="34"/>
        <v>11329</v>
      </c>
      <c r="F29" s="40"/>
      <c r="G29" s="40"/>
      <c r="H29" s="40">
        <f t="shared" si="35"/>
        <v>0</v>
      </c>
      <c r="I29" s="40">
        <f t="shared" si="36"/>
        <v>0</v>
      </c>
      <c r="J29" s="40">
        <f t="shared" si="37"/>
        <v>0</v>
      </c>
      <c r="K29" s="40">
        <f t="shared" si="38"/>
        <v>0</v>
      </c>
      <c r="L29" s="40"/>
      <c r="M29" s="40"/>
      <c r="N29" s="40">
        <f t="shared" si="39"/>
        <v>0</v>
      </c>
      <c r="O29" s="40"/>
      <c r="P29" s="40">
        <v>11329</v>
      </c>
      <c r="Q29" s="40">
        <f t="shared" si="40"/>
        <v>11329</v>
      </c>
      <c r="R29" s="40"/>
      <c r="S29" s="40"/>
      <c r="T29" s="40">
        <f t="shared" si="41"/>
        <v>0</v>
      </c>
      <c r="U29" s="40">
        <f t="shared" si="42"/>
        <v>0</v>
      </c>
      <c r="V29" s="40">
        <f t="shared" si="43"/>
        <v>11329</v>
      </c>
      <c r="W29" s="40">
        <f t="shared" si="44"/>
        <v>11329</v>
      </c>
      <c r="X29" s="40"/>
      <c r="Y29" s="40"/>
      <c r="Z29" s="40">
        <f t="shared" si="45"/>
        <v>0</v>
      </c>
      <c r="AA29" s="40">
        <f t="shared" si="46"/>
        <v>0</v>
      </c>
      <c r="AB29" s="40">
        <f t="shared" si="47"/>
        <v>0</v>
      </c>
      <c r="AC29" s="40">
        <f t="shared" si="48"/>
        <v>0</v>
      </c>
      <c r="AD29" s="40">
        <f t="shared" si="49"/>
        <v>0</v>
      </c>
      <c r="AE29" s="40">
        <f t="shared" si="50"/>
        <v>0</v>
      </c>
      <c r="AF29" s="40">
        <f t="shared" si="51"/>
        <v>0</v>
      </c>
      <c r="AG29" s="40"/>
      <c r="AH29" s="40"/>
      <c r="AI29" s="40">
        <f t="shared" si="52"/>
        <v>0</v>
      </c>
      <c r="AJ29" s="40"/>
      <c r="AK29" s="40"/>
      <c r="AL29" s="40">
        <f t="shared" si="53"/>
        <v>0</v>
      </c>
      <c r="AM29" s="40"/>
      <c r="AN29" s="40"/>
      <c r="AO29" s="40">
        <f t="shared" si="54"/>
        <v>0</v>
      </c>
      <c r="AP29" s="40"/>
      <c r="AQ29" s="40"/>
      <c r="AR29" s="40">
        <f t="shared" si="55"/>
        <v>0</v>
      </c>
      <c r="AS29" s="40"/>
      <c r="AT29" s="40"/>
      <c r="AU29" s="40">
        <f t="shared" si="56"/>
        <v>0</v>
      </c>
      <c r="AV29" s="40">
        <f t="shared" si="57"/>
        <v>0</v>
      </c>
      <c r="AW29" s="40">
        <f t="shared" si="58"/>
        <v>0</v>
      </c>
      <c r="AX29" s="40">
        <f t="shared" si="59"/>
        <v>0</v>
      </c>
    </row>
    <row r="30" spans="1:50" s="47" customFormat="1" ht="11.25" outlineLevel="1">
      <c r="A30" s="37" t="s">
        <v>59</v>
      </c>
      <c r="B30" s="38" t="s">
        <v>56</v>
      </c>
      <c r="C30" s="40"/>
      <c r="D30" s="40"/>
      <c r="E30" s="40">
        <f t="shared" si="34"/>
        <v>0</v>
      </c>
      <c r="F30" s="40"/>
      <c r="G30" s="40"/>
      <c r="H30" s="40">
        <f t="shared" si="35"/>
        <v>0</v>
      </c>
      <c r="I30" s="40">
        <f t="shared" si="36"/>
        <v>0</v>
      </c>
      <c r="J30" s="40">
        <f t="shared" si="37"/>
        <v>3460</v>
      </c>
      <c r="K30" s="40">
        <f t="shared" si="38"/>
        <v>3460</v>
      </c>
      <c r="L30" s="40"/>
      <c r="M30" s="40">
        <v>286</v>
      </c>
      <c r="N30" s="40">
        <f t="shared" si="39"/>
        <v>286</v>
      </c>
      <c r="O30" s="40"/>
      <c r="P30" s="40">
        <v>3460</v>
      </c>
      <c r="Q30" s="40">
        <f t="shared" si="40"/>
        <v>3460</v>
      </c>
      <c r="R30" s="40"/>
      <c r="S30" s="40">
        <v>286</v>
      </c>
      <c r="T30" s="40">
        <f t="shared" si="41"/>
        <v>286</v>
      </c>
      <c r="U30" s="40">
        <f t="shared" si="42"/>
        <v>0</v>
      </c>
      <c r="V30" s="40">
        <f t="shared" si="43"/>
        <v>3174</v>
      </c>
      <c r="W30" s="40">
        <f t="shared" si="44"/>
        <v>3174</v>
      </c>
      <c r="X30" s="40"/>
      <c r="Y30" s="40">
        <v>286</v>
      </c>
      <c r="Z30" s="40">
        <f t="shared" si="45"/>
        <v>286</v>
      </c>
      <c r="AA30" s="40">
        <f t="shared" si="46"/>
        <v>0</v>
      </c>
      <c r="AB30" s="40">
        <f t="shared" si="47"/>
        <v>0</v>
      </c>
      <c r="AC30" s="40">
        <f t="shared" si="48"/>
        <v>0</v>
      </c>
      <c r="AD30" s="40">
        <f t="shared" si="49"/>
        <v>0</v>
      </c>
      <c r="AE30" s="40">
        <f t="shared" si="50"/>
        <v>286</v>
      </c>
      <c r="AF30" s="40">
        <f t="shared" si="51"/>
        <v>286</v>
      </c>
      <c r="AG30" s="40"/>
      <c r="AH30" s="40"/>
      <c r="AI30" s="40">
        <f t="shared" si="52"/>
        <v>0</v>
      </c>
      <c r="AJ30" s="40"/>
      <c r="AK30" s="40"/>
      <c r="AL30" s="40">
        <f t="shared" si="53"/>
        <v>0</v>
      </c>
      <c r="AM30" s="40"/>
      <c r="AN30" s="40"/>
      <c r="AO30" s="40">
        <f t="shared" si="54"/>
        <v>0</v>
      </c>
      <c r="AP30" s="40"/>
      <c r="AQ30" s="40"/>
      <c r="AR30" s="40">
        <f t="shared" si="55"/>
        <v>0</v>
      </c>
      <c r="AS30" s="40"/>
      <c r="AT30" s="40"/>
      <c r="AU30" s="40">
        <f t="shared" si="56"/>
        <v>0</v>
      </c>
      <c r="AV30" s="40">
        <f t="shared" si="57"/>
        <v>0</v>
      </c>
      <c r="AW30" s="40">
        <f t="shared" si="58"/>
        <v>286</v>
      </c>
      <c r="AX30" s="40">
        <f t="shared" si="59"/>
        <v>286</v>
      </c>
    </row>
    <row r="31" spans="1:50" s="46" customFormat="1" ht="12.75">
      <c r="A31" s="43" t="s">
        <v>59</v>
      </c>
      <c r="B31" s="44" t="s">
        <v>66</v>
      </c>
      <c r="C31" s="45">
        <f aca="true" t="shared" si="60" ref="C31:AX31">SUM(C21:C30)</f>
        <v>0</v>
      </c>
      <c r="D31" s="45">
        <f t="shared" si="60"/>
        <v>11329</v>
      </c>
      <c r="E31" s="45">
        <f t="shared" si="60"/>
        <v>11329</v>
      </c>
      <c r="F31" s="45">
        <f t="shared" si="60"/>
        <v>0</v>
      </c>
      <c r="G31" s="45">
        <f t="shared" si="60"/>
        <v>0</v>
      </c>
      <c r="H31" s="45">
        <f t="shared" si="60"/>
        <v>0</v>
      </c>
      <c r="I31" s="45">
        <f t="shared" si="60"/>
        <v>83566</v>
      </c>
      <c r="J31" s="45">
        <f t="shared" si="60"/>
        <v>3460</v>
      </c>
      <c r="K31" s="45">
        <f t="shared" si="60"/>
        <v>87026</v>
      </c>
      <c r="L31" s="45">
        <f t="shared" si="60"/>
        <v>166145</v>
      </c>
      <c r="M31" s="45">
        <f t="shared" si="60"/>
        <v>286</v>
      </c>
      <c r="N31" s="45">
        <f t="shared" si="60"/>
        <v>166431</v>
      </c>
      <c r="O31" s="45">
        <f t="shared" si="60"/>
        <v>83566</v>
      </c>
      <c r="P31" s="45">
        <f t="shared" si="60"/>
        <v>14789</v>
      </c>
      <c r="Q31" s="45">
        <f t="shared" si="60"/>
        <v>98355</v>
      </c>
      <c r="R31" s="45">
        <f t="shared" si="60"/>
        <v>166145</v>
      </c>
      <c r="S31" s="45">
        <f t="shared" si="60"/>
        <v>286</v>
      </c>
      <c r="T31" s="45">
        <f t="shared" si="60"/>
        <v>166431</v>
      </c>
      <c r="U31" s="45">
        <f t="shared" si="60"/>
        <v>-82579</v>
      </c>
      <c r="V31" s="45">
        <f t="shared" si="60"/>
        <v>14503</v>
      </c>
      <c r="W31" s="45">
        <f t="shared" si="60"/>
        <v>-68076</v>
      </c>
      <c r="X31" s="45">
        <f t="shared" si="60"/>
        <v>153543</v>
      </c>
      <c r="Y31" s="45">
        <f t="shared" si="60"/>
        <v>13590</v>
      </c>
      <c r="Z31" s="45">
        <f t="shared" si="60"/>
        <v>167133</v>
      </c>
      <c r="AA31" s="45">
        <f t="shared" si="60"/>
        <v>-12602</v>
      </c>
      <c r="AB31" s="45">
        <f t="shared" si="60"/>
        <v>13304</v>
      </c>
      <c r="AC31" s="45">
        <f t="shared" si="60"/>
        <v>702</v>
      </c>
      <c r="AD31" s="45">
        <f t="shared" si="60"/>
        <v>153543</v>
      </c>
      <c r="AE31" s="45">
        <f t="shared" si="60"/>
        <v>13590</v>
      </c>
      <c r="AF31" s="45">
        <f t="shared" si="60"/>
        <v>167133</v>
      </c>
      <c r="AG31" s="45">
        <f t="shared" si="60"/>
        <v>0</v>
      </c>
      <c r="AH31" s="45">
        <f t="shared" si="60"/>
        <v>42094</v>
      </c>
      <c r="AI31" s="45">
        <f t="shared" si="60"/>
        <v>42094</v>
      </c>
      <c r="AJ31" s="45">
        <f t="shared" si="60"/>
        <v>0</v>
      </c>
      <c r="AK31" s="45">
        <f t="shared" si="60"/>
        <v>42848.9</v>
      </c>
      <c r="AL31" s="45">
        <f t="shared" si="60"/>
        <v>42848.9</v>
      </c>
      <c r="AM31" s="45">
        <f t="shared" si="60"/>
        <v>0</v>
      </c>
      <c r="AN31" s="45">
        <f t="shared" si="60"/>
        <v>43652.715</v>
      </c>
      <c r="AO31" s="45">
        <f t="shared" si="60"/>
        <v>43652.715</v>
      </c>
      <c r="AP31" s="45">
        <f t="shared" si="60"/>
        <v>0</v>
      </c>
      <c r="AQ31" s="45">
        <f t="shared" si="60"/>
        <v>44509.10775</v>
      </c>
      <c r="AR31" s="45">
        <f t="shared" si="60"/>
        <v>44509.10775</v>
      </c>
      <c r="AS31" s="45">
        <f t="shared" si="60"/>
        <v>0</v>
      </c>
      <c r="AT31" s="45">
        <f t="shared" si="60"/>
        <v>45442.0458375</v>
      </c>
      <c r="AU31" s="45">
        <f t="shared" si="60"/>
        <v>45442.0458375</v>
      </c>
      <c r="AV31" s="45">
        <f t="shared" si="60"/>
        <v>153543</v>
      </c>
      <c r="AW31" s="45">
        <f t="shared" si="60"/>
        <v>232136.7685875</v>
      </c>
      <c r="AX31" s="45">
        <f t="shared" si="60"/>
        <v>385679.76858750003</v>
      </c>
    </row>
    <row r="32" spans="1:50" s="47" customFormat="1" ht="11.25" outlineLevel="1">
      <c r="A32" s="37" t="s">
        <v>67</v>
      </c>
      <c r="B32" s="38" t="s">
        <v>60</v>
      </c>
      <c r="C32" s="48"/>
      <c r="D32" s="48"/>
      <c r="E32" s="48">
        <f aca="true" t="shared" si="61" ref="E32:E46">C32+D32</f>
        <v>0</v>
      </c>
      <c r="F32" s="48"/>
      <c r="G32" s="48"/>
      <c r="H32" s="48">
        <f aca="true" t="shared" si="62" ref="H32:H46">F32+G32</f>
        <v>0</v>
      </c>
      <c r="I32" s="48">
        <f aca="true" t="shared" si="63" ref="I32:I46">O32-C32</f>
        <v>83802</v>
      </c>
      <c r="J32" s="48">
        <f aca="true" t="shared" si="64" ref="J32:J46">P32-D32</f>
        <v>0</v>
      </c>
      <c r="K32" s="48">
        <f aca="true" t="shared" si="65" ref="K32:K46">I32+J32</f>
        <v>83802</v>
      </c>
      <c r="L32" s="48">
        <f>77346+6451+5</f>
        <v>83802</v>
      </c>
      <c r="M32" s="48"/>
      <c r="N32" s="48">
        <f aca="true" t="shared" si="66" ref="N32:N46">L32+M32</f>
        <v>83802</v>
      </c>
      <c r="O32" s="48">
        <v>83802</v>
      </c>
      <c r="P32" s="48"/>
      <c r="Q32" s="48">
        <f aca="true" t="shared" si="67" ref="Q32:Q46">O32+P32</f>
        <v>83802</v>
      </c>
      <c r="R32" s="48">
        <f>77346+6451+5</f>
        <v>83802</v>
      </c>
      <c r="S32" s="48"/>
      <c r="T32" s="48">
        <f aca="true" t="shared" si="68" ref="T32:T46">R32+S32</f>
        <v>83802</v>
      </c>
      <c r="U32" s="48">
        <f aca="true" t="shared" si="69" ref="U32:U46">O32-R32</f>
        <v>0</v>
      </c>
      <c r="V32" s="48">
        <f aca="true" t="shared" si="70" ref="V32:V46">P32-S32</f>
        <v>0</v>
      </c>
      <c r="W32" s="48">
        <f aca="true" t="shared" si="71" ref="W32:W46">U32+V32</f>
        <v>0</v>
      </c>
      <c r="X32" s="48">
        <f>88000+16760</f>
        <v>104760</v>
      </c>
      <c r="Y32" s="48"/>
      <c r="Z32" s="48">
        <f aca="true" t="shared" si="72" ref="Z32:Z46">X32+Y32</f>
        <v>104760</v>
      </c>
      <c r="AA32" s="48">
        <f aca="true" t="shared" si="73" ref="AA32:AA46">X32-R32</f>
        <v>20958</v>
      </c>
      <c r="AB32" s="48">
        <f aca="true" t="shared" si="74" ref="AB32:AB46">Y32-S32</f>
        <v>0</v>
      </c>
      <c r="AC32" s="48">
        <f aca="true" t="shared" si="75" ref="AC32:AC46">AA32+AB32</f>
        <v>20958</v>
      </c>
      <c r="AD32" s="48">
        <f aca="true" t="shared" si="76" ref="AD32:AD46">L32+AA32</f>
        <v>104760</v>
      </c>
      <c r="AE32" s="48">
        <f aca="true" t="shared" si="77" ref="AE32:AE46">M32+AB32</f>
        <v>0</v>
      </c>
      <c r="AF32" s="48">
        <f aca="true" t="shared" si="78" ref="AF32:AF46">AD32+AE32</f>
        <v>104760</v>
      </c>
      <c r="AG32" s="48"/>
      <c r="AH32" s="48"/>
      <c r="AI32" s="48">
        <f aca="true" t="shared" si="79" ref="AI32:AI46">AG32+AH32</f>
        <v>0</v>
      </c>
      <c r="AJ32" s="48"/>
      <c r="AK32" s="48"/>
      <c r="AL32" s="48">
        <f aca="true" t="shared" si="80" ref="AL32:AL46">AJ32+AK32</f>
        <v>0</v>
      </c>
      <c r="AM32" s="48"/>
      <c r="AN32" s="48"/>
      <c r="AO32" s="48">
        <f aca="true" t="shared" si="81" ref="AO32:AO46">AM32+AN32</f>
        <v>0</v>
      </c>
      <c r="AP32" s="48"/>
      <c r="AQ32" s="48"/>
      <c r="AR32" s="48">
        <f aca="true" t="shared" si="82" ref="AR32:AR46">AP32+AQ32</f>
        <v>0</v>
      </c>
      <c r="AS32" s="48"/>
      <c r="AT32" s="48"/>
      <c r="AU32" s="48">
        <f aca="true" t="shared" si="83" ref="AU32:AU46">AS32+AT32</f>
        <v>0</v>
      </c>
      <c r="AV32" s="48">
        <f aca="true" t="shared" si="84" ref="AV32:AV46">SUM(AS32,AP32,AM32,AJ32,AG32,X32)</f>
        <v>104760</v>
      </c>
      <c r="AW32" s="48">
        <f aca="true" t="shared" si="85" ref="AW32:AW46">SUM(AT32,AQ32,AN32,AK32,AH32,Y32)</f>
        <v>0</v>
      </c>
      <c r="AX32" s="48">
        <f aca="true" t="shared" si="86" ref="AX32:AX46">AV32+AW32</f>
        <v>104760</v>
      </c>
    </row>
    <row r="33" spans="1:50" s="47" customFormat="1" ht="11.25" outlineLevel="1">
      <c r="A33" s="37" t="s">
        <v>67</v>
      </c>
      <c r="B33" s="38" t="s">
        <v>61</v>
      </c>
      <c r="C33" s="40"/>
      <c r="D33" s="40"/>
      <c r="E33" s="40">
        <f t="shared" si="61"/>
        <v>0</v>
      </c>
      <c r="F33" s="40"/>
      <c r="G33" s="40"/>
      <c r="H33" s="40">
        <f t="shared" si="62"/>
        <v>0</v>
      </c>
      <c r="I33" s="40">
        <f t="shared" si="63"/>
        <v>15305</v>
      </c>
      <c r="J33" s="40">
        <f t="shared" si="64"/>
        <v>0</v>
      </c>
      <c r="K33" s="40">
        <f t="shared" si="65"/>
        <v>15305</v>
      </c>
      <c r="L33" s="40">
        <f>7363+7942</f>
        <v>15305</v>
      </c>
      <c r="M33" s="40"/>
      <c r="N33" s="40">
        <f t="shared" si="66"/>
        <v>15305</v>
      </c>
      <c r="O33" s="40">
        <v>15305</v>
      </c>
      <c r="P33" s="40"/>
      <c r="Q33" s="40">
        <f t="shared" si="67"/>
        <v>15305</v>
      </c>
      <c r="R33" s="40">
        <f>7363+7942</f>
        <v>15305</v>
      </c>
      <c r="S33" s="40"/>
      <c r="T33" s="40">
        <f t="shared" si="68"/>
        <v>15305</v>
      </c>
      <c r="U33" s="40">
        <f t="shared" si="69"/>
        <v>0</v>
      </c>
      <c r="V33" s="40">
        <f t="shared" si="70"/>
        <v>0</v>
      </c>
      <c r="W33" s="40">
        <f t="shared" si="71"/>
        <v>0</v>
      </c>
      <c r="X33" s="40">
        <f>7363+7942+10000+181935+325450</f>
        <v>532690</v>
      </c>
      <c r="Y33" s="40"/>
      <c r="Z33" s="40">
        <f t="shared" si="72"/>
        <v>532690</v>
      </c>
      <c r="AA33" s="40">
        <f t="shared" si="73"/>
        <v>517385</v>
      </c>
      <c r="AB33" s="40">
        <f t="shared" si="74"/>
        <v>0</v>
      </c>
      <c r="AC33" s="40">
        <f t="shared" si="75"/>
        <v>517385</v>
      </c>
      <c r="AD33" s="40">
        <f t="shared" si="76"/>
        <v>532690</v>
      </c>
      <c r="AE33" s="40">
        <f t="shared" si="77"/>
        <v>0</v>
      </c>
      <c r="AF33" s="40">
        <f t="shared" si="78"/>
        <v>532690</v>
      </c>
      <c r="AG33" s="40">
        <v>3450</v>
      </c>
      <c r="AH33" s="40"/>
      <c r="AI33" s="40">
        <f t="shared" si="79"/>
        <v>3450</v>
      </c>
      <c r="AJ33" s="40"/>
      <c r="AK33" s="40"/>
      <c r="AL33" s="40">
        <f t="shared" si="80"/>
        <v>0</v>
      </c>
      <c r="AM33" s="40"/>
      <c r="AN33" s="40"/>
      <c r="AO33" s="40">
        <f t="shared" si="81"/>
        <v>0</v>
      </c>
      <c r="AP33" s="40"/>
      <c r="AQ33" s="40"/>
      <c r="AR33" s="40">
        <f t="shared" si="82"/>
        <v>0</v>
      </c>
      <c r="AS33" s="40"/>
      <c r="AT33" s="40"/>
      <c r="AU33" s="40">
        <f t="shared" si="83"/>
        <v>0</v>
      </c>
      <c r="AV33" s="40">
        <f t="shared" si="84"/>
        <v>536140</v>
      </c>
      <c r="AW33" s="40">
        <f t="shared" si="85"/>
        <v>0</v>
      </c>
      <c r="AX33" s="40">
        <f t="shared" si="86"/>
        <v>536140</v>
      </c>
    </row>
    <row r="34" spans="1:50" s="47" customFormat="1" ht="11.25" outlineLevel="1">
      <c r="A34" s="37" t="s">
        <v>67</v>
      </c>
      <c r="B34" s="38" t="s">
        <v>68</v>
      </c>
      <c r="C34" s="40"/>
      <c r="D34" s="40"/>
      <c r="E34" s="40">
        <f t="shared" si="61"/>
        <v>0</v>
      </c>
      <c r="F34" s="40"/>
      <c r="G34" s="40"/>
      <c r="H34" s="40">
        <f t="shared" si="62"/>
        <v>0</v>
      </c>
      <c r="I34" s="40">
        <f t="shared" si="63"/>
        <v>0</v>
      </c>
      <c r="J34" s="40">
        <f t="shared" si="64"/>
        <v>0</v>
      </c>
      <c r="K34" s="40">
        <f t="shared" si="65"/>
        <v>0</v>
      </c>
      <c r="L34" s="40"/>
      <c r="M34" s="40"/>
      <c r="N34" s="40">
        <f t="shared" si="66"/>
        <v>0</v>
      </c>
      <c r="O34" s="40"/>
      <c r="P34" s="40"/>
      <c r="Q34" s="40">
        <f t="shared" si="67"/>
        <v>0</v>
      </c>
      <c r="R34" s="40"/>
      <c r="S34" s="40"/>
      <c r="T34" s="40">
        <f t="shared" si="68"/>
        <v>0</v>
      </c>
      <c r="U34" s="40">
        <f t="shared" si="69"/>
        <v>0</v>
      </c>
      <c r="V34" s="40">
        <f t="shared" si="70"/>
        <v>0</v>
      </c>
      <c r="W34" s="40">
        <f t="shared" si="71"/>
        <v>0</v>
      </c>
      <c r="X34" s="40"/>
      <c r="Y34" s="40"/>
      <c r="Z34" s="40">
        <f t="shared" si="72"/>
        <v>0</v>
      </c>
      <c r="AA34" s="40">
        <f t="shared" si="73"/>
        <v>0</v>
      </c>
      <c r="AB34" s="40">
        <f t="shared" si="74"/>
        <v>0</v>
      </c>
      <c r="AC34" s="40">
        <f t="shared" si="75"/>
        <v>0</v>
      </c>
      <c r="AD34" s="40">
        <f t="shared" si="76"/>
        <v>0</v>
      </c>
      <c r="AE34" s="40">
        <f t="shared" si="77"/>
        <v>0</v>
      </c>
      <c r="AF34" s="40">
        <f t="shared" si="78"/>
        <v>0</v>
      </c>
      <c r="AG34" s="40"/>
      <c r="AH34" s="40"/>
      <c r="AI34" s="40">
        <f t="shared" si="79"/>
        <v>0</v>
      </c>
      <c r="AJ34" s="40"/>
      <c r="AK34" s="40"/>
      <c r="AL34" s="40">
        <f t="shared" si="80"/>
        <v>0</v>
      </c>
      <c r="AM34" s="40"/>
      <c r="AN34" s="40"/>
      <c r="AO34" s="40">
        <f t="shared" si="81"/>
        <v>0</v>
      </c>
      <c r="AP34" s="40"/>
      <c r="AQ34" s="40"/>
      <c r="AR34" s="40">
        <f t="shared" si="82"/>
        <v>0</v>
      </c>
      <c r="AS34" s="40"/>
      <c r="AT34" s="40"/>
      <c r="AU34" s="40">
        <f t="shared" si="83"/>
        <v>0</v>
      </c>
      <c r="AV34" s="40">
        <f t="shared" si="84"/>
        <v>0</v>
      </c>
      <c r="AW34" s="40">
        <f t="shared" si="85"/>
        <v>0</v>
      </c>
      <c r="AX34" s="40">
        <f t="shared" si="86"/>
        <v>0</v>
      </c>
    </row>
    <row r="35" spans="1:50" s="47" customFormat="1" ht="11.25" outlineLevel="1">
      <c r="A35" s="37" t="s">
        <v>67</v>
      </c>
      <c r="B35" s="38" t="s">
        <v>69</v>
      </c>
      <c r="C35" s="40"/>
      <c r="D35" s="40"/>
      <c r="E35" s="40">
        <f t="shared" si="61"/>
        <v>0</v>
      </c>
      <c r="F35" s="40">
        <v>21749</v>
      </c>
      <c r="G35" s="40"/>
      <c r="H35" s="40">
        <f t="shared" si="62"/>
        <v>21749</v>
      </c>
      <c r="I35" s="40">
        <f t="shared" si="63"/>
        <v>21749</v>
      </c>
      <c r="J35" s="40">
        <f t="shared" si="64"/>
        <v>0</v>
      </c>
      <c r="K35" s="40">
        <f t="shared" si="65"/>
        <v>21749</v>
      </c>
      <c r="L35" s="40"/>
      <c r="M35" s="40"/>
      <c r="N35" s="40">
        <f t="shared" si="66"/>
        <v>0</v>
      </c>
      <c r="O35" s="40">
        <v>21749</v>
      </c>
      <c r="P35" s="40"/>
      <c r="Q35" s="40">
        <f t="shared" si="67"/>
        <v>21749</v>
      </c>
      <c r="R35" s="40">
        <f>21749</f>
        <v>21749</v>
      </c>
      <c r="S35" s="40"/>
      <c r="T35" s="40">
        <f t="shared" si="68"/>
        <v>21749</v>
      </c>
      <c r="U35" s="40">
        <f t="shared" si="69"/>
        <v>0</v>
      </c>
      <c r="V35" s="40">
        <f t="shared" si="70"/>
        <v>0</v>
      </c>
      <c r="W35" s="40">
        <f t="shared" si="71"/>
        <v>0</v>
      </c>
      <c r="X35" s="40">
        <v>21749</v>
      </c>
      <c r="Y35" s="40"/>
      <c r="Z35" s="40">
        <f t="shared" si="72"/>
        <v>21749</v>
      </c>
      <c r="AA35" s="40">
        <f t="shared" si="73"/>
        <v>0</v>
      </c>
      <c r="AB35" s="40">
        <f t="shared" si="74"/>
        <v>0</v>
      </c>
      <c r="AC35" s="40">
        <f t="shared" si="75"/>
        <v>0</v>
      </c>
      <c r="AD35" s="40">
        <f t="shared" si="76"/>
        <v>0</v>
      </c>
      <c r="AE35" s="40">
        <f t="shared" si="77"/>
        <v>0</v>
      </c>
      <c r="AF35" s="40">
        <f t="shared" si="78"/>
        <v>0</v>
      </c>
      <c r="AG35" s="40"/>
      <c r="AH35" s="40"/>
      <c r="AI35" s="40">
        <f t="shared" si="79"/>
        <v>0</v>
      </c>
      <c r="AJ35" s="40"/>
      <c r="AK35" s="40"/>
      <c r="AL35" s="40">
        <f t="shared" si="80"/>
        <v>0</v>
      </c>
      <c r="AM35" s="40"/>
      <c r="AN35" s="40"/>
      <c r="AO35" s="40">
        <f t="shared" si="81"/>
        <v>0</v>
      </c>
      <c r="AP35" s="40"/>
      <c r="AQ35" s="40"/>
      <c r="AR35" s="40">
        <f t="shared" si="82"/>
        <v>0</v>
      </c>
      <c r="AS35" s="40"/>
      <c r="AT35" s="40"/>
      <c r="AU35" s="40">
        <f t="shared" si="83"/>
        <v>0</v>
      </c>
      <c r="AV35" s="40">
        <f t="shared" si="84"/>
        <v>21749</v>
      </c>
      <c r="AW35" s="40">
        <f t="shared" si="85"/>
        <v>0</v>
      </c>
      <c r="AX35" s="40">
        <f t="shared" si="86"/>
        <v>21749</v>
      </c>
    </row>
    <row r="36" spans="1:50" s="47" customFormat="1" ht="11.25" outlineLevel="1">
      <c r="A36" s="37" t="s">
        <v>67</v>
      </c>
      <c r="B36" s="38" t="s">
        <v>62</v>
      </c>
      <c r="C36" s="40"/>
      <c r="D36" s="40"/>
      <c r="E36" s="40">
        <f t="shared" si="61"/>
        <v>0</v>
      </c>
      <c r="F36" s="40"/>
      <c r="G36" s="40">
        <v>243</v>
      </c>
      <c r="H36" s="40">
        <f t="shared" si="62"/>
        <v>243</v>
      </c>
      <c r="I36" s="40">
        <f t="shared" si="63"/>
        <v>0</v>
      </c>
      <c r="J36" s="40">
        <f t="shared" si="64"/>
        <v>6454</v>
      </c>
      <c r="K36" s="40">
        <f t="shared" si="65"/>
        <v>6454</v>
      </c>
      <c r="L36" s="40"/>
      <c r="M36" s="40">
        <v>7313</v>
      </c>
      <c r="N36" s="40">
        <f t="shared" si="66"/>
        <v>7313</v>
      </c>
      <c r="O36" s="40"/>
      <c r="P36" s="40">
        <v>6454</v>
      </c>
      <c r="Q36" s="40">
        <f t="shared" si="67"/>
        <v>6454</v>
      </c>
      <c r="R36" s="40"/>
      <c r="S36" s="40">
        <f>243+7313</f>
        <v>7556</v>
      </c>
      <c r="T36" s="40">
        <f t="shared" si="68"/>
        <v>7556</v>
      </c>
      <c r="U36" s="40">
        <f t="shared" si="69"/>
        <v>0</v>
      </c>
      <c r="V36" s="40">
        <f t="shared" si="70"/>
        <v>-1102</v>
      </c>
      <c r="W36" s="40">
        <f t="shared" si="71"/>
        <v>-1102</v>
      </c>
      <c r="X36" s="40"/>
      <c r="Y36" s="40">
        <f>243+7313</f>
        <v>7556</v>
      </c>
      <c r="Z36" s="40">
        <f t="shared" si="72"/>
        <v>7556</v>
      </c>
      <c r="AA36" s="40">
        <f t="shared" si="73"/>
        <v>0</v>
      </c>
      <c r="AB36" s="40">
        <f t="shared" si="74"/>
        <v>0</v>
      </c>
      <c r="AC36" s="40">
        <f t="shared" si="75"/>
        <v>0</v>
      </c>
      <c r="AD36" s="40">
        <f t="shared" si="76"/>
        <v>0</v>
      </c>
      <c r="AE36" s="40">
        <f t="shared" si="77"/>
        <v>7313</v>
      </c>
      <c r="AF36" s="40">
        <f t="shared" si="78"/>
        <v>7313</v>
      </c>
      <c r="AG36" s="40"/>
      <c r="AH36" s="40">
        <v>6691</v>
      </c>
      <c r="AI36" s="40">
        <f t="shared" si="79"/>
        <v>6691</v>
      </c>
      <c r="AJ36" s="40"/>
      <c r="AK36" s="40">
        <f>AH36*1.1</f>
        <v>7360.1</v>
      </c>
      <c r="AL36" s="40">
        <f t="shared" si="80"/>
        <v>7360.1</v>
      </c>
      <c r="AM36" s="40"/>
      <c r="AN36" s="40">
        <f>AK36*1.1</f>
        <v>8096.1100000000015</v>
      </c>
      <c r="AO36" s="40">
        <f t="shared" si="81"/>
        <v>8096.1100000000015</v>
      </c>
      <c r="AP36" s="40"/>
      <c r="AQ36" s="40">
        <f>AN36*1.1/2+2</f>
        <v>4454.860500000002</v>
      </c>
      <c r="AR36" s="40">
        <f t="shared" si="82"/>
        <v>4454.860500000002</v>
      </c>
      <c r="AS36" s="40"/>
      <c r="AT36" s="40"/>
      <c r="AU36" s="40">
        <f t="shared" si="83"/>
        <v>0</v>
      </c>
      <c r="AV36" s="40">
        <f t="shared" si="84"/>
        <v>0</v>
      </c>
      <c r="AW36" s="40">
        <f t="shared" si="85"/>
        <v>34158.0705</v>
      </c>
      <c r="AX36" s="40">
        <f t="shared" si="86"/>
        <v>34158.0705</v>
      </c>
    </row>
    <row r="37" spans="1:50" s="47" customFormat="1" ht="11.25" outlineLevel="1">
      <c r="A37" s="37" t="s">
        <v>67</v>
      </c>
      <c r="B37" s="38" t="s">
        <v>63</v>
      </c>
      <c r="C37" s="40"/>
      <c r="D37" s="40"/>
      <c r="E37" s="40">
        <f t="shared" si="61"/>
        <v>0</v>
      </c>
      <c r="F37" s="40"/>
      <c r="G37" s="40"/>
      <c r="H37" s="40">
        <f t="shared" si="62"/>
        <v>0</v>
      </c>
      <c r="I37" s="40">
        <f t="shared" si="63"/>
        <v>0</v>
      </c>
      <c r="J37" s="40">
        <f t="shared" si="64"/>
        <v>0</v>
      </c>
      <c r="K37" s="40">
        <f t="shared" si="65"/>
        <v>0</v>
      </c>
      <c r="L37" s="40"/>
      <c r="M37" s="40"/>
      <c r="N37" s="40">
        <f t="shared" si="66"/>
        <v>0</v>
      </c>
      <c r="O37" s="40"/>
      <c r="P37" s="40"/>
      <c r="Q37" s="40">
        <f t="shared" si="67"/>
        <v>0</v>
      </c>
      <c r="R37" s="40"/>
      <c r="S37" s="40"/>
      <c r="T37" s="40">
        <f t="shared" si="68"/>
        <v>0</v>
      </c>
      <c r="U37" s="40">
        <f t="shared" si="69"/>
        <v>0</v>
      </c>
      <c r="V37" s="40">
        <f t="shared" si="70"/>
        <v>0</v>
      </c>
      <c r="W37" s="40">
        <f t="shared" si="71"/>
        <v>0</v>
      </c>
      <c r="X37" s="40"/>
      <c r="Y37" s="40">
        <v>250</v>
      </c>
      <c r="Z37" s="40">
        <f t="shared" si="72"/>
        <v>250</v>
      </c>
      <c r="AA37" s="40">
        <f t="shared" si="73"/>
        <v>0</v>
      </c>
      <c r="AB37" s="40">
        <f t="shared" si="74"/>
        <v>250</v>
      </c>
      <c r="AC37" s="40">
        <f t="shared" si="75"/>
        <v>250</v>
      </c>
      <c r="AD37" s="40">
        <f t="shared" si="76"/>
        <v>0</v>
      </c>
      <c r="AE37" s="40">
        <f t="shared" si="77"/>
        <v>250</v>
      </c>
      <c r="AF37" s="40">
        <f t="shared" si="78"/>
        <v>250</v>
      </c>
      <c r="AG37" s="40"/>
      <c r="AH37" s="40">
        <v>7443</v>
      </c>
      <c r="AI37" s="40">
        <f t="shared" si="79"/>
        <v>7443</v>
      </c>
      <c r="AJ37" s="40"/>
      <c r="AK37" s="40">
        <f>AH37*1.05</f>
        <v>7815.150000000001</v>
      </c>
      <c r="AL37" s="40">
        <f t="shared" si="80"/>
        <v>7815.150000000001</v>
      </c>
      <c r="AM37" s="40"/>
      <c r="AN37" s="40">
        <f>AK37*1.05</f>
        <v>8205.907500000001</v>
      </c>
      <c r="AO37" s="40">
        <f t="shared" si="81"/>
        <v>8205.907500000001</v>
      </c>
      <c r="AP37" s="40"/>
      <c r="AQ37" s="40">
        <f>AN37*1.05/2+1</f>
        <v>4309.1014375</v>
      </c>
      <c r="AR37" s="40">
        <f t="shared" si="82"/>
        <v>4309.1014375</v>
      </c>
      <c r="AS37" s="40"/>
      <c r="AT37" s="40"/>
      <c r="AU37" s="40">
        <f t="shared" si="83"/>
        <v>0</v>
      </c>
      <c r="AV37" s="40">
        <f t="shared" si="84"/>
        <v>0</v>
      </c>
      <c r="AW37" s="40">
        <f t="shared" si="85"/>
        <v>28023.158937500004</v>
      </c>
      <c r="AX37" s="40">
        <f t="shared" si="86"/>
        <v>28023.158937500004</v>
      </c>
    </row>
    <row r="38" spans="1:50" s="47" customFormat="1" ht="11.25" outlineLevel="1">
      <c r="A38" s="37" t="s">
        <v>67</v>
      </c>
      <c r="B38" s="38" t="s">
        <v>70</v>
      </c>
      <c r="C38" s="40"/>
      <c r="D38" s="40">
        <v>4967</v>
      </c>
      <c r="E38" s="40">
        <f t="shared" si="61"/>
        <v>4967</v>
      </c>
      <c r="F38" s="40"/>
      <c r="G38" s="40">
        <v>25186</v>
      </c>
      <c r="H38" s="40">
        <f t="shared" si="62"/>
        <v>25186</v>
      </c>
      <c r="I38" s="40">
        <f t="shared" si="63"/>
        <v>0</v>
      </c>
      <c r="J38" s="40">
        <f t="shared" si="64"/>
        <v>7402</v>
      </c>
      <c r="K38" s="40">
        <f t="shared" si="65"/>
        <v>7402</v>
      </c>
      <c r="L38" s="40"/>
      <c r="M38" s="40">
        <v>21846</v>
      </c>
      <c r="N38" s="40">
        <f t="shared" si="66"/>
        <v>21846</v>
      </c>
      <c r="O38" s="40"/>
      <c r="P38" s="40">
        <f>7402+4967</f>
        <v>12369</v>
      </c>
      <c r="Q38" s="40">
        <f t="shared" si="67"/>
        <v>12369</v>
      </c>
      <c r="R38" s="40"/>
      <c r="S38" s="40">
        <f>25186+21846</f>
        <v>47032</v>
      </c>
      <c r="T38" s="40">
        <f t="shared" si="68"/>
        <v>47032</v>
      </c>
      <c r="U38" s="40">
        <f t="shared" si="69"/>
        <v>0</v>
      </c>
      <c r="V38" s="40">
        <f t="shared" si="70"/>
        <v>-34663</v>
      </c>
      <c r="W38" s="40">
        <f t="shared" si="71"/>
        <v>-34663</v>
      </c>
      <c r="X38" s="40"/>
      <c r="Y38" s="40">
        <f>25186+21846+16000</f>
        <v>63032</v>
      </c>
      <c r="Z38" s="40">
        <f t="shared" si="72"/>
        <v>63032</v>
      </c>
      <c r="AA38" s="40">
        <f t="shared" si="73"/>
        <v>0</v>
      </c>
      <c r="AB38" s="40">
        <f t="shared" si="74"/>
        <v>16000</v>
      </c>
      <c r="AC38" s="40">
        <f t="shared" si="75"/>
        <v>16000</v>
      </c>
      <c r="AD38" s="40">
        <f t="shared" si="76"/>
        <v>0</v>
      </c>
      <c r="AE38" s="40">
        <f t="shared" si="77"/>
        <v>37846</v>
      </c>
      <c r="AF38" s="40">
        <f t="shared" si="78"/>
        <v>37846</v>
      </c>
      <c r="AG38" s="40"/>
      <c r="AH38" s="40">
        <v>3000</v>
      </c>
      <c r="AI38" s="40">
        <f t="shared" si="79"/>
        <v>3000</v>
      </c>
      <c r="AJ38" s="40"/>
      <c r="AK38" s="40"/>
      <c r="AL38" s="40">
        <f t="shared" si="80"/>
        <v>0</v>
      </c>
      <c r="AM38" s="40"/>
      <c r="AN38" s="40"/>
      <c r="AO38" s="40">
        <f t="shared" si="81"/>
        <v>0</v>
      </c>
      <c r="AP38" s="40"/>
      <c r="AQ38" s="40"/>
      <c r="AR38" s="40">
        <f t="shared" si="82"/>
        <v>0</v>
      </c>
      <c r="AS38" s="40"/>
      <c r="AT38" s="40"/>
      <c r="AU38" s="40">
        <f t="shared" si="83"/>
        <v>0</v>
      </c>
      <c r="AV38" s="40">
        <f t="shared" si="84"/>
        <v>0</v>
      </c>
      <c r="AW38" s="40">
        <f t="shared" si="85"/>
        <v>66032</v>
      </c>
      <c r="AX38" s="40">
        <f t="shared" si="86"/>
        <v>66032</v>
      </c>
    </row>
    <row r="39" spans="1:50" s="47" customFormat="1" ht="11.25" outlineLevel="1">
      <c r="A39" s="37" t="s">
        <v>67</v>
      </c>
      <c r="B39" s="38" t="s">
        <v>52</v>
      </c>
      <c r="C39" s="40"/>
      <c r="D39" s="40"/>
      <c r="E39" s="40">
        <f t="shared" si="61"/>
        <v>0</v>
      </c>
      <c r="F39" s="40"/>
      <c r="G39" s="40"/>
      <c r="H39" s="40">
        <f t="shared" si="62"/>
        <v>0</v>
      </c>
      <c r="I39" s="40">
        <f t="shared" si="63"/>
        <v>0</v>
      </c>
      <c r="J39" s="40">
        <f t="shared" si="64"/>
        <v>0</v>
      </c>
      <c r="K39" s="40">
        <f t="shared" si="65"/>
        <v>0</v>
      </c>
      <c r="L39" s="40"/>
      <c r="M39" s="40"/>
      <c r="N39" s="40">
        <f t="shared" si="66"/>
        <v>0</v>
      </c>
      <c r="O39" s="40"/>
      <c r="P39" s="40"/>
      <c r="Q39" s="40">
        <f t="shared" si="67"/>
        <v>0</v>
      </c>
      <c r="R39" s="40"/>
      <c r="S39" s="40"/>
      <c r="T39" s="40">
        <f t="shared" si="68"/>
        <v>0</v>
      </c>
      <c r="U39" s="40">
        <f t="shared" si="69"/>
        <v>0</v>
      </c>
      <c r="V39" s="40">
        <f t="shared" si="70"/>
        <v>0</v>
      </c>
      <c r="W39" s="40">
        <f t="shared" si="71"/>
        <v>0</v>
      </c>
      <c r="X39" s="40"/>
      <c r="Y39" s="40">
        <v>100</v>
      </c>
      <c r="Z39" s="40">
        <f t="shared" si="72"/>
        <v>100</v>
      </c>
      <c r="AA39" s="40">
        <f t="shared" si="73"/>
        <v>0</v>
      </c>
      <c r="AB39" s="40">
        <f t="shared" si="74"/>
        <v>100</v>
      </c>
      <c r="AC39" s="40">
        <f t="shared" si="75"/>
        <v>100</v>
      </c>
      <c r="AD39" s="40">
        <f t="shared" si="76"/>
        <v>0</v>
      </c>
      <c r="AE39" s="40">
        <f t="shared" si="77"/>
        <v>100</v>
      </c>
      <c r="AF39" s="40">
        <f t="shared" si="78"/>
        <v>100</v>
      </c>
      <c r="AG39" s="40"/>
      <c r="AH39" s="40">
        <v>400</v>
      </c>
      <c r="AI39" s="40">
        <f t="shared" si="79"/>
        <v>400</v>
      </c>
      <c r="AJ39" s="40"/>
      <c r="AK39" s="40">
        <v>420</v>
      </c>
      <c r="AL39" s="40">
        <f t="shared" si="80"/>
        <v>420</v>
      </c>
      <c r="AM39" s="40"/>
      <c r="AN39" s="40">
        <v>440</v>
      </c>
      <c r="AO39" s="40">
        <f t="shared" si="81"/>
        <v>440</v>
      </c>
      <c r="AP39" s="40"/>
      <c r="AQ39" s="40">
        <v>460</v>
      </c>
      <c r="AR39" s="40">
        <f t="shared" si="82"/>
        <v>460</v>
      </c>
      <c r="AS39" s="40"/>
      <c r="AT39" s="40"/>
      <c r="AU39" s="40">
        <f t="shared" si="83"/>
        <v>0</v>
      </c>
      <c r="AV39" s="40">
        <f t="shared" si="84"/>
        <v>0</v>
      </c>
      <c r="AW39" s="40">
        <f t="shared" si="85"/>
        <v>1820</v>
      </c>
      <c r="AX39" s="40">
        <f t="shared" si="86"/>
        <v>1820</v>
      </c>
    </row>
    <row r="40" spans="1:50" s="47" customFormat="1" ht="11.25" outlineLevel="1">
      <c r="A40" s="37" t="s">
        <v>67</v>
      </c>
      <c r="B40" s="38" t="s">
        <v>65</v>
      </c>
      <c r="C40" s="40"/>
      <c r="D40" s="40"/>
      <c r="E40" s="40">
        <f t="shared" si="61"/>
        <v>0</v>
      </c>
      <c r="F40" s="40"/>
      <c r="G40" s="40"/>
      <c r="H40" s="40">
        <f t="shared" si="62"/>
        <v>0</v>
      </c>
      <c r="I40" s="40">
        <f t="shared" si="63"/>
        <v>0</v>
      </c>
      <c r="J40" s="40">
        <f t="shared" si="64"/>
        <v>0</v>
      </c>
      <c r="K40" s="40">
        <f t="shared" si="65"/>
        <v>0</v>
      </c>
      <c r="L40" s="40"/>
      <c r="M40" s="40"/>
      <c r="N40" s="40">
        <f t="shared" si="66"/>
        <v>0</v>
      </c>
      <c r="O40" s="40"/>
      <c r="P40" s="40"/>
      <c r="Q40" s="40">
        <f t="shared" si="67"/>
        <v>0</v>
      </c>
      <c r="R40" s="40"/>
      <c r="S40" s="40"/>
      <c r="T40" s="40">
        <f t="shared" si="68"/>
        <v>0</v>
      </c>
      <c r="U40" s="40">
        <f t="shared" si="69"/>
        <v>0</v>
      </c>
      <c r="V40" s="40">
        <f t="shared" si="70"/>
        <v>0</v>
      </c>
      <c r="W40" s="40">
        <f t="shared" si="71"/>
        <v>0</v>
      </c>
      <c r="X40" s="40"/>
      <c r="Y40" s="40">
        <f>100</f>
        <v>100</v>
      </c>
      <c r="Z40" s="40">
        <f t="shared" si="72"/>
        <v>100</v>
      </c>
      <c r="AA40" s="40">
        <f t="shared" si="73"/>
        <v>0</v>
      </c>
      <c r="AB40" s="40">
        <f t="shared" si="74"/>
        <v>100</v>
      </c>
      <c r="AC40" s="40">
        <f t="shared" si="75"/>
        <v>100</v>
      </c>
      <c r="AD40" s="40">
        <f t="shared" si="76"/>
        <v>0</v>
      </c>
      <c r="AE40" s="40">
        <f t="shared" si="77"/>
        <v>100</v>
      </c>
      <c r="AF40" s="40">
        <f t="shared" si="78"/>
        <v>100</v>
      </c>
      <c r="AG40" s="40"/>
      <c r="AH40" s="40">
        <v>30</v>
      </c>
      <c r="AI40" s="40">
        <f t="shared" si="79"/>
        <v>30</v>
      </c>
      <c r="AJ40" s="40"/>
      <c r="AK40" s="40">
        <v>30</v>
      </c>
      <c r="AL40" s="40">
        <f t="shared" si="80"/>
        <v>30</v>
      </c>
      <c r="AM40" s="40"/>
      <c r="AN40" s="40">
        <v>30</v>
      </c>
      <c r="AO40" s="40">
        <f t="shared" si="81"/>
        <v>30</v>
      </c>
      <c r="AP40" s="40"/>
      <c r="AQ40" s="40">
        <v>30</v>
      </c>
      <c r="AR40" s="40">
        <f t="shared" si="82"/>
        <v>30</v>
      </c>
      <c r="AS40" s="40"/>
      <c r="AT40" s="40"/>
      <c r="AU40" s="40">
        <f t="shared" si="83"/>
        <v>0</v>
      </c>
      <c r="AV40" s="40">
        <f t="shared" si="84"/>
        <v>0</v>
      </c>
      <c r="AW40" s="40">
        <f t="shared" si="85"/>
        <v>220</v>
      </c>
      <c r="AX40" s="40">
        <f t="shared" si="86"/>
        <v>220</v>
      </c>
    </row>
    <row r="41" spans="1:50" s="47" customFormat="1" ht="11.25" outlineLevel="1">
      <c r="A41" s="37" t="s">
        <v>67</v>
      </c>
      <c r="B41" s="38" t="s">
        <v>54</v>
      </c>
      <c r="C41" s="40"/>
      <c r="D41" s="40"/>
      <c r="E41" s="40">
        <f t="shared" si="61"/>
        <v>0</v>
      </c>
      <c r="F41" s="40"/>
      <c r="G41" s="40"/>
      <c r="H41" s="40">
        <f t="shared" si="62"/>
        <v>0</v>
      </c>
      <c r="I41" s="40">
        <f t="shared" si="63"/>
        <v>0</v>
      </c>
      <c r="J41" s="40">
        <f t="shared" si="64"/>
        <v>0</v>
      </c>
      <c r="K41" s="40">
        <f t="shared" si="65"/>
        <v>0</v>
      </c>
      <c r="L41" s="40"/>
      <c r="M41" s="40"/>
      <c r="N41" s="40">
        <f t="shared" si="66"/>
        <v>0</v>
      </c>
      <c r="O41" s="40"/>
      <c r="P41" s="40"/>
      <c r="Q41" s="40">
        <f t="shared" si="67"/>
        <v>0</v>
      </c>
      <c r="R41" s="40"/>
      <c r="S41" s="40"/>
      <c r="T41" s="40">
        <f t="shared" si="68"/>
        <v>0</v>
      </c>
      <c r="U41" s="40">
        <f t="shared" si="69"/>
        <v>0</v>
      </c>
      <c r="V41" s="40">
        <f t="shared" si="70"/>
        <v>0</v>
      </c>
      <c r="W41" s="40">
        <f t="shared" si="71"/>
        <v>0</v>
      </c>
      <c r="X41" s="40"/>
      <c r="Y41" s="40"/>
      <c r="Z41" s="40">
        <f t="shared" si="72"/>
        <v>0</v>
      </c>
      <c r="AA41" s="40">
        <f t="shared" si="73"/>
        <v>0</v>
      </c>
      <c r="AB41" s="40">
        <f t="shared" si="74"/>
        <v>0</v>
      </c>
      <c r="AC41" s="40">
        <f t="shared" si="75"/>
        <v>0</v>
      </c>
      <c r="AD41" s="40">
        <f t="shared" si="76"/>
        <v>0</v>
      </c>
      <c r="AE41" s="40">
        <f t="shared" si="77"/>
        <v>0</v>
      </c>
      <c r="AF41" s="40">
        <f t="shared" si="78"/>
        <v>0</v>
      </c>
      <c r="AG41" s="40"/>
      <c r="AH41" s="40">
        <v>650</v>
      </c>
      <c r="AI41" s="40">
        <f t="shared" si="79"/>
        <v>650</v>
      </c>
      <c r="AJ41" s="40"/>
      <c r="AK41" s="40">
        <v>650</v>
      </c>
      <c r="AL41" s="40">
        <f t="shared" si="80"/>
        <v>650</v>
      </c>
      <c r="AM41" s="40"/>
      <c r="AN41" s="40">
        <v>650</v>
      </c>
      <c r="AO41" s="40">
        <f t="shared" si="81"/>
        <v>650</v>
      </c>
      <c r="AP41" s="40"/>
      <c r="AQ41" s="40">
        <v>650</v>
      </c>
      <c r="AR41" s="40">
        <f t="shared" si="82"/>
        <v>650</v>
      </c>
      <c r="AS41" s="40"/>
      <c r="AT41" s="40"/>
      <c r="AU41" s="40">
        <f t="shared" si="83"/>
        <v>0</v>
      </c>
      <c r="AV41" s="40">
        <f t="shared" si="84"/>
        <v>0</v>
      </c>
      <c r="AW41" s="40">
        <f t="shared" si="85"/>
        <v>2600</v>
      </c>
      <c r="AX41" s="40">
        <f t="shared" si="86"/>
        <v>2600</v>
      </c>
    </row>
    <row r="42" spans="1:50" s="47" customFormat="1" ht="11.25" outlineLevel="1">
      <c r="A42" s="37" t="s">
        <v>67</v>
      </c>
      <c r="B42" s="38" t="s">
        <v>71</v>
      </c>
      <c r="C42" s="40"/>
      <c r="D42" s="40"/>
      <c r="E42" s="40">
        <f t="shared" si="61"/>
        <v>0</v>
      </c>
      <c r="F42" s="40"/>
      <c r="G42" s="40"/>
      <c r="H42" s="40">
        <f t="shared" si="62"/>
        <v>0</v>
      </c>
      <c r="I42" s="40">
        <f t="shared" si="63"/>
        <v>0</v>
      </c>
      <c r="J42" s="40">
        <f t="shared" si="64"/>
        <v>0</v>
      </c>
      <c r="K42" s="40">
        <f t="shared" si="65"/>
        <v>0</v>
      </c>
      <c r="L42" s="40"/>
      <c r="M42" s="40"/>
      <c r="N42" s="40">
        <f t="shared" si="66"/>
        <v>0</v>
      </c>
      <c r="O42" s="40"/>
      <c r="P42" s="40"/>
      <c r="Q42" s="40">
        <f t="shared" si="67"/>
        <v>0</v>
      </c>
      <c r="R42" s="40"/>
      <c r="S42" s="40"/>
      <c r="T42" s="40">
        <f t="shared" si="68"/>
        <v>0</v>
      </c>
      <c r="U42" s="40">
        <f t="shared" si="69"/>
        <v>0</v>
      </c>
      <c r="V42" s="40">
        <f t="shared" si="70"/>
        <v>0</v>
      </c>
      <c r="W42" s="40">
        <f t="shared" si="71"/>
        <v>0</v>
      </c>
      <c r="X42" s="40"/>
      <c r="Y42" s="40"/>
      <c r="Z42" s="40">
        <f t="shared" si="72"/>
        <v>0</v>
      </c>
      <c r="AA42" s="40">
        <f t="shared" si="73"/>
        <v>0</v>
      </c>
      <c r="AB42" s="40">
        <f t="shared" si="74"/>
        <v>0</v>
      </c>
      <c r="AC42" s="40">
        <f t="shared" si="75"/>
        <v>0</v>
      </c>
      <c r="AD42" s="40">
        <f t="shared" si="76"/>
        <v>0</v>
      </c>
      <c r="AE42" s="40">
        <f t="shared" si="77"/>
        <v>0</v>
      </c>
      <c r="AF42" s="40">
        <f t="shared" si="78"/>
        <v>0</v>
      </c>
      <c r="AG42" s="40"/>
      <c r="AH42" s="40"/>
      <c r="AI42" s="40">
        <f t="shared" si="79"/>
        <v>0</v>
      </c>
      <c r="AJ42" s="40"/>
      <c r="AK42" s="40"/>
      <c r="AL42" s="40">
        <f t="shared" si="80"/>
        <v>0</v>
      </c>
      <c r="AM42" s="40"/>
      <c r="AN42" s="40"/>
      <c r="AO42" s="40">
        <f t="shared" si="81"/>
        <v>0</v>
      </c>
      <c r="AP42" s="40"/>
      <c r="AQ42" s="40"/>
      <c r="AR42" s="40">
        <f t="shared" si="82"/>
        <v>0</v>
      </c>
      <c r="AS42" s="40"/>
      <c r="AT42" s="40"/>
      <c r="AU42" s="40">
        <f t="shared" si="83"/>
        <v>0</v>
      </c>
      <c r="AV42" s="40">
        <f t="shared" si="84"/>
        <v>0</v>
      </c>
      <c r="AW42" s="40">
        <f t="shared" si="85"/>
        <v>0</v>
      </c>
      <c r="AX42" s="40">
        <f t="shared" si="86"/>
        <v>0</v>
      </c>
    </row>
    <row r="43" spans="1:50" s="47" customFormat="1" ht="11.25" outlineLevel="1">
      <c r="A43" s="37" t="s">
        <v>67</v>
      </c>
      <c r="B43" s="38" t="s">
        <v>72</v>
      </c>
      <c r="C43" s="40"/>
      <c r="D43" s="40"/>
      <c r="E43" s="40">
        <f t="shared" si="61"/>
        <v>0</v>
      </c>
      <c r="F43" s="40"/>
      <c r="G43" s="40"/>
      <c r="H43" s="40">
        <f t="shared" si="62"/>
        <v>0</v>
      </c>
      <c r="I43" s="40">
        <f t="shared" si="63"/>
        <v>0</v>
      </c>
      <c r="J43" s="40">
        <f t="shared" si="64"/>
        <v>0</v>
      </c>
      <c r="K43" s="40">
        <f t="shared" si="65"/>
        <v>0</v>
      </c>
      <c r="L43" s="40"/>
      <c r="M43" s="40"/>
      <c r="N43" s="40">
        <f t="shared" si="66"/>
        <v>0</v>
      </c>
      <c r="O43" s="40"/>
      <c r="P43" s="40"/>
      <c r="Q43" s="40">
        <f t="shared" si="67"/>
        <v>0</v>
      </c>
      <c r="R43" s="40"/>
      <c r="S43" s="40"/>
      <c r="T43" s="40">
        <f t="shared" si="68"/>
        <v>0</v>
      </c>
      <c r="U43" s="40">
        <f t="shared" si="69"/>
        <v>0</v>
      </c>
      <c r="V43" s="40">
        <f t="shared" si="70"/>
        <v>0</v>
      </c>
      <c r="W43" s="40">
        <f t="shared" si="71"/>
        <v>0</v>
      </c>
      <c r="X43" s="40"/>
      <c r="Y43" s="40"/>
      <c r="Z43" s="40">
        <f t="shared" si="72"/>
        <v>0</v>
      </c>
      <c r="AA43" s="40">
        <f t="shared" si="73"/>
        <v>0</v>
      </c>
      <c r="AB43" s="40">
        <f t="shared" si="74"/>
        <v>0</v>
      </c>
      <c r="AC43" s="40">
        <f t="shared" si="75"/>
        <v>0</v>
      </c>
      <c r="AD43" s="40">
        <f t="shared" si="76"/>
        <v>0</v>
      </c>
      <c r="AE43" s="40">
        <f t="shared" si="77"/>
        <v>0</v>
      </c>
      <c r="AF43" s="40">
        <f t="shared" si="78"/>
        <v>0</v>
      </c>
      <c r="AG43" s="40"/>
      <c r="AH43" s="40"/>
      <c r="AI43" s="40">
        <f t="shared" si="79"/>
        <v>0</v>
      </c>
      <c r="AJ43" s="40"/>
      <c r="AK43" s="40"/>
      <c r="AL43" s="40">
        <f t="shared" si="80"/>
        <v>0</v>
      </c>
      <c r="AM43" s="40"/>
      <c r="AN43" s="40"/>
      <c r="AO43" s="40">
        <f t="shared" si="81"/>
        <v>0</v>
      </c>
      <c r="AP43" s="40"/>
      <c r="AQ43" s="40"/>
      <c r="AR43" s="40">
        <f t="shared" si="82"/>
        <v>0</v>
      </c>
      <c r="AS43" s="40"/>
      <c r="AT43" s="40"/>
      <c r="AU43" s="40">
        <f t="shared" si="83"/>
        <v>0</v>
      </c>
      <c r="AV43" s="40">
        <f t="shared" si="84"/>
        <v>0</v>
      </c>
      <c r="AW43" s="40">
        <f t="shared" si="85"/>
        <v>0</v>
      </c>
      <c r="AX43" s="40">
        <f t="shared" si="86"/>
        <v>0</v>
      </c>
    </row>
    <row r="44" spans="1:50" s="47" customFormat="1" ht="11.25" outlineLevel="1">
      <c r="A44" s="37" t="s">
        <v>67</v>
      </c>
      <c r="B44" s="38" t="s">
        <v>73</v>
      </c>
      <c r="C44" s="40"/>
      <c r="D44" s="40"/>
      <c r="E44" s="40">
        <f t="shared" si="61"/>
        <v>0</v>
      </c>
      <c r="F44" s="40"/>
      <c r="G44" s="40"/>
      <c r="H44" s="40">
        <f t="shared" si="62"/>
        <v>0</v>
      </c>
      <c r="I44" s="40">
        <f t="shared" si="63"/>
        <v>0</v>
      </c>
      <c r="J44" s="40">
        <f t="shared" si="64"/>
        <v>0</v>
      </c>
      <c r="K44" s="40">
        <f t="shared" si="65"/>
        <v>0</v>
      </c>
      <c r="L44" s="40"/>
      <c r="M44" s="40"/>
      <c r="N44" s="40">
        <f t="shared" si="66"/>
        <v>0</v>
      </c>
      <c r="O44" s="40"/>
      <c r="P44" s="40"/>
      <c r="Q44" s="40">
        <f t="shared" si="67"/>
        <v>0</v>
      </c>
      <c r="R44" s="40"/>
      <c r="S44" s="40"/>
      <c r="T44" s="40">
        <f t="shared" si="68"/>
        <v>0</v>
      </c>
      <c r="U44" s="40">
        <f t="shared" si="69"/>
        <v>0</v>
      </c>
      <c r="V44" s="40">
        <f t="shared" si="70"/>
        <v>0</v>
      </c>
      <c r="W44" s="40">
        <f t="shared" si="71"/>
        <v>0</v>
      </c>
      <c r="X44" s="40"/>
      <c r="Y44" s="40"/>
      <c r="Z44" s="40">
        <f t="shared" si="72"/>
        <v>0</v>
      </c>
      <c r="AA44" s="40">
        <f t="shared" si="73"/>
        <v>0</v>
      </c>
      <c r="AB44" s="40">
        <f t="shared" si="74"/>
        <v>0</v>
      </c>
      <c r="AC44" s="40">
        <f t="shared" si="75"/>
        <v>0</v>
      </c>
      <c r="AD44" s="40">
        <f t="shared" si="76"/>
        <v>0</v>
      </c>
      <c r="AE44" s="40">
        <f t="shared" si="77"/>
        <v>0</v>
      </c>
      <c r="AF44" s="40">
        <f t="shared" si="78"/>
        <v>0</v>
      </c>
      <c r="AG44" s="40"/>
      <c r="AH44" s="40"/>
      <c r="AI44" s="40">
        <f t="shared" si="79"/>
        <v>0</v>
      </c>
      <c r="AJ44" s="40"/>
      <c r="AK44" s="40"/>
      <c r="AL44" s="40">
        <f t="shared" si="80"/>
        <v>0</v>
      </c>
      <c r="AM44" s="40"/>
      <c r="AN44" s="40"/>
      <c r="AO44" s="40">
        <f t="shared" si="81"/>
        <v>0</v>
      </c>
      <c r="AP44" s="40"/>
      <c r="AQ44" s="40"/>
      <c r="AR44" s="40">
        <f t="shared" si="82"/>
        <v>0</v>
      </c>
      <c r="AS44" s="40"/>
      <c r="AT44" s="40"/>
      <c r="AU44" s="40">
        <f t="shared" si="83"/>
        <v>0</v>
      </c>
      <c r="AV44" s="40">
        <f t="shared" si="84"/>
        <v>0</v>
      </c>
      <c r="AW44" s="40">
        <f t="shared" si="85"/>
        <v>0</v>
      </c>
      <c r="AX44" s="40">
        <f t="shared" si="86"/>
        <v>0</v>
      </c>
    </row>
    <row r="45" spans="1:50" s="47" customFormat="1" ht="11.25" outlineLevel="1">
      <c r="A45" s="37" t="s">
        <v>67</v>
      </c>
      <c r="B45" s="38" t="s">
        <v>55</v>
      </c>
      <c r="C45" s="40">
        <v>53780</v>
      </c>
      <c r="D45" s="40"/>
      <c r="E45" s="40">
        <f t="shared" si="61"/>
        <v>53780</v>
      </c>
      <c r="F45" s="40"/>
      <c r="G45" s="40"/>
      <c r="H45" s="40">
        <f t="shared" si="62"/>
        <v>0</v>
      </c>
      <c r="I45" s="40">
        <f t="shared" si="63"/>
        <v>19828</v>
      </c>
      <c r="J45" s="40">
        <f t="shared" si="64"/>
        <v>0</v>
      </c>
      <c r="K45" s="40">
        <f t="shared" si="65"/>
        <v>19828</v>
      </c>
      <c r="L45" s="40">
        <v>701</v>
      </c>
      <c r="M45" s="40"/>
      <c r="N45" s="40">
        <f t="shared" si="66"/>
        <v>701</v>
      </c>
      <c r="O45" s="40">
        <f>53780+140684-83802-15305-21749</f>
        <v>73608</v>
      </c>
      <c r="P45" s="40">
        <f>6454-6454</f>
        <v>0</v>
      </c>
      <c r="Q45" s="40">
        <f t="shared" si="67"/>
        <v>73608</v>
      </c>
      <c r="R45" s="40">
        <f>701</f>
        <v>701</v>
      </c>
      <c r="S45" s="40"/>
      <c r="T45" s="40">
        <f t="shared" si="68"/>
        <v>701</v>
      </c>
      <c r="U45" s="40">
        <f t="shared" si="69"/>
        <v>72907</v>
      </c>
      <c r="V45" s="40">
        <f t="shared" si="70"/>
        <v>0</v>
      </c>
      <c r="W45" s="40">
        <f t="shared" si="71"/>
        <v>72907</v>
      </c>
      <c r="X45" s="40"/>
      <c r="Y45" s="40"/>
      <c r="Z45" s="40">
        <f t="shared" si="72"/>
        <v>0</v>
      </c>
      <c r="AA45" s="40">
        <f t="shared" si="73"/>
        <v>-701</v>
      </c>
      <c r="AB45" s="40">
        <f t="shared" si="74"/>
        <v>0</v>
      </c>
      <c r="AC45" s="40">
        <f t="shared" si="75"/>
        <v>-701</v>
      </c>
      <c r="AD45" s="40">
        <f t="shared" si="76"/>
        <v>0</v>
      </c>
      <c r="AE45" s="40">
        <f t="shared" si="77"/>
        <v>0</v>
      </c>
      <c r="AF45" s="40">
        <f t="shared" si="78"/>
        <v>0</v>
      </c>
      <c r="AG45" s="40"/>
      <c r="AH45" s="40"/>
      <c r="AI45" s="40">
        <f t="shared" si="79"/>
        <v>0</v>
      </c>
      <c r="AJ45" s="40"/>
      <c r="AK45" s="40"/>
      <c r="AL45" s="40">
        <f t="shared" si="80"/>
        <v>0</v>
      </c>
      <c r="AM45" s="40"/>
      <c r="AN45" s="40"/>
      <c r="AO45" s="40">
        <f t="shared" si="81"/>
        <v>0</v>
      </c>
      <c r="AP45" s="40"/>
      <c r="AQ45" s="40"/>
      <c r="AR45" s="40">
        <f t="shared" si="82"/>
        <v>0</v>
      </c>
      <c r="AS45" s="40"/>
      <c r="AT45" s="40"/>
      <c r="AU45" s="40">
        <f t="shared" si="83"/>
        <v>0</v>
      </c>
      <c r="AV45" s="40">
        <f t="shared" si="84"/>
        <v>0</v>
      </c>
      <c r="AW45" s="40">
        <f t="shared" si="85"/>
        <v>0</v>
      </c>
      <c r="AX45" s="40">
        <f t="shared" si="86"/>
        <v>0</v>
      </c>
    </row>
    <row r="46" spans="1:50" s="47" customFormat="1" ht="11.25" outlineLevel="1">
      <c r="A46" s="37" t="s">
        <v>67</v>
      </c>
      <c r="B46" s="38" t="s">
        <v>56</v>
      </c>
      <c r="C46" s="40"/>
      <c r="D46" s="40"/>
      <c r="E46" s="40">
        <f t="shared" si="61"/>
        <v>0</v>
      </c>
      <c r="F46" s="40"/>
      <c r="G46" s="40"/>
      <c r="H46" s="40">
        <f t="shared" si="62"/>
        <v>0</v>
      </c>
      <c r="I46" s="40">
        <f t="shared" si="63"/>
        <v>0</v>
      </c>
      <c r="J46" s="40">
        <f t="shared" si="64"/>
        <v>-8856</v>
      </c>
      <c r="K46" s="40">
        <f t="shared" si="65"/>
        <v>-8856</v>
      </c>
      <c r="L46" s="40"/>
      <c r="M46" s="40"/>
      <c r="N46" s="40">
        <f t="shared" si="66"/>
        <v>0</v>
      </c>
      <c r="O46" s="40"/>
      <c r="P46" s="40">
        <f>-1454-7402</f>
        <v>-8856</v>
      </c>
      <c r="Q46" s="40">
        <f t="shared" si="67"/>
        <v>-8856</v>
      </c>
      <c r="R46" s="40"/>
      <c r="S46" s="40"/>
      <c r="T46" s="40">
        <f t="shared" si="68"/>
        <v>0</v>
      </c>
      <c r="U46" s="40">
        <f t="shared" si="69"/>
        <v>0</v>
      </c>
      <c r="V46" s="40">
        <f t="shared" si="70"/>
        <v>-8856</v>
      </c>
      <c r="W46" s="40">
        <f t="shared" si="71"/>
        <v>-8856</v>
      </c>
      <c r="X46" s="40"/>
      <c r="Y46" s="40"/>
      <c r="Z46" s="40">
        <f t="shared" si="72"/>
        <v>0</v>
      </c>
      <c r="AA46" s="40">
        <f t="shared" si="73"/>
        <v>0</v>
      </c>
      <c r="AB46" s="40">
        <f t="shared" si="74"/>
        <v>0</v>
      </c>
      <c r="AC46" s="40">
        <f t="shared" si="75"/>
        <v>0</v>
      </c>
      <c r="AD46" s="40">
        <f t="shared" si="76"/>
        <v>0</v>
      </c>
      <c r="AE46" s="40">
        <f t="shared" si="77"/>
        <v>0</v>
      </c>
      <c r="AF46" s="40">
        <f t="shared" si="78"/>
        <v>0</v>
      </c>
      <c r="AG46" s="40"/>
      <c r="AH46" s="40"/>
      <c r="AI46" s="40">
        <f t="shared" si="79"/>
        <v>0</v>
      </c>
      <c r="AJ46" s="40"/>
      <c r="AK46" s="40"/>
      <c r="AL46" s="40">
        <f t="shared" si="80"/>
        <v>0</v>
      </c>
      <c r="AM46" s="40"/>
      <c r="AN46" s="40"/>
      <c r="AO46" s="40">
        <f t="shared" si="81"/>
        <v>0</v>
      </c>
      <c r="AP46" s="40"/>
      <c r="AQ46" s="40"/>
      <c r="AR46" s="40">
        <f t="shared" si="82"/>
        <v>0</v>
      </c>
      <c r="AS46" s="40"/>
      <c r="AT46" s="40"/>
      <c r="AU46" s="40">
        <f t="shared" si="83"/>
        <v>0</v>
      </c>
      <c r="AV46" s="40">
        <f t="shared" si="84"/>
        <v>0</v>
      </c>
      <c r="AW46" s="40">
        <f t="shared" si="85"/>
        <v>0</v>
      </c>
      <c r="AX46" s="40">
        <f t="shared" si="86"/>
        <v>0</v>
      </c>
    </row>
    <row r="47" spans="1:53" s="46" customFormat="1" ht="12.75">
      <c r="A47" s="43" t="s">
        <v>67</v>
      </c>
      <c r="B47" s="44" t="s">
        <v>7</v>
      </c>
      <c r="C47" s="45">
        <f aca="true" t="shared" si="87" ref="C47:AX47">SUM(C32:C46)</f>
        <v>53780</v>
      </c>
      <c r="D47" s="45">
        <f t="shared" si="87"/>
        <v>4967</v>
      </c>
      <c r="E47" s="45">
        <f t="shared" si="87"/>
        <v>58747</v>
      </c>
      <c r="F47" s="45">
        <f t="shared" si="87"/>
        <v>21749</v>
      </c>
      <c r="G47" s="45">
        <f t="shared" si="87"/>
        <v>25429</v>
      </c>
      <c r="H47" s="45">
        <f t="shared" si="87"/>
        <v>47178</v>
      </c>
      <c r="I47" s="45">
        <f t="shared" si="87"/>
        <v>140684</v>
      </c>
      <c r="J47" s="45">
        <f t="shared" si="87"/>
        <v>5000</v>
      </c>
      <c r="K47" s="45">
        <f t="shared" si="87"/>
        <v>145684</v>
      </c>
      <c r="L47" s="45">
        <f t="shared" si="87"/>
        <v>99808</v>
      </c>
      <c r="M47" s="45">
        <f t="shared" si="87"/>
        <v>29159</v>
      </c>
      <c r="N47" s="45">
        <f t="shared" si="87"/>
        <v>128967</v>
      </c>
      <c r="O47" s="45">
        <f t="shared" si="87"/>
        <v>194464</v>
      </c>
      <c r="P47" s="45">
        <f t="shared" si="87"/>
        <v>9967</v>
      </c>
      <c r="Q47" s="45">
        <f t="shared" si="87"/>
        <v>204431</v>
      </c>
      <c r="R47" s="45">
        <f t="shared" si="87"/>
        <v>121557</v>
      </c>
      <c r="S47" s="45">
        <f t="shared" si="87"/>
        <v>54588</v>
      </c>
      <c r="T47" s="45">
        <f t="shared" si="87"/>
        <v>176145</v>
      </c>
      <c r="U47" s="45">
        <f t="shared" si="87"/>
        <v>72907</v>
      </c>
      <c r="V47" s="45">
        <f t="shared" si="87"/>
        <v>-44621</v>
      </c>
      <c r="W47" s="45">
        <f t="shared" si="87"/>
        <v>28286</v>
      </c>
      <c r="X47" s="45">
        <f t="shared" si="87"/>
        <v>659199</v>
      </c>
      <c r="Y47" s="45">
        <f t="shared" si="87"/>
        <v>71038</v>
      </c>
      <c r="Z47" s="45">
        <f t="shared" si="87"/>
        <v>730237</v>
      </c>
      <c r="AA47" s="45">
        <f t="shared" si="87"/>
        <v>537642</v>
      </c>
      <c r="AB47" s="45">
        <f t="shared" si="87"/>
        <v>16450</v>
      </c>
      <c r="AC47" s="45">
        <f t="shared" si="87"/>
        <v>554092</v>
      </c>
      <c r="AD47" s="45">
        <f t="shared" si="87"/>
        <v>637450</v>
      </c>
      <c r="AE47" s="45">
        <f t="shared" si="87"/>
        <v>45609</v>
      </c>
      <c r="AF47" s="45">
        <f t="shared" si="87"/>
        <v>683059</v>
      </c>
      <c r="AG47" s="45">
        <f t="shared" si="87"/>
        <v>3450</v>
      </c>
      <c r="AH47" s="45">
        <f t="shared" si="87"/>
        <v>18214</v>
      </c>
      <c r="AI47" s="45">
        <f t="shared" si="87"/>
        <v>21664</v>
      </c>
      <c r="AJ47" s="45">
        <f t="shared" si="87"/>
        <v>0</v>
      </c>
      <c r="AK47" s="45">
        <f t="shared" si="87"/>
        <v>16275.25</v>
      </c>
      <c r="AL47" s="45">
        <f t="shared" si="87"/>
        <v>16275.25</v>
      </c>
      <c r="AM47" s="45">
        <f t="shared" si="87"/>
        <v>0</v>
      </c>
      <c r="AN47" s="45">
        <f t="shared" si="87"/>
        <v>17422.0175</v>
      </c>
      <c r="AO47" s="45">
        <f t="shared" si="87"/>
        <v>17422.0175</v>
      </c>
      <c r="AP47" s="45">
        <f t="shared" si="87"/>
        <v>0</v>
      </c>
      <c r="AQ47" s="45">
        <f t="shared" si="87"/>
        <v>9903.961937500002</v>
      </c>
      <c r="AR47" s="45">
        <f t="shared" si="87"/>
        <v>9903.961937500002</v>
      </c>
      <c r="AS47" s="45">
        <f t="shared" si="87"/>
        <v>0</v>
      </c>
      <c r="AT47" s="45">
        <f t="shared" si="87"/>
        <v>0</v>
      </c>
      <c r="AU47" s="45">
        <f t="shared" si="87"/>
        <v>0</v>
      </c>
      <c r="AV47" s="45">
        <f t="shared" si="87"/>
        <v>662649</v>
      </c>
      <c r="AW47" s="45">
        <f t="shared" si="87"/>
        <v>132853.2294375</v>
      </c>
      <c r="AX47" s="45">
        <f t="shared" si="87"/>
        <v>795502.2294375</v>
      </c>
      <c r="AZ47" s="49"/>
      <c r="BA47" s="49"/>
    </row>
    <row r="48" spans="1:50" s="46" customFormat="1" ht="12.75">
      <c r="A48" s="43" t="s">
        <v>74</v>
      </c>
      <c r="B48" s="44" t="s">
        <v>75</v>
      </c>
      <c r="C48" s="45">
        <v>15943</v>
      </c>
      <c r="D48" s="45">
        <v>0</v>
      </c>
      <c r="E48" s="45">
        <f aca="true" t="shared" si="88" ref="E48:E56">C48+D48</f>
        <v>15943</v>
      </c>
      <c r="F48" s="45">
        <v>14535</v>
      </c>
      <c r="G48" s="45">
        <v>0</v>
      </c>
      <c r="H48" s="45">
        <f aca="true" t="shared" si="89" ref="H48:H56">F48+G48</f>
        <v>14535</v>
      </c>
      <c r="I48" s="45">
        <f aca="true" t="shared" si="90" ref="I48:I56">O48-C48</f>
        <v>0</v>
      </c>
      <c r="J48" s="45">
        <f aca="true" t="shared" si="91" ref="J48:J56">P48-D48</f>
        <v>0</v>
      </c>
      <c r="K48" s="45">
        <f aca="true" t="shared" si="92" ref="K48:K56">I48+J48</f>
        <v>0</v>
      </c>
      <c r="L48" s="45">
        <v>0</v>
      </c>
      <c r="M48" s="45">
        <v>0</v>
      </c>
      <c r="N48" s="45">
        <f aca="true" t="shared" si="93" ref="N48:N56">L48+M48</f>
        <v>0</v>
      </c>
      <c r="O48" s="45">
        <v>15943</v>
      </c>
      <c r="P48" s="45">
        <v>0</v>
      </c>
      <c r="Q48" s="45">
        <f aca="true" t="shared" si="94" ref="Q48:Q56">O48+P48</f>
        <v>15943</v>
      </c>
      <c r="R48" s="45">
        <v>14535</v>
      </c>
      <c r="S48" s="45"/>
      <c r="T48" s="45">
        <f aca="true" t="shared" si="95" ref="T48:T56">R48+S48</f>
        <v>14535</v>
      </c>
      <c r="U48" s="45">
        <f aca="true" t="shared" si="96" ref="U48:U56">O48-R48</f>
        <v>1408</v>
      </c>
      <c r="V48" s="45">
        <f aca="true" t="shared" si="97" ref="V48:V56">P48-S48</f>
        <v>0</v>
      </c>
      <c r="W48" s="45">
        <f aca="true" t="shared" si="98" ref="W48:W56">U48+V48</f>
        <v>1408</v>
      </c>
      <c r="X48" s="45">
        <v>14535</v>
      </c>
      <c r="Y48" s="45">
        <v>0</v>
      </c>
      <c r="Z48" s="45">
        <f aca="true" t="shared" si="99" ref="Z48:Z56">X48+Y48</f>
        <v>14535</v>
      </c>
      <c r="AA48" s="45">
        <f aca="true" t="shared" si="100" ref="AA48:AA56">X48-R48</f>
        <v>0</v>
      </c>
      <c r="AB48" s="45">
        <f aca="true" t="shared" si="101" ref="AB48:AB56">Y48-S48</f>
        <v>0</v>
      </c>
      <c r="AC48" s="45">
        <f aca="true" t="shared" si="102" ref="AC48:AC56">AA48+AB48</f>
        <v>0</v>
      </c>
      <c r="AD48" s="45">
        <f aca="true" t="shared" si="103" ref="AD48:AD56">L48+AA48</f>
        <v>0</v>
      </c>
      <c r="AE48" s="45">
        <f aca="true" t="shared" si="104" ref="AE48:AE56">M48+AB48</f>
        <v>0</v>
      </c>
      <c r="AF48" s="45">
        <f aca="true" t="shared" si="105" ref="AF48:AF56">AD48+AE48</f>
        <v>0</v>
      </c>
      <c r="AG48" s="45">
        <v>0</v>
      </c>
      <c r="AH48" s="45">
        <v>0</v>
      </c>
      <c r="AI48" s="45">
        <f aca="true" t="shared" si="106" ref="AI48:AI56">AG48+AH48</f>
        <v>0</v>
      </c>
      <c r="AJ48" s="45">
        <v>0</v>
      </c>
      <c r="AK48" s="45">
        <v>0</v>
      </c>
      <c r="AL48" s="45">
        <f aca="true" t="shared" si="107" ref="AL48:AL56">AJ48+AK48</f>
        <v>0</v>
      </c>
      <c r="AM48" s="45">
        <v>0</v>
      </c>
      <c r="AN48" s="45">
        <v>0</v>
      </c>
      <c r="AO48" s="45">
        <f aca="true" t="shared" si="108" ref="AO48:AO56">AM48+AN48</f>
        <v>0</v>
      </c>
      <c r="AP48" s="45">
        <v>0</v>
      </c>
      <c r="AQ48" s="45">
        <v>0</v>
      </c>
      <c r="AR48" s="45">
        <f aca="true" t="shared" si="109" ref="AR48:AR56">AP48+AQ48</f>
        <v>0</v>
      </c>
      <c r="AS48" s="45">
        <v>0</v>
      </c>
      <c r="AT48" s="45">
        <v>0</v>
      </c>
      <c r="AU48" s="45">
        <f aca="true" t="shared" si="110" ref="AU48:AU56">AS48+AT48</f>
        <v>0</v>
      </c>
      <c r="AV48" s="45">
        <f aca="true" t="shared" si="111" ref="AV48:AV56">SUM(AS48,AP48,AM48,AJ48,AG48,X48)</f>
        <v>14535</v>
      </c>
      <c r="AW48" s="45">
        <f aca="true" t="shared" si="112" ref="AW48:AW56">SUM(AT48,AQ48,AN48,AK48,AH48,Y48)</f>
        <v>0</v>
      </c>
      <c r="AX48" s="45">
        <f aca="true" t="shared" si="113" ref="AX48:AX56">AV48+AW48</f>
        <v>14535</v>
      </c>
    </row>
    <row r="49" spans="1:50" s="47" customFormat="1" ht="11.25" outlineLevel="1">
      <c r="A49" s="37" t="s">
        <v>76</v>
      </c>
      <c r="B49" s="38" t="s">
        <v>49</v>
      </c>
      <c r="C49" s="48"/>
      <c r="D49" s="48"/>
      <c r="E49" s="48">
        <f t="shared" si="88"/>
        <v>0</v>
      </c>
      <c r="F49" s="48">
        <v>595</v>
      </c>
      <c r="G49" s="48">
        <v>11</v>
      </c>
      <c r="H49" s="48">
        <f t="shared" si="89"/>
        <v>606</v>
      </c>
      <c r="I49" s="48">
        <f t="shared" si="90"/>
        <v>652</v>
      </c>
      <c r="J49" s="48">
        <f t="shared" si="91"/>
        <v>0</v>
      </c>
      <c r="K49" s="48">
        <f t="shared" si="92"/>
        <v>652</v>
      </c>
      <c r="L49" s="48">
        <v>46</v>
      </c>
      <c r="M49" s="48"/>
      <c r="N49" s="48">
        <f t="shared" si="93"/>
        <v>46</v>
      </c>
      <c r="O49" s="48">
        <v>652</v>
      </c>
      <c r="P49" s="48"/>
      <c r="Q49" s="48">
        <f t="shared" si="94"/>
        <v>652</v>
      </c>
      <c r="R49" s="48">
        <f>595+46</f>
        <v>641</v>
      </c>
      <c r="S49" s="48">
        <v>11</v>
      </c>
      <c r="T49" s="48">
        <f t="shared" si="95"/>
        <v>652</v>
      </c>
      <c r="U49" s="48">
        <f t="shared" si="96"/>
        <v>11</v>
      </c>
      <c r="V49" s="48">
        <f t="shared" si="97"/>
        <v>-11</v>
      </c>
      <c r="W49" s="48">
        <f t="shared" si="98"/>
        <v>0</v>
      </c>
      <c r="X49" s="48">
        <v>641</v>
      </c>
      <c r="Y49" s="48">
        <v>11</v>
      </c>
      <c r="Z49" s="48">
        <f t="shared" si="99"/>
        <v>652</v>
      </c>
      <c r="AA49" s="48">
        <f t="shared" si="100"/>
        <v>0</v>
      </c>
      <c r="AB49" s="48">
        <f t="shared" si="101"/>
        <v>0</v>
      </c>
      <c r="AC49" s="48">
        <f t="shared" si="102"/>
        <v>0</v>
      </c>
      <c r="AD49" s="48">
        <f t="shared" si="103"/>
        <v>46</v>
      </c>
      <c r="AE49" s="48">
        <f t="shared" si="104"/>
        <v>0</v>
      </c>
      <c r="AF49" s="48">
        <f t="shared" si="105"/>
        <v>46</v>
      </c>
      <c r="AG49" s="48">
        <v>2000</v>
      </c>
      <c r="AH49" s="48"/>
      <c r="AI49" s="48">
        <f t="shared" si="106"/>
        <v>2000</v>
      </c>
      <c r="AJ49" s="48"/>
      <c r="AK49" s="48"/>
      <c r="AL49" s="48">
        <f t="shared" si="107"/>
        <v>0</v>
      </c>
      <c r="AM49" s="48"/>
      <c r="AN49" s="48"/>
      <c r="AO49" s="48">
        <f t="shared" si="108"/>
        <v>0</v>
      </c>
      <c r="AP49" s="48"/>
      <c r="AQ49" s="48"/>
      <c r="AR49" s="48">
        <f t="shared" si="109"/>
        <v>0</v>
      </c>
      <c r="AS49" s="48"/>
      <c r="AT49" s="48"/>
      <c r="AU49" s="48">
        <f t="shared" si="110"/>
        <v>0</v>
      </c>
      <c r="AV49" s="48">
        <f t="shared" si="111"/>
        <v>2641</v>
      </c>
      <c r="AW49" s="48">
        <f t="shared" si="112"/>
        <v>11</v>
      </c>
      <c r="AX49" s="48">
        <f t="shared" si="113"/>
        <v>2652</v>
      </c>
    </row>
    <row r="50" spans="1:50" s="47" customFormat="1" ht="11.25" outlineLevel="1">
      <c r="A50" s="37" t="s">
        <v>76</v>
      </c>
      <c r="B50" s="38" t="s">
        <v>50</v>
      </c>
      <c r="C50" s="40"/>
      <c r="D50" s="40"/>
      <c r="E50" s="40">
        <f t="shared" si="88"/>
        <v>0</v>
      </c>
      <c r="F50" s="40"/>
      <c r="G50" s="40"/>
      <c r="H50" s="40">
        <f t="shared" si="89"/>
        <v>0</v>
      </c>
      <c r="I50" s="40">
        <f t="shared" si="90"/>
        <v>0</v>
      </c>
      <c r="J50" s="40">
        <f t="shared" si="91"/>
        <v>0</v>
      </c>
      <c r="K50" s="40">
        <f t="shared" si="92"/>
        <v>0</v>
      </c>
      <c r="L50" s="40"/>
      <c r="M50" s="40"/>
      <c r="N50" s="40">
        <f t="shared" si="93"/>
        <v>0</v>
      </c>
      <c r="O50" s="40"/>
      <c r="P50" s="40"/>
      <c r="Q50" s="40">
        <f t="shared" si="94"/>
        <v>0</v>
      </c>
      <c r="R50" s="40"/>
      <c r="S50" s="40"/>
      <c r="T50" s="40">
        <f t="shared" si="95"/>
        <v>0</v>
      </c>
      <c r="U50" s="40">
        <f t="shared" si="96"/>
        <v>0</v>
      </c>
      <c r="V50" s="40">
        <f t="shared" si="97"/>
        <v>0</v>
      </c>
      <c r="W50" s="40">
        <f t="shared" si="98"/>
        <v>0</v>
      </c>
      <c r="X50" s="40"/>
      <c r="Y50" s="40"/>
      <c r="Z50" s="40">
        <f t="shared" si="99"/>
        <v>0</v>
      </c>
      <c r="AA50" s="40">
        <f t="shared" si="100"/>
        <v>0</v>
      </c>
      <c r="AB50" s="40">
        <f t="shared" si="101"/>
        <v>0</v>
      </c>
      <c r="AC50" s="40">
        <f t="shared" si="102"/>
        <v>0</v>
      </c>
      <c r="AD50" s="40">
        <f t="shared" si="103"/>
        <v>0</v>
      </c>
      <c r="AE50" s="40">
        <f t="shared" si="104"/>
        <v>0</v>
      </c>
      <c r="AF50" s="40">
        <f t="shared" si="105"/>
        <v>0</v>
      </c>
      <c r="AG50" s="40"/>
      <c r="AH50" s="40">
        <v>60</v>
      </c>
      <c r="AI50" s="40">
        <f t="shared" si="106"/>
        <v>60</v>
      </c>
      <c r="AJ50" s="40"/>
      <c r="AK50" s="40">
        <v>60</v>
      </c>
      <c r="AL50" s="40">
        <f t="shared" si="107"/>
        <v>60</v>
      </c>
      <c r="AM50" s="40"/>
      <c r="AN50" s="40">
        <v>60</v>
      </c>
      <c r="AO50" s="40">
        <f t="shared" si="108"/>
        <v>60</v>
      </c>
      <c r="AP50" s="40"/>
      <c r="AQ50" s="40">
        <v>60</v>
      </c>
      <c r="AR50" s="40">
        <f t="shared" si="109"/>
        <v>60</v>
      </c>
      <c r="AS50" s="40"/>
      <c r="AT50" s="40">
        <v>60</v>
      </c>
      <c r="AU50" s="40">
        <f t="shared" si="110"/>
        <v>60</v>
      </c>
      <c r="AV50" s="40">
        <f t="shared" si="111"/>
        <v>0</v>
      </c>
      <c r="AW50" s="40">
        <f t="shared" si="112"/>
        <v>300</v>
      </c>
      <c r="AX50" s="40">
        <f t="shared" si="113"/>
        <v>300</v>
      </c>
    </row>
    <row r="51" spans="1:50" s="47" customFormat="1" ht="11.25" outlineLevel="1">
      <c r="A51" s="37" t="s">
        <v>76</v>
      </c>
      <c r="B51" s="38" t="s">
        <v>51</v>
      </c>
      <c r="C51" s="40"/>
      <c r="D51" s="40"/>
      <c r="E51" s="40">
        <f t="shared" si="88"/>
        <v>0</v>
      </c>
      <c r="F51" s="40"/>
      <c r="G51" s="40"/>
      <c r="H51" s="40">
        <f t="shared" si="89"/>
        <v>0</v>
      </c>
      <c r="I51" s="40">
        <f t="shared" si="90"/>
        <v>0</v>
      </c>
      <c r="J51" s="40">
        <f t="shared" si="91"/>
        <v>0</v>
      </c>
      <c r="K51" s="40">
        <f t="shared" si="92"/>
        <v>0</v>
      </c>
      <c r="L51" s="40"/>
      <c r="M51" s="40"/>
      <c r="N51" s="40">
        <f t="shared" si="93"/>
        <v>0</v>
      </c>
      <c r="O51" s="40"/>
      <c r="P51" s="40"/>
      <c r="Q51" s="40">
        <f t="shared" si="94"/>
        <v>0</v>
      </c>
      <c r="R51" s="40"/>
      <c r="S51" s="40"/>
      <c r="T51" s="40">
        <f t="shared" si="95"/>
        <v>0</v>
      </c>
      <c r="U51" s="40">
        <f t="shared" si="96"/>
        <v>0</v>
      </c>
      <c r="V51" s="40">
        <f t="shared" si="97"/>
        <v>0</v>
      </c>
      <c r="W51" s="40">
        <f t="shared" si="98"/>
        <v>0</v>
      </c>
      <c r="X51" s="40"/>
      <c r="Y51" s="40"/>
      <c r="Z51" s="40">
        <f t="shared" si="99"/>
        <v>0</v>
      </c>
      <c r="AA51" s="40">
        <f t="shared" si="100"/>
        <v>0</v>
      </c>
      <c r="AB51" s="40">
        <f t="shared" si="101"/>
        <v>0</v>
      </c>
      <c r="AC51" s="40">
        <f t="shared" si="102"/>
        <v>0</v>
      </c>
      <c r="AD51" s="40">
        <f t="shared" si="103"/>
        <v>0</v>
      </c>
      <c r="AE51" s="40">
        <f t="shared" si="104"/>
        <v>0</v>
      </c>
      <c r="AF51" s="40">
        <f t="shared" si="105"/>
        <v>0</v>
      </c>
      <c r="AG51" s="40"/>
      <c r="AH51" s="40">
        <v>20</v>
      </c>
      <c r="AI51" s="40">
        <f t="shared" si="106"/>
        <v>20</v>
      </c>
      <c r="AJ51" s="40"/>
      <c r="AK51" s="40">
        <v>20</v>
      </c>
      <c r="AL51" s="40">
        <f t="shared" si="107"/>
        <v>20</v>
      </c>
      <c r="AM51" s="40"/>
      <c r="AN51" s="40">
        <v>20</v>
      </c>
      <c r="AO51" s="40">
        <f t="shared" si="108"/>
        <v>20</v>
      </c>
      <c r="AP51" s="40"/>
      <c r="AQ51" s="40">
        <v>20</v>
      </c>
      <c r="AR51" s="40">
        <f t="shared" si="109"/>
        <v>20</v>
      </c>
      <c r="AS51" s="40"/>
      <c r="AT51" s="40">
        <v>20</v>
      </c>
      <c r="AU51" s="40">
        <f t="shared" si="110"/>
        <v>20</v>
      </c>
      <c r="AV51" s="40">
        <f t="shared" si="111"/>
        <v>0</v>
      </c>
      <c r="AW51" s="40">
        <f t="shared" si="112"/>
        <v>100</v>
      </c>
      <c r="AX51" s="40">
        <f t="shared" si="113"/>
        <v>100</v>
      </c>
    </row>
    <row r="52" spans="1:50" s="47" customFormat="1" ht="11.25" outlineLevel="1">
      <c r="A52" s="37" t="s">
        <v>76</v>
      </c>
      <c r="B52" s="38" t="s">
        <v>52</v>
      </c>
      <c r="C52" s="40"/>
      <c r="D52" s="40"/>
      <c r="E52" s="40">
        <f t="shared" si="88"/>
        <v>0</v>
      </c>
      <c r="F52" s="40"/>
      <c r="G52" s="40"/>
      <c r="H52" s="40">
        <f t="shared" si="89"/>
        <v>0</v>
      </c>
      <c r="I52" s="40">
        <f t="shared" si="90"/>
        <v>0</v>
      </c>
      <c r="J52" s="40">
        <f t="shared" si="91"/>
        <v>0</v>
      </c>
      <c r="K52" s="40">
        <f t="shared" si="92"/>
        <v>0</v>
      </c>
      <c r="L52" s="40"/>
      <c r="M52" s="40"/>
      <c r="N52" s="40">
        <f t="shared" si="93"/>
        <v>0</v>
      </c>
      <c r="O52" s="40"/>
      <c r="P52" s="40"/>
      <c r="Q52" s="40">
        <f t="shared" si="94"/>
        <v>0</v>
      </c>
      <c r="R52" s="40"/>
      <c r="S52" s="40"/>
      <c r="T52" s="40">
        <f t="shared" si="95"/>
        <v>0</v>
      </c>
      <c r="U52" s="40">
        <f t="shared" si="96"/>
        <v>0</v>
      </c>
      <c r="V52" s="40">
        <f t="shared" si="97"/>
        <v>0</v>
      </c>
      <c r="W52" s="40">
        <f t="shared" si="98"/>
        <v>0</v>
      </c>
      <c r="X52" s="40"/>
      <c r="Y52" s="40"/>
      <c r="Z52" s="40">
        <f t="shared" si="99"/>
        <v>0</v>
      </c>
      <c r="AA52" s="40">
        <f t="shared" si="100"/>
        <v>0</v>
      </c>
      <c r="AB52" s="40">
        <f t="shared" si="101"/>
        <v>0</v>
      </c>
      <c r="AC52" s="40">
        <f t="shared" si="102"/>
        <v>0</v>
      </c>
      <c r="AD52" s="40">
        <f t="shared" si="103"/>
        <v>0</v>
      </c>
      <c r="AE52" s="40">
        <f t="shared" si="104"/>
        <v>0</v>
      </c>
      <c r="AF52" s="40">
        <f t="shared" si="105"/>
        <v>0</v>
      </c>
      <c r="AG52" s="40"/>
      <c r="AH52" s="40"/>
      <c r="AI52" s="40">
        <f t="shared" si="106"/>
        <v>0</v>
      </c>
      <c r="AJ52" s="40"/>
      <c r="AK52" s="40"/>
      <c r="AL52" s="40">
        <f t="shared" si="107"/>
        <v>0</v>
      </c>
      <c r="AM52" s="40"/>
      <c r="AN52" s="40"/>
      <c r="AO52" s="40">
        <f t="shared" si="108"/>
        <v>0</v>
      </c>
      <c r="AP52" s="40"/>
      <c r="AQ52" s="40"/>
      <c r="AR52" s="40">
        <f t="shared" si="109"/>
        <v>0</v>
      </c>
      <c r="AS52" s="40"/>
      <c r="AT52" s="40"/>
      <c r="AU52" s="40">
        <f t="shared" si="110"/>
        <v>0</v>
      </c>
      <c r="AV52" s="40">
        <f t="shared" si="111"/>
        <v>0</v>
      </c>
      <c r="AW52" s="40">
        <f t="shared" si="112"/>
        <v>0</v>
      </c>
      <c r="AX52" s="40">
        <f t="shared" si="113"/>
        <v>0</v>
      </c>
    </row>
    <row r="53" spans="1:50" s="47" customFormat="1" ht="11.25" outlineLevel="1">
      <c r="A53" s="37" t="s">
        <v>76</v>
      </c>
      <c r="B53" s="38" t="s">
        <v>65</v>
      </c>
      <c r="C53" s="40"/>
      <c r="D53" s="40"/>
      <c r="E53" s="40">
        <f t="shared" si="88"/>
        <v>0</v>
      </c>
      <c r="F53" s="40"/>
      <c r="G53" s="40"/>
      <c r="H53" s="40">
        <f t="shared" si="89"/>
        <v>0</v>
      </c>
      <c r="I53" s="40">
        <f t="shared" si="90"/>
        <v>0</v>
      </c>
      <c r="J53" s="40">
        <f t="shared" si="91"/>
        <v>0</v>
      </c>
      <c r="K53" s="40">
        <f t="shared" si="92"/>
        <v>0</v>
      </c>
      <c r="L53" s="40"/>
      <c r="M53" s="40"/>
      <c r="N53" s="40">
        <f t="shared" si="93"/>
        <v>0</v>
      </c>
      <c r="O53" s="40"/>
      <c r="P53" s="40"/>
      <c r="Q53" s="40">
        <f t="shared" si="94"/>
        <v>0</v>
      </c>
      <c r="R53" s="40"/>
      <c r="S53" s="40"/>
      <c r="T53" s="40">
        <f t="shared" si="95"/>
        <v>0</v>
      </c>
      <c r="U53" s="40">
        <f t="shared" si="96"/>
        <v>0</v>
      </c>
      <c r="V53" s="40">
        <f t="shared" si="97"/>
        <v>0</v>
      </c>
      <c r="W53" s="40">
        <f t="shared" si="98"/>
        <v>0</v>
      </c>
      <c r="X53" s="40"/>
      <c r="Y53" s="40"/>
      <c r="Z53" s="40">
        <f t="shared" si="99"/>
        <v>0</v>
      </c>
      <c r="AA53" s="40">
        <f t="shared" si="100"/>
        <v>0</v>
      </c>
      <c r="AB53" s="40">
        <f t="shared" si="101"/>
        <v>0</v>
      </c>
      <c r="AC53" s="40">
        <f t="shared" si="102"/>
        <v>0</v>
      </c>
      <c r="AD53" s="40">
        <f t="shared" si="103"/>
        <v>0</v>
      </c>
      <c r="AE53" s="40">
        <f t="shared" si="104"/>
        <v>0</v>
      </c>
      <c r="AF53" s="40">
        <f t="shared" si="105"/>
        <v>0</v>
      </c>
      <c r="AG53" s="40"/>
      <c r="AH53" s="40"/>
      <c r="AI53" s="40">
        <f t="shared" si="106"/>
        <v>0</v>
      </c>
      <c r="AJ53" s="40"/>
      <c r="AK53" s="40"/>
      <c r="AL53" s="40">
        <f t="shared" si="107"/>
        <v>0</v>
      </c>
      <c r="AM53" s="40"/>
      <c r="AN53" s="40"/>
      <c r="AO53" s="40">
        <f t="shared" si="108"/>
        <v>0</v>
      </c>
      <c r="AP53" s="40"/>
      <c r="AQ53" s="40"/>
      <c r="AR53" s="40">
        <f t="shared" si="109"/>
        <v>0</v>
      </c>
      <c r="AS53" s="40"/>
      <c r="AT53" s="40"/>
      <c r="AU53" s="40">
        <f t="shared" si="110"/>
        <v>0</v>
      </c>
      <c r="AV53" s="40">
        <f t="shared" si="111"/>
        <v>0</v>
      </c>
      <c r="AW53" s="40">
        <f t="shared" si="112"/>
        <v>0</v>
      </c>
      <c r="AX53" s="40">
        <f t="shared" si="113"/>
        <v>0</v>
      </c>
    </row>
    <row r="54" spans="1:50" s="47" customFormat="1" ht="11.25" outlineLevel="1">
      <c r="A54" s="37" t="s">
        <v>76</v>
      </c>
      <c r="B54" s="38" t="s">
        <v>54</v>
      </c>
      <c r="C54" s="40"/>
      <c r="D54" s="40"/>
      <c r="E54" s="40">
        <f t="shared" si="88"/>
        <v>0</v>
      </c>
      <c r="F54" s="40"/>
      <c r="G54" s="40"/>
      <c r="H54" s="40">
        <f t="shared" si="89"/>
        <v>0</v>
      </c>
      <c r="I54" s="40">
        <f t="shared" si="90"/>
        <v>19</v>
      </c>
      <c r="J54" s="40">
        <f t="shared" si="91"/>
        <v>0</v>
      </c>
      <c r="K54" s="40">
        <f t="shared" si="92"/>
        <v>19</v>
      </c>
      <c r="L54" s="40"/>
      <c r="M54" s="40">
        <v>19</v>
      </c>
      <c r="N54" s="40">
        <f t="shared" si="93"/>
        <v>19</v>
      </c>
      <c r="O54" s="40">
        <v>19</v>
      </c>
      <c r="P54" s="40"/>
      <c r="Q54" s="40">
        <f t="shared" si="94"/>
        <v>19</v>
      </c>
      <c r="R54" s="40"/>
      <c r="S54" s="40">
        <v>19</v>
      </c>
      <c r="T54" s="40">
        <f t="shared" si="95"/>
        <v>19</v>
      </c>
      <c r="U54" s="40">
        <f t="shared" si="96"/>
        <v>19</v>
      </c>
      <c r="V54" s="40">
        <f t="shared" si="97"/>
        <v>-19</v>
      </c>
      <c r="W54" s="40">
        <f t="shared" si="98"/>
        <v>0</v>
      </c>
      <c r="X54" s="40"/>
      <c r="Y54" s="40">
        <v>19</v>
      </c>
      <c r="Z54" s="40">
        <f t="shared" si="99"/>
        <v>19</v>
      </c>
      <c r="AA54" s="40">
        <f t="shared" si="100"/>
        <v>0</v>
      </c>
      <c r="AB54" s="40">
        <f t="shared" si="101"/>
        <v>0</v>
      </c>
      <c r="AC54" s="40">
        <f t="shared" si="102"/>
        <v>0</v>
      </c>
      <c r="AD54" s="40">
        <f t="shared" si="103"/>
        <v>0</v>
      </c>
      <c r="AE54" s="40">
        <f t="shared" si="104"/>
        <v>19</v>
      </c>
      <c r="AF54" s="40">
        <f t="shared" si="105"/>
        <v>19</v>
      </c>
      <c r="AG54" s="40"/>
      <c r="AH54" s="40">
        <v>19</v>
      </c>
      <c r="AI54" s="40">
        <f t="shared" si="106"/>
        <v>19</v>
      </c>
      <c r="AJ54" s="40"/>
      <c r="AK54" s="40">
        <v>19</v>
      </c>
      <c r="AL54" s="40">
        <f t="shared" si="107"/>
        <v>19</v>
      </c>
      <c r="AM54" s="40"/>
      <c r="AN54" s="40">
        <v>19</v>
      </c>
      <c r="AO54" s="40">
        <f t="shared" si="108"/>
        <v>19</v>
      </c>
      <c r="AP54" s="40"/>
      <c r="AQ54" s="40">
        <v>19</v>
      </c>
      <c r="AR54" s="40">
        <f t="shared" si="109"/>
        <v>19</v>
      </c>
      <c r="AS54" s="40"/>
      <c r="AT54" s="40">
        <v>19</v>
      </c>
      <c r="AU54" s="40">
        <f t="shared" si="110"/>
        <v>19</v>
      </c>
      <c r="AV54" s="40">
        <f t="shared" si="111"/>
        <v>0</v>
      </c>
      <c r="AW54" s="40">
        <f t="shared" si="112"/>
        <v>114</v>
      </c>
      <c r="AX54" s="40">
        <f t="shared" si="113"/>
        <v>114</v>
      </c>
    </row>
    <row r="55" spans="1:50" s="47" customFormat="1" ht="11.25" outlineLevel="1">
      <c r="A55" s="37" t="s">
        <v>76</v>
      </c>
      <c r="B55" s="38" t="s">
        <v>55</v>
      </c>
      <c r="C55" s="40">
        <v>1800</v>
      </c>
      <c r="D55" s="40"/>
      <c r="E55" s="40">
        <f t="shared" si="88"/>
        <v>1800</v>
      </c>
      <c r="F55" s="40"/>
      <c r="G55" s="40"/>
      <c r="H55" s="40">
        <f t="shared" si="89"/>
        <v>0</v>
      </c>
      <c r="I55" s="40">
        <f t="shared" si="90"/>
        <v>-671</v>
      </c>
      <c r="J55" s="40">
        <f t="shared" si="91"/>
        <v>0</v>
      </c>
      <c r="K55" s="40">
        <f t="shared" si="92"/>
        <v>-671</v>
      </c>
      <c r="L55" s="40"/>
      <c r="M55" s="40"/>
      <c r="N55" s="40">
        <f t="shared" si="93"/>
        <v>0</v>
      </c>
      <c r="O55" s="40">
        <f>1800-652-19</f>
        <v>1129</v>
      </c>
      <c r="P55" s="40"/>
      <c r="Q55" s="40">
        <f t="shared" si="94"/>
        <v>1129</v>
      </c>
      <c r="R55" s="40"/>
      <c r="S55" s="40"/>
      <c r="T55" s="40">
        <f t="shared" si="95"/>
        <v>0</v>
      </c>
      <c r="U55" s="40">
        <f t="shared" si="96"/>
        <v>1129</v>
      </c>
      <c r="V55" s="40">
        <f t="shared" si="97"/>
        <v>0</v>
      </c>
      <c r="W55" s="40">
        <f t="shared" si="98"/>
        <v>1129</v>
      </c>
      <c r="X55" s="40"/>
      <c r="Y55" s="40"/>
      <c r="Z55" s="40">
        <f t="shared" si="99"/>
        <v>0</v>
      </c>
      <c r="AA55" s="40">
        <f t="shared" si="100"/>
        <v>0</v>
      </c>
      <c r="AB55" s="40">
        <f t="shared" si="101"/>
        <v>0</v>
      </c>
      <c r="AC55" s="40">
        <f t="shared" si="102"/>
        <v>0</v>
      </c>
      <c r="AD55" s="40">
        <f t="shared" si="103"/>
        <v>0</v>
      </c>
      <c r="AE55" s="40">
        <f t="shared" si="104"/>
        <v>0</v>
      </c>
      <c r="AF55" s="40">
        <f t="shared" si="105"/>
        <v>0</v>
      </c>
      <c r="AG55" s="40"/>
      <c r="AH55" s="40"/>
      <c r="AI55" s="40">
        <f t="shared" si="106"/>
        <v>0</v>
      </c>
      <c r="AJ55" s="40"/>
      <c r="AK55" s="40"/>
      <c r="AL55" s="40">
        <f t="shared" si="107"/>
        <v>0</v>
      </c>
      <c r="AM55" s="40"/>
      <c r="AN55" s="40"/>
      <c r="AO55" s="40">
        <f t="shared" si="108"/>
        <v>0</v>
      </c>
      <c r="AP55" s="40"/>
      <c r="AQ55" s="40"/>
      <c r="AR55" s="40">
        <f t="shared" si="109"/>
        <v>0</v>
      </c>
      <c r="AS55" s="40"/>
      <c r="AT55" s="40"/>
      <c r="AU55" s="40">
        <f t="shared" si="110"/>
        <v>0</v>
      </c>
      <c r="AV55" s="40">
        <f t="shared" si="111"/>
        <v>0</v>
      </c>
      <c r="AW55" s="40">
        <f t="shared" si="112"/>
        <v>0</v>
      </c>
      <c r="AX55" s="40">
        <f t="shared" si="113"/>
        <v>0</v>
      </c>
    </row>
    <row r="56" spans="1:50" s="47" customFormat="1" ht="11.25" outlineLevel="1">
      <c r="A56" s="37" t="s">
        <v>76</v>
      </c>
      <c r="B56" s="38" t="s">
        <v>56</v>
      </c>
      <c r="C56" s="40"/>
      <c r="D56" s="40"/>
      <c r="E56" s="40">
        <f t="shared" si="88"/>
        <v>0</v>
      </c>
      <c r="F56" s="40"/>
      <c r="G56" s="40"/>
      <c r="H56" s="40">
        <f t="shared" si="89"/>
        <v>0</v>
      </c>
      <c r="I56" s="40">
        <f t="shared" si="90"/>
        <v>0</v>
      </c>
      <c r="J56" s="40">
        <f t="shared" si="91"/>
        <v>0</v>
      </c>
      <c r="K56" s="40">
        <f t="shared" si="92"/>
        <v>0</v>
      </c>
      <c r="L56" s="40"/>
      <c r="M56" s="40"/>
      <c r="N56" s="40">
        <f t="shared" si="93"/>
        <v>0</v>
      </c>
      <c r="O56" s="40"/>
      <c r="P56" s="40"/>
      <c r="Q56" s="40">
        <f t="shared" si="94"/>
        <v>0</v>
      </c>
      <c r="R56" s="40"/>
      <c r="S56" s="40"/>
      <c r="T56" s="40">
        <f t="shared" si="95"/>
        <v>0</v>
      </c>
      <c r="U56" s="40">
        <f t="shared" si="96"/>
        <v>0</v>
      </c>
      <c r="V56" s="40">
        <f t="shared" si="97"/>
        <v>0</v>
      </c>
      <c r="W56" s="40">
        <f t="shared" si="98"/>
        <v>0</v>
      </c>
      <c r="X56" s="40"/>
      <c r="Y56" s="40"/>
      <c r="Z56" s="40">
        <f t="shared" si="99"/>
        <v>0</v>
      </c>
      <c r="AA56" s="40">
        <f t="shared" si="100"/>
        <v>0</v>
      </c>
      <c r="AB56" s="40">
        <f t="shared" si="101"/>
        <v>0</v>
      </c>
      <c r="AC56" s="40">
        <f t="shared" si="102"/>
        <v>0</v>
      </c>
      <c r="AD56" s="40">
        <f t="shared" si="103"/>
        <v>0</v>
      </c>
      <c r="AE56" s="40">
        <f t="shared" si="104"/>
        <v>0</v>
      </c>
      <c r="AF56" s="40">
        <f t="shared" si="105"/>
        <v>0</v>
      </c>
      <c r="AG56" s="40"/>
      <c r="AH56" s="40"/>
      <c r="AI56" s="40">
        <f t="shared" si="106"/>
        <v>0</v>
      </c>
      <c r="AJ56" s="40"/>
      <c r="AK56" s="40"/>
      <c r="AL56" s="40">
        <f t="shared" si="107"/>
        <v>0</v>
      </c>
      <c r="AM56" s="40"/>
      <c r="AN56" s="40"/>
      <c r="AO56" s="40">
        <f t="shared" si="108"/>
        <v>0</v>
      </c>
      <c r="AP56" s="40"/>
      <c r="AQ56" s="40"/>
      <c r="AR56" s="40">
        <f t="shared" si="109"/>
        <v>0</v>
      </c>
      <c r="AS56" s="40"/>
      <c r="AT56" s="40"/>
      <c r="AU56" s="40">
        <f t="shared" si="110"/>
        <v>0</v>
      </c>
      <c r="AV56" s="40">
        <f t="shared" si="111"/>
        <v>0</v>
      </c>
      <c r="AW56" s="40">
        <f t="shared" si="112"/>
        <v>0</v>
      </c>
      <c r="AX56" s="40">
        <f t="shared" si="113"/>
        <v>0</v>
      </c>
    </row>
    <row r="57" spans="1:50" s="46" customFormat="1" ht="12.75">
      <c r="A57" s="43" t="s">
        <v>76</v>
      </c>
      <c r="B57" s="44" t="s">
        <v>77</v>
      </c>
      <c r="C57" s="45">
        <f aca="true" t="shared" si="114" ref="C57:AX57">SUM(C49:C56)</f>
        <v>1800</v>
      </c>
      <c r="D57" s="45">
        <f t="shared" si="114"/>
        <v>0</v>
      </c>
      <c r="E57" s="45">
        <f t="shared" si="114"/>
        <v>1800</v>
      </c>
      <c r="F57" s="45">
        <f t="shared" si="114"/>
        <v>595</v>
      </c>
      <c r="G57" s="45">
        <f t="shared" si="114"/>
        <v>11</v>
      </c>
      <c r="H57" s="45">
        <f t="shared" si="114"/>
        <v>606</v>
      </c>
      <c r="I57" s="45">
        <f t="shared" si="114"/>
        <v>0</v>
      </c>
      <c r="J57" s="45">
        <f t="shared" si="114"/>
        <v>0</v>
      </c>
      <c r="K57" s="45">
        <f t="shared" si="114"/>
        <v>0</v>
      </c>
      <c r="L57" s="45">
        <f t="shared" si="114"/>
        <v>46</v>
      </c>
      <c r="M57" s="45">
        <f t="shared" si="114"/>
        <v>19</v>
      </c>
      <c r="N57" s="45">
        <f t="shared" si="114"/>
        <v>65</v>
      </c>
      <c r="O57" s="45">
        <f t="shared" si="114"/>
        <v>1800</v>
      </c>
      <c r="P57" s="45">
        <f t="shared" si="114"/>
        <v>0</v>
      </c>
      <c r="Q57" s="45">
        <f t="shared" si="114"/>
        <v>1800</v>
      </c>
      <c r="R57" s="45">
        <f t="shared" si="114"/>
        <v>641</v>
      </c>
      <c r="S57" s="45">
        <f t="shared" si="114"/>
        <v>30</v>
      </c>
      <c r="T57" s="45">
        <f t="shared" si="114"/>
        <v>671</v>
      </c>
      <c r="U57" s="45">
        <f t="shared" si="114"/>
        <v>1159</v>
      </c>
      <c r="V57" s="45">
        <f t="shared" si="114"/>
        <v>-30</v>
      </c>
      <c r="W57" s="45">
        <f t="shared" si="114"/>
        <v>1129</v>
      </c>
      <c r="X57" s="45">
        <f t="shared" si="114"/>
        <v>641</v>
      </c>
      <c r="Y57" s="45">
        <f t="shared" si="114"/>
        <v>30</v>
      </c>
      <c r="Z57" s="45">
        <f t="shared" si="114"/>
        <v>671</v>
      </c>
      <c r="AA57" s="45">
        <f t="shared" si="114"/>
        <v>0</v>
      </c>
      <c r="AB57" s="45">
        <f t="shared" si="114"/>
        <v>0</v>
      </c>
      <c r="AC57" s="45">
        <f t="shared" si="114"/>
        <v>0</v>
      </c>
      <c r="AD57" s="45">
        <f t="shared" si="114"/>
        <v>46</v>
      </c>
      <c r="AE57" s="45">
        <f t="shared" si="114"/>
        <v>19</v>
      </c>
      <c r="AF57" s="45">
        <f t="shared" si="114"/>
        <v>65</v>
      </c>
      <c r="AG57" s="45">
        <f t="shared" si="114"/>
        <v>2000</v>
      </c>
      <c r="AH57" s="45">
        <f t="shared" si="114"/>
        <v>99</v>
      </c>
      <c r="AI57" s="45">
        <f t="shared" si="114"/>
        <v>2099</v>
      </c>
      <c r="AJ57" s="45">
        <f t="shared" si="114"/>
        <v>0</v>
      </c>
      <c r="AK57" s="45">
        <f t="shared" si="114"/>
        <v>99</v>
      </c>
      <c r="AL57" s="45">
        <f t="shared" si="114"/>
        <v>99</v>
      </c>
      <c r="AM57" s="45">
        <f t="shared" si="114"/>
        <v>0</v>
      </c>
      <c r="AN57" s="45">
        <f t="shared" si="114"/>
        <v>99</v>
      </c>
      <c r="AO57" s="45">
        <f t="shared" si="114"/>
        <v>99</v>
      </c>
      <c r="AP57" s="45">
        <f t="shared" si="114"/>
        <v>0</v>
      </c>
      <c r="AQ57" s="45">
        <f t="shared" si="114"/>
        <v>99</v>
      </c>
      <c r="AR57" s="45">
        <f t="shared" si="114"/>
        <v>99</v>
      </c>
      <c r="AS57" s="45">
        <f t="shared" si="114"/>
        <v>0</v>
      </c>
      <c r="AT57" s="45">
        <f t="shared" si="114"/>
        <v>99</v>
      </c>
      <c r="AU57" s="45">
        <f t="shared" si="114"/>
        <v>99</v>
      </c>
      <c r="AV57" s="45">
        <f t="shared" si="114"/>
        <v>2641</v>
      </c>
      <c r="AW57" s="45">
        <f t="shared" si="114"/>
        <v>525</v>
      </c>
      <c r="AX57" s="45">
        <f t="shared" si="114"/>
        <v>3166</v>
      </c>
    </row>
    <row r="58" spans="1:50" s="47" customFormat="1" ht="11.25" outlineLevel="1">
      <c r="A58" s="37" t="s">
        <v>78</v>
      </c>
      <c r="B58" s="38" t="s">
        <v>49</v>
      </c>
      <c r="C58" s="48"/>
      <c r="D58" s="48"/>
      <c r="E58" s="48">
        <f aca="true" t="shared" si="115" ref="E58:E65">C58+D58</f>
        <v>0</v>
      </c>
      <c r="F58" s="48"/>
      <c r="G58" s="48"/>
      <c r="H58" s="48">
        <f aca="true" t="shared" si="116" ref="H58:H65">F58+G58</f>
        <v>0</v>
      </c>
      <c r="I58" s="48">
        <f aca="true" t="shared" si="117" ref="I58:J65">O58-C58</f>
        <v>0</v>
      </c>
      <c r="J58" s="48">
        <f t="shared" si="117"/>
        <v>0</v>
      </c>
      <c r="K58" s="48">
        <f aca="true" t="shared" si="118" ref="K58:K65">I58+J58</f>
        <v>0</v>
      </c>
      <c r="L58" s="48"/>
      <c r="M58" s="48"/>
      <c r="N58" s="48">
        <f aca="true" t="shared" si="119" ref="N58:N65">L58+M58</f>
        <v>0</v>
      </c>
      <c r="O58" s="48"/>
      <c r="P58" s="48"/>
      <c r="Q58" s="48">
        <f aca="true" t="shared" si="120" ref="Q58:Q65">O58+P58</f>
        <v>0</v>
      </c>
      <c r="R58" s="48"/>
      <c r="S58" s="48"/>
      <c r="T58" s="48">
        <f aca="true" t="shared" si="121" ref="T58:T65">R58+S58</f>
        <v>0</v>
      </c>
      <c r="U58" s="48">
        <f aca="true" t="shared" si="122" ref="U58:V65">O58-R58</f>
        <v>0</v>
      </c>
      <c r="V58" s="48">
        <f t="shared" si="122"/>
        <v>0</v>
      </c>
      <c r="W58" s="48">
        <f aca="true" t="shared" si="123" ref="W58:W65">U58+V58</f>
        <v>0</v>
      </c>
      <c r="X58" s="48"/>
      <c r="Y58" s="48"/>
      <c r="Z58" s="48">
        <f aca="true" t="shared" si="124" ref="Z58:Z65">X58+Y58</f>
        <v>0</v>
      </c>
      <c r="AA58" s="48">
        <f aca="true" t="shared" si="125" ref="AA58:AB65">X58-R58</f>
        <v>0</v>
      </c>
      <c r="AB58" s="48">
        <f t="shared" si="125"/>
        <v>0</v>
      </c>
      <c r="AC58" s="48">
        <f aca="true" t="shared" si="126" ref="AC58:AC65">AA58+AB58</f>
        <v>0</v>
      </c>
      <c r="AD58" s="48">
        <f aca="true" t="shared" si="127" ref="AD58:AE65">L58+AA58</f>
        <v>0</v>
      </c>
      <c r="AE58" s="48">
        <f t="shared" si="127"/>
        <v>0</v>
      </c>
      <c r="AF58" s="48">
        <f aca="true" t="shared" si="128" ref="AF58:AF65">AD58+AE58</f>
        <v>0</v>
      </c>
      <c r="AG58" s="48">
        <f>20000*1.19-4000</f>
        <v>19800</v>
      </c>
      <c r="AH58" s="48"/>
      <c r="AI58" s="48">
        <f aca="true" t="shared" si="129" ref="AI58:AI65">AG58+AH58</f>
        <v>19800</v>
      </c>
      <c r="AJ58" s="48"/>
      <c r="AK58" s="48"/>
      <c r="AL58" s="48">
        <f aca="true" t="shared" si="130" ref="AL58:AL65">AJ58+AK58</f>
        <v>0</v>
      </c>
      <c r="AM58" s="48"/>
      <c r="AN58" s="48"/>
      <c r="AO58" s="48">
        <f aca="true" t="shared" si="131" ref="AO58:AO65">AM58+AN58</f>
        <v>0</v>
      </c>
      <c r="AP58" s="48"/>
      <c r="AQ58" s="48"/>
      <c r="AR58" s="48">
        <f aca="true" t="shared" si="132" ref="AR58:AR65">AP58+AQ58</f>
        <v>0</v>
      </c>
      <c r="AS58" s="48"/>
      <c r="AT58" s="48"/>
      <c r="AU58" s="48">
        <f aca="true" t="shared" si="133" ref="AU58:AU65">AS58+AT58</f>
        <v>0</v>
      </c>
      <c r="AV58" s="48">
        <f aca="true" t="shared" si="134" ref="AV58:AW65">SUM(AS58,AP58,AM58,AJ58,AG58,X58)</f>
        <v>19800</v>
      </c>
      <c r="AW58" s="48">
        <f t="shared" si="134"/>
        <v>0</v>
      </c>
      <c r="AX58" s="48">
        <f aca="true" t="shared" si="135" ref="AX58:AX65">AV58+AW58</f>
        <v>19800</v>
      </c>
    </row>
    <row r="59" spans="1:50" s="47" customFormat="1" ht="11.25" outlineLevel="1">
      <c r="A59" s="37" t="s">
        <v>78</v>
      </c>
      <c r="B59" s="38" t="s">
        <v>50</v>
      </c>
      <c r="C59" s="40"/>
      <c r="D59" s="40"/>
      <c r="E59" s="40">
        <f t="shared" si="115"/>
        <v>0</v>
      </c>
      <c r="F59" s="40"/>
      <c r="G59" s="40"/>
      <c r="H59" s="40">
        <f t="shared" si="116"/>
        <v>0</v>
      </c>
      <c r="I59" s="40">
        <f t="shared" si="117"/>
        <v>0</v>
      </c>
      <c r="J59" s="40">
        <f t="shared" si="117"/>
        <v>0</v>
      </c>
      <c r="K59" s="40">
        <f t="shared" si="118"/>
        <v>0</v>
      </c>
      <c r="L59" s="40"/>
      <c r="M59" s="40"/>
      <c r="N59" s="40">
        <f t="shared" si="119"/>
        <v>0</v>
      </c>
      <c r="O59" s="40"/>
      <c r="P59" s="40"/>
      <c r="Q59" s="40">
        <f t="shared" si="120"/>
        <v>0</v>
      </c>
      <c r="R59" s="40"/>
      <c r="S59" s="40"/>
      <c r="T59" s="40">
        <f t="shared" si="121"/>
        <v>0</v>
      </c>
      <c r="U59" s="40">
        <f t="shared" si="122"/>
        <v>0</v>
      </c>
      <c r="V59" s="40">
        <f t="shared" si="122"/>
        <v>0</v>
      </c>
      <c r="W59" s="40">
        <f t="shared" si="123"/>
        <v>0</v>
      </c>
      <c r="X59" s="40"/>
      <c r="Y59" s="40"/>
      <c r="Z59" s="40">
        <f t="shared" si="124"/>
        <v>0</v>
      </c>
      <c r="AA59" s="40">
        <f t="shared" si="125"/>
        <v>0</v>
      </c>
      <c r="AB59" s="40">
        <f t="shared" si="125"/>
        <v>0</v>
      </c>
      <c r="AC59" s="40">
        <f t="shared" si="126"/>
        <v>0</v>
      </c>
      <c r="AD59" s="40">
        <f t="shared" si="127"/>
        <v>0</v>
      </c>
      <c r="AE59" s="40">
        <f t="shared" si="127"/>
        <v>0</v>
      </c>
      <c r="AF59" s="40">
        <f t="shared" si="128"/>
        <v>0</v>
      </c>
      <c r="AG59" s="40"/>
      <c r="AH59" s="40"/>
      <c r="AI59" s="40">
        <f t="shared" si="129"/>
        <v>0</v>
      </c>
      <c r="AJ59" s="40"/>
      <c r="AK59" s="40"/>
      <c r="AL59" s="40">
        <f t="shared" si="130"/>
        <v>0</v>
      </c>
      <c r="AM59" s="40"/>
      <c r="AN59" s="40"/>
      <c r="AO59" s="40">
        <f t="shared" si="131"/>
        <v>0</v>
      </c>
      <c r="AP59" s="40"/>
      <c r="AQ59" s="40"/>
      <c r="AR59" s="40">
        <f t="shared" si="132"/>
        <v>0</v>
      </c>
      <c r="AS59" s="40"/>
      <c r="AT59" s="40"/>
      <c r="AU59" s="40">
        <f t="shared" si="133"/>
        <v>0</v>
      </c>
      <c r="AV59" s="40">
        <f t="shared" si="134"/>
        <v>0</v>
      </c>
      <c r="AW59" s="40">
        <f t="shared" si="134"/>
        <v>0</v>
      </c>
      <c r="AX59" s="40">
        <f t="shared" si="135"/>
        <v>0</v>
      </c>
    </row>
    <row r="60" spans="1:50" s="47" customFormat="1" ht="11.25" outlineLevel="1">
      <c r="A60" s="37" t="s">
        <v>78</v>
      </c>
      <c r="B60" s="38" t="s">
        <v>51</v>
      </c>
      <c r="C60" s="40"/>
      <c r="D60" s="40"/>
      <c r="E60" s="40">
        <f t="shared" si="115"/>
        <v>0</v>
      </c>
      <c r="F60" s="40"/>
      <c r="G60" s="40"/>
      <c r="H60" s="40">
        <f t="shared" si="116"/>
        <v>0</v>
      </c>
      <c r="I60" s="40">
        <f t="shared" si="117"/>
        <v>0</v>
      </c>
      <c r="J60" s="40">
        <f t="shared" si="117"/>
        <v>0</v>
      </c>
      <c r="K60" s="40">
        <f t="shared" si="118"/>
        <v>0</v>
      </c>
      <c r="L60" s="40"/>
      <c r="M60" s="40"/>
      <c r="N60" s="40">
        <f t="shared" si="119"/>
        <v>0</v>
      </c>
      <c r="O60" s="40"/>
      <c r="P60" s="40"/>
      <c r="Q60" s="40">
        <f t="shared" si="120"/>
        <v>0</v>
      </c>
      <c r="R60" s="40"/>
      <c r="S60" s="40"/>
      <c r="T60" s="40">
        <f t="shared" si="121"/>
        <v>0</v>
      </c>
      <c r="U60" s="40">
        <f t="shared" si="122"/>
        <v>0</v>
      </c>
      <c r="V60" s="40">
        <f t="shared" si="122"/>
        <v>0</v>
      </c>
      <c r="W60" s="40">
        <f t="shared" si="123"/>
        <v>0</v>
      </c>
      <c r="X60" s="40"/>
      <c r="Y60" s="40"/>
      <c r="Z60" s="40">
        <f t="shared" si="124"/>
        <v>0</v>
      </c>
      <c r="AA60" s="40">
        <f t="shared" si="125"/>
        <v>0</v>
      </c>
      <c r="AB60" s="40">
        <f t="shared" si="125"/>
        <v>0</v>
      </c>
      <c r="AC60" s="40">
        <f t="shared" si="126"/>
        <v>0</v>
      </c>
      <c r="AD60" s="40">
        <f t="shared" si="127"/>
        <v>0</v>
      </c>
      <c r="AE60" s="40">
        <f t="shared" si="127"/>
        <v>0</v>
      </c>
      <c r="AF60" s="40">
        <f t="shared" si="128"/>
        <v>0</v>
      </c>
      <c r="AG60" s="40"/>
      <c r="AH60" s="40">
        <v>50</v>
      </c>
      <c r="AI60" s="40">
        <f t="shared" si="129"/>
        <v>50</v>
      </c>
      <c r="AJ60" s="40"/>
      <c r="AK60" s="40">
        <v>50</v>
      </c>
      <c r="AL60" s="40">
        <f t="shared" si="130"/>
        <v>50</v>
      </c>
      <c r="AM60" s="40"/>
      <c r="AN60" s="40">
        <v>50</v>
      </c>
      <c r="AO60" s="40">
        <f t="shared" si="131"/>
        <v>50</v>
      </c>
      <c r="AP60" s="40"/>
      <c r="AQ60" s="40">
        <v>50</v>
      </c>
      <c r="AR60" s="40">
        <f t="shared" si="132"/>
        <v>50</v>
      </c>
      <c r="AS60" s="40"/>
      <c r="AT60" s="40">
        <v>50</v>
      </c>
      <c r="AU60" s="40">
        <f t="shared" si="133"/>
        <v>50</v>
      </c>
      <c r="AV60" s="40">
        <f t="shared" si="134"/>
        <v>0</v>
      </c>
      <c r="AW60" s="40">
        <f t="shared" si="134"/>
        <v>250</v>
      </c>
      <c r="AX60" s="40">
        <f t="shared" si="135"/>
        <v>250</v>
      </c>
    </row>
    <row r="61" spans="1:50" s="47" customFormat="1" ht="11.25" outlineLevel="1">
      <c r="A61" s="37" t="s">
        <v>78</v>
      </c>
      <c r="B61" s="38" t="s">
        <v>52</v>
      </c>
      <c r="C61" s="40"/>
      <c r="D61" s="40"/>
      <c r="E61" s="40">
        <f t="shared" si="115"/>
        <v>0</v>
      </c>
      <c r="F61" s="40"/>
      <c r="G61" s="40"/>
      <c r="H61" s="40">
        <f t="shared" si="116"/>
        <v>0</v>
      </c>
      <c r="I61" s="40">
        <f t="shared" si="117"/>
        <v>0</v>
      </c>
      <c r="J61" s="40">
        <f t="shared" si="117"/>
        <v>0</v>
      </c>
      <c r="K61" s="40">
        <f t="shared" si="118"/>
        <v>0</v>
      </c>
      <c r="L61" s="40"/>
      <c r="M61" s="40"/>
      <c r="N61" s="40">
        <f t="shared" si="119"/>
        <v>0</v>
      </c>
      <c r="O61" s="40"/>
      <c r="P61" s="40"/>
      <c r="Q61" s="40">
        <f t="shared" si="120"/>
        <v>0</v>
      </c>
      <c r="R61" s="40"/>
      <c r="S61" s="40"/>
      <c r="T61" s="40">
        <f t="shared" si="121"/>
        <v>0</v>
      </c>
      <c r="U61" s="40">
        <f t="shared" si="122"/>
        <v>0</v>
      </c>
      <c r="V61" s="40">
        <f t="shared" si="122"/>
        <v>0</v>
      </c>
      <c r="W61" s="40">
        <f t="shared" si="123"/>
        <v>0</v>
      </c>
      <c r="X61" s="40"/>
      <c r="Y61" s="40"/>
      <c r="Z61" s="40">
        <f t="shared" si="124"/>
        <v>0</v>
      </c>
      <c r="AA61" s="40">
        <f t="shared" si="125"/>
        <v>0</v>
      </c>
      <c r="AB61" s="40">
        <f t="shared" si="125"/>
        <v>0</v>
      </c>
      <c r="AC61" s="40">
        <f t="shared" si="126"/>
        <v>0</v>
      </c>
      <c r="AD61" s="40">
        <f t="shared" si="127"/>
        <v>0</v>
      </c>
      <c r="AE61" s="40">
        <f t="shared" si="127"/>
        <v>0</v>
      </c>
      <c r="AF61" s="40">
        <f t="shared" si="128"/>
        <v>0</v>
      </c>
      <c r="AG61" s="40"/>
      <c r="AH61" s="40"/>
      <c r="AI61" s="40">
        <f t="shared" si="129"/>
        <v>0</v>
      </c>
      <c r="AJ61" s="40"/>
      <c r="AK61" s="40"/>
      <c r="AL61" s="40">
        <f t="shared" si="130"/>
        <v>0</v>
      </c>
      <c r="AM61" s="40"/>
      <c r="AN61" s="40"/>
      <c r="AO61" s="40">
        <f t="shared" si="131"/>
        <v>0</v>
      </c>
      <c r="AP61" s="40"/>
      <c r="AQ61" s="40"/>
      <c r="AR61" s="40">
        <f t="shared" si="132"/>
        <v>0</v>
      </c>
      <c r="AS61" s="40"/>
      <c r="AT61" s="40"/>
      <c r="AU61" s="40">
        <f t="shared" si="133"/>
        <v>0</v>
      </c>
      <c r="AV61" s="40">
        <f t="shared" si="134"/>
        <v>0</v>
      </c>
      <c r="AW61" s="40">
        <f t="shared" si="134"/>
        <v>0</v>
      </c>
      <c r="AX61" s="40">
        <f t="shared" si="135"/>
        <v>0</v>
      </c>
    </row>
    <row r="62" spans="1:50" s="47" customFormat="1" ht="11.25" outlineLevel="1">
      <c r="A62" s="37" t="s">
        <v>78</v>
      </c>
      <c r="B62" s="38" t="s">
        <v>65</v>
      </c>
      <c r="C62" s="40"/>
      <c r="D62" s="40"/>
      <c r="E62" s="40">
        <f t="shared" si="115"/>
        <v>0</v>
      </c>
      <c r="F62" s="40"/>
      <c r="G62" s="40"/>
      <c r="H62" s="40">
        <f t="shared" si="116"/>
        <v>0</v>
      </c>
      <c r="I62" s="40">
        <f t="shared" si="117"/>
        <v>0</v>
      </c>
      <c r="J62" s="40">
        <f t="shared" si="117"/>
        <v>0</v>
      </c>
      <c r="K62" s="40">
        <f t="shared" si="118"/>
        <v>0</v>
      </c>
      <c r="L62" s="40"/>
      <c r="M62" s="40"/>
      <c r="N62" s="40">
        <f t="shared" si="119"/>
        <v>0</v>
      </c>
      <c r="O62" s="40"/>
      <c r="P62" s="40"/>
      <c r="Q62" s="40">
        <f t="shared" si="120"/>
        <v>0</v>
      </c>
      <c r="R62" s="40"/>
      <c r="S62" s="40"/>
      <c r="T62" s="40">
        <f t="shared" si="121"/>
        <v>0</v>
      </c>
      <c r="U62" s="40">
        <f t="shared" si="122"/>
        <v>0</v>
      </c>
      <c r="V62" s="40">
        <f t="shared" si="122"/>
        <v>0</v>
      </c>
      <c r="W62" s="40">
        <f t="shared" si="123"/>
        <v>0</v>
      </c>
      <c r="X62" s="40"/>
      <c r="Y62" s="40"/>
      <c r="Z62" s="40">
        <f t="shared" si="124"/>
        <v>0</v>
      </c>
      <c r="AA62" s="40">
        <f t="shared" si="125"/>
        <v>0</v>
      </c>
      <c r="AB62" s="40">
        <f t="shared" si="125"/>
        <v>0</v>
      </c>
      <c r="AC62" s="40">
        <f t="shared" si="126"/>
        <v>0</v>
      </c>
      <c r="AD62" s="40">
        <f t="shared" si="127"/>
        <v>0</v>
      </c>
      <c r="AE62" s="40">
        <f t="shared" si="127"/>
        <v>0</v>
      </c>
      <c r="AF62" s="40">
        <f t="shared" si="128"/>
        <v>0</v>
      </c>
      <c r="AG62" s="40"/>
      <c r="AH62" s="40"/>
      <c r="AI62" s="40">
        <f t="shared" si="129"/>
        <v>0</v>
      </c>
      <c r="AJ62" s="40"/>
      <c r="AK62" s="40"/>
      <c r="AL62" s="40">
        <f t="shared" si="130"/>
        <v>0</v>
      </c>
      <c r="AM62" s="40"/>
      <c r="AN62" s="40"/>
      <c r="AO62" s="40">
        <f t="shared" si="131"/>
        <v>0</v>
      </c>
      <c r="AP62" s="40"/>
      <c r="AQ62" s="40"/>
      <c r="AR62" s="40">
        <f t="shared" si="132"/>
        <v>0</v>
      </c>
      <c r="AS62" s="40"/>
      <c r="AT62" s="40"/>
      <c r="AU62" s="40">
        <f t="shared" si="133"/>
        <v>0</v>
      </c>
      <c r="AV62" s="40">
        <f t="shared" si="134"/>
        <v>0</v>
      </c>
      <c r="AW62" s="40">
        <f t="shared" si="134"/>
        <v>0</v>
      </c>
      <c r="AX62" s="40">
        <f t="shared" si="135"/>
        <v>0</v>
      </c>
    </row>
    <row r="63" spans="1:50" s="47" customFormat="1" ht="11.25" outlineLevel="1">
      <c r="A63" s="37" t="s">
        <v>78</v>
      </c>
      <c r="B63" s="38" t="s">
        <v>54</v>
      </c>
      <c r="C63" s="40"/>
      <c r="D63" s="40"/>
      <c r="E63" s="40">
        <f t="shared" si="115"/>
        <v>0</v>
      </c>
      <c r="F63" s="40"/>
      <c r="G63" s="40"/>
      <c r="H63" s="40">
        <f t="shared" si="116"/>
        <v>0</v>
      </c>
      <c r="I63" s="40">
        <f t="shared" si="117"/>
        <v>0</v>
      </c>
      <c r="J63" s="40">
        <f t="shared" si="117"/>
        <v>0</v>
      </c>
      <c r="K63" s="40">
        <f t="shared" si="118"/>
        <v>0</v>
      </c>
      <c r="L63" s="40"/>
      <c r="M63" s="40"/>
      <c r="N63" s="40">
        <f t="shared" si="119"/>
        <v>0</v>
      </c>
      <c r="O63" s="40"/>
      <c r="P63" s="40"/>
      <c r="Q63" s="40">
        <f t="shared" si="120"/>
        <v>0</v>
      </c>
      <c r="R63" s="40"/>
      <c r="S63" s="40"/>
      <c r="T63" s="40">
        <f t="shared" si="121"/>
        <v>0</v>
      </c>
      <c r="U63" s="40">
        <f t="shared" si="122"/>
        <v>0</v>
      </c>
      <c r="V63" s="40">
        <f t="shared" si="122"/>
        <v>0</v>
      </c>
      <c r="W63" s="40">
        <f t="shared" si="123"/>
        <v>0</v>
      </c>
      <c r="X63" s="40"/>
      <c r="Y63" s="40"/>
      <c r="Z63" s="40">
        <f t="shared" si="124"/>
        <v>0</v>
      </c>
      <c r="AA63" s="40">
        <f t="shared" si="125"/>
        <v>0</v>
      </c>
      <c r="AB63" s="40">
        <f t="shared" si="125"/>
        <v>0</v>
      </c>
      <c r="AC63" s="40">
        <f t="shared" si="126"/>
        <v>0</v>
      </c>
      <c r="AD63" s="40">
        <f t="shared" si="127"/>
        <v>0</v>
      </c>
      <c r="AE63" s="40">
        <f t="shared" si="127"/>
        <v>0</v>
      </c>
      <c r="AF63" s="40">
        <f t="shared" si="128"/>
        <v>0</v>
      </c>
      <c r="AG63" s="40"/>
      <c r="AH63" s="40"/>
      <c r="AI63" s="40">
        <f t="shared" si="129"/>
        <v>0</v>
      </c>
      <c r="AJ63" s="40"/>
      <c r="AK63" s="40"/>
      <c r="AL63" s="40">
        <f t="shared" si="130"/>
        <v>0</v>
      </c>
      <c r="AM63" s="40"/>
      <c r="AN63" s="40"/>
      <c r="AO63" s="40">
        <f t="shared" si="131"/>
        <v>0</v>
      </c>
      <c r="AP63" s="40"/>
      <c r="AQ63" s="40"/>
      <c r="AR63" s="40">
        <f t="shared" si="132"/>
        <v>0</v>
      </c>
      <c r="AS63" s="40"/>
      <c r="AT63" s="40"/>
      <c r="AU63" s="40">
        <f t="shared" si="133"/>
        <v>0</v>
      </c>
      <c r="AV63" s="40">
        <f t="shared" si="134"/>
        <v>0</v>
      </c>
      <c r="AW63" s="40">
        <f t="shared" si="134"/>
        <v>0</v>
      </c>
      <c r="AX63" s="40">
        <f t="shared" si="135"/>
        <v>0</v>
      </c>
    </row>
    <row r="64" spans="1:50" s="47" customFormat="1" ht="11.25" outlineLevel="1">
      <c r="A64" s="37" t="s">
        <v>78</v>
      </c>
      <c r="B64" s="38" t="s">
        <v>55</v>
      </c>
      <c r="C64" s="40">
        <v>1850</v>
      </c>
      <c r="D64" s="40"/>
      <c r="E64" s="40">
        <f t="shared" si="115"/>
        <v>1850</v>
      </c>
      <c r="F64" s="40"/>
      <c r="G64" s="40"/>
      <c r="H64" s="40">
        <f t="shared" si="116"/>
        <v>0</v>
      </c>
      <c r="I64" s="40">
        <f t="shared" si="117"/>
        <v>0</v>
      </c>
      <c r="J64" s="40">
        <f t="shared" si="117"/>
        <v>0</v>
      </c>
      <c r="K64" s="40">
        <f t="shared" si="118"/>
        <v>0</v>
      </c>
      <c r="L64" s="40"/>
      <c r="M64" s="40"/>
      <c r="N64" s="40">
        <f t="shared" si="119"/>
        <v>0</v>
      </c>
      <c r="O64" s="40">
        <v>1850</v>
      </c>
      <c r="P64" s="40"/>
      <c r="Q64" s="40">
        <f t="shared" si="120"/>
        <v>1850</v>
      </c>
      <c r="R64" s="40"/>
      <c r="S64" s="40"/>
      <c r="T64" s="40">
        <f t="shared" si="121"/>
        <v>0</v>
      </c>
      <c r="U64" s="40">
        <f t="shared" si="122"/>
        <v>1850</v>
      </c>
      <c r="V64" s="40">
        <f t="shared" si="122"/>
        <v>0</v>
      </c>
      <c r="W64" s="40">
        <f t="shared" si="123"/>
        <v>1850</v>
      </c>
      <c r="X64" s="40"/>
      <c r="Y64" s="40"/>
      <c r="Z64" s="40">
        <f t="shared" si="124"/>
        <v>0</v>
      </c>
      <c r="AA64" s="40">
        <f t="shared" si="125"/>
        <v>0</v>
      </c>
      <c r="AB64" s="40">
        <f t="shared" si="125"/>
        <v>0</v>
      </c>
      <c r="AC64" s="40">
        <f t="shared" si="126"/>
        <v>0</v>
      </c>
      <c r="AD64" s="40">
        <f t="shared" si="127"/>
        <v>0</v>
      </c>
      <c r="AE64" s="40">
        <f t="shared" si="127"/>
        <v>0</v>
      </c>
      <c r="AF64" s="40">
        <f t="shared" si="128"/>
        <v>0</v>
      </c>
      <c r="AG64" s="40"/>
      <c r="AH64" s="40"/>
      <c r="AI64" s="40">
        <f t="shared" si="129"/>
        <v>0</v>
      </c>
      <c r="AJ64" s="40"/>
      <c r="AK64" s="40"/>
      <c r="AL64" s="40">
        <f t="shared" si="130"/>
        <v>0</v>
      </c>
      <c r="AM64" s="40"/>
      <c r="AN64" s="40"/>
      <c r="AO64" s="40">
        <f t="shared" si="131"/>
        <v>0</v>
      </c>
      <c r="AP64" s="40"/>
      <c r="AQ64" s="40"/>
      <c r="AR64" s="40">
        <f t="shared" si="132"/>
        <v>0</v>
      </c>
      <c r="AS64" s="40"/>
      <c r="AT64" s="40"/>
      <c r="AU64" s="40">
        <f t="shared" si="133"/>
        <v>0</v>
      </c>
      <c r="AV64" s="40">
        <f t="shared" si="134"/>
        <v>0</v>
      </c>
      <c r="AW64" s="40">
        <f t="shared" si="134"/>
        <v>0</v>
      </c>
      <c r="AX64" s="40">
        <f t="shared" si="135"/>
        <v>0</v>
      </c>
    </row>
    <row r="65" spans="1:50" s="47" customFormat="1" ht="11.25" outlineLevel="1">
      <c r="A65" s="37" t="s">
        <v>78</v>
      </c>
      <c r="B65" s="38" t="s">
        <v>56</v>
      </c>
      <c r="C65" s="40"/>
      <c r="D65" s="40"/>
      <c r="E65" s="40">
        <f t="shared" si="115"/>
        <v>0</v>
      </c>
      <c r="F65" s="40"/>
      <c r="G65" s="40"/>
      <c r="H65" s="40">
        <f t="shared" si="116"/>
        <v>0</v>
      </c>
      <c r="I65" s="40">
        <f t="shared" si="117"/>
        <v>0</v>
      </c>
      <c r="J65" s="40">
        <f t="shared" si="117"/>
        <v>0</v>
      </c>
      <c r="K65" s="40">
        <f t="shared" si="118"/>
        <v>0</v>
      </c>
      <c r="L65" s="40"/>
      <c r="M65" s="40"/>
      <c r="N65" s="40">
        <f t="shared" si="119"/>
        <v>0</v>
      </c>
      <c r="O65" s="40"/>
      <c r="P65" s="40"/>
      <c r="Q65" s="40">
        <f t="shared" si="120"/>
        <v>0</v>
      </c>
      <c r="R65" s="40"/>
      <c r="S65" s="40"/>
      <c r="T65" s="40">
        <f t="shared" si="121"/>
        <v>0</v>
      </c>
      <c r="U65" s="40">
        <f t="shared" si="122"/>
        <v>0</v>
      </c>
      <c r="V65" s="40">
        <f t="shared" si="122"/>
        <v>0</v>
      </c>
      <c r="W65" s="40">
        <f t="shared" si="123"/>
        <v>0</v>
      </c>
      <c r="X65" s="40"/>
      <c r="Y65" s="40"/>
      <c r="Z65" s="40">
        <f t="shared" si="124"/>
        <v>0</v>
      </c>
      <c r="AA65" s="40">
        <f t="shared" si="125"/>
        <v>0</v>
      </c>
      <c r="AB65" s="40">
        <f t="shared" si="125"/>
        <v>0</v>
      </c>
      <c r="AC65" s="40">
        <f t="shared" si="126"/>
        <v>0</v>
      </c>
      <c r="AD65" s="40">
        <f t="shared" si="127"/>
        <v>0</v>
      </c>
      <c r="AE65" s="40">
        <f t="shared" si="127"/>
        <v>0</v>
      </c>
      <c r="AF65" s="40">
        <f t="shared" si="128"/>
        <v>0</v>
      </c>
      <c r="AG65" s="40"/>
      <c r="AH65" s="40"/>
      <c r="AI65" s="40">
        <f t="shared" si="129"/>
        <v>0</v>
      </c>
      <c r="AJ65" s="40"/>
      <c r="AK65" s="40"/>
      <c r="AL65" s="40">
        <f t="shared" si="130"/>
        <v>0</v>
      </c>
      <c r="AM65" s="40"/>
      <c r="AN65" s="40"/>
      <c r="AO65" s="40">
        <f t="shared" si="131"/>
        <v>0</v>
      </c>
      <c r="AP65" s="40"/>
      <c r="AQ65" s="40"/>
      <c r="AR65" s="40">
        <f t="shared" si="132"/>
        <v>0</v>
      </c>
      <c r="AS65" s="40"/>
      <c r="AT65" s="40"/>
      <c r="AU65" s="40">
        <f t="shared" si="133"/>
        <v>0</v>
      </c>
      <c r="AV65" s="40">
        <f t="shared" si="134"/>
        <v>0</v>
      </c>
      <c r="AW65" s="40">
        <f t="shared" si="134"/>
        <v>0</v>
      </c>
      <c r="AX65" s="40">
        <f t="shared" si="135"/>
        <v>0</v>
      </c>
    </row>
    <row r="66" spans="1:50" s="46" customFormat="1" ht="12.75">
      <c r="A66" s="43" t="s">
        <v>78</v>
      </c>
      <c r="B66" s="44" t="s">
        <v>79</v>
      </c>
      <c r="C66" s="45">
        <f aca="true" t="shared" si="136" ref="C66:AX66">SUM(C58:C65)</f>
        <v>1850</v>
      </c>
      <c r="D66" s="45">
        <f t="shared" si="136"/>
        <v>0</v>
      </c>
      <c r="E66" s="45">
        <f t="shared" si="136"/>
        <v>1850</v>
      </c>
      <c r="F66" s="45">
        <f t="shared" si="136"/>
        <v>0</v>
      </c>
      <c r="G66" s="45">
        <f t="shared" si="136"/>
        <v>0</v>
      </c>
      <c r="H66" s="45">
        <f t="shared" si="136"/>
        <v>0</v>
      </c>
      <c r="I66" s="45">
        <f t="shared" si="136"/>
        <v>0</v>
      </c>
      <c r="J66" s="45">
        <f t="shared" si="136"/>
        <v>0</v>
      </c>
      <c r="K66" s="45">
        <f t="shared" si="136"/>
        <v>0</v>
      </c>
      <c r="L66" s="45">
        <f t="shared" si="136"/>
        <v>0</v>
      </c>
      <c r="M66" s="45">
        <f t="shared" si="136"/>
        <v>0</v>
      </c>
      <c r="N66" s="45">
        <f t="shared" si="136"/>
        <v>0</v>
      </c>
      <c r="O66" s="45">
        <f t="shared" si="136"/>
        <v>1850</v>
      </c>
      <c r="P66" s="45">
        <f t="shared" si="136"/>
        <v>0</v>
      </c>
      <c r="Q66" s="45">
        <f t="shared" si="136"/>
        <v>1850</v>
      </c>
      <c r="R66" s="45">
        <f t="shared" si="136"/>
        <v>0</v>
      </c>
      <c r="S66" s="45">
        <f t="shared" si="136"/>
        <v>0</v>
      </c>
      <c r="T66" s="45">
        <f t="shared" si="136"/>
        <v>0</v>
      </c>
      <c r="U66" s="45">
        <f t="shared" si="136"/>
        <v>1850</v>
      </c>
      <c r="V66" s="45">
        <f t="shared" si="136"/>
        <v>0</v>
      </c>
      <c r="W66" s="45">
        <f t="shared" si="136"/>
        <v>1850</v>
      </c>
      <c r="X66" s="45">
        <f t="shared" si="136"/>
        <v>0</v>
      </c>
      <c r="Y66" s="45">
        <f t="shared" si="136"/>
        <v>0</v>
      </c>
      <c r="Z66" s="45">
        <f t="shared" si="136"/>
        <v>0</v>
      </c>
      <c r="AA66" s="45">
        <f t="shared" si="136"/>
        <v>0</v>
      </c>
      <c r="AB66" s="45">
        <f t="shared" si="136"/>
        <v>0</v>
      </c>
      <c r="AC66" s="45">
        <f t="shared" si="136"/>
        <v>0</v>
      </c>
      <c r="AD66" s="45">
        <f t="shared" si="136"/>
        <v>0</v>
      </c>
      <c r="AE66" s="45">
        <f t="shared" si="136"/>
        <v>0</v>
      </c>
      <c r="AF66" s="45">
        <f t="shared" si="136"/>
        <v>0</v>
      </c>
      <c r="AG66" s="45">
        <f t="shared" si="136"/>
        <v>19800</v>
      </c>
      <c r="AH66" s="45">
        <f t="shared" si="136"/>
        <v>50</v>
      </c>
      <c r="AI66" s="45">
        <f t="shared" si="136"/>
        <v>19850</v>
      </c>
      <c r="AJ66" s="45">
        <f t="shared" si="136"/>
        <v>0</v>
      </c>
      <c r="AK66" s="45">
        <f t="shared" si="136"/>
        <v>50</v>
      </c>
      <c r="AL66" s="45">
        <f t="shared" si="136"/>
        <v>50</v>
      </c>
      <c r="AM66" s="45">
        <f t="shared" si="136"/>
        <v>0</v>
      </c>
      <c r="AN66" s="45">
        <f t="shared" si="136"/>
        <v>50</v>
      </c>
      <c r="AO66" s="45">
        <f t="shared" si="136"/>
        <v>50</v>
      </c>
      <c r="AP66" s="45">
        <f t="shared" si="136"/>
        <v>0</v>
      </c>
      <c r="AQ66" s="45">
        <f t="shared" si="136"/>
        <v>50</v>
      </c>
      <c r="AR66" s="45">
        <f t="shared" si="136"/>
        <v>50</v>
      </c>
      <c r="AS66" s="45">
        <f t="shared" si="136"/>
        <v>0</v>
      </c>
      <c r="AT66" s="45">
        <f t="shared" si="136"/>
        <v>50</v>
      </c>
      <c r="AU66" s="45">
        <f t="shared" si="136"/>
        <v>50</v>
      </c>
      <c r="AV66" s="45">
        <f t="shared" si="136"/>
        <v>19800</v>
      </c>
      <c r="AW66" s="45">
        <f t="shared" si="136"/>
        <v>250</v>
      </c>
      <c r="AX66" s="45">
        <f t="shared" si="136"/>
        <v>20050</v>
      </c>
    </row>
    <row r="67" spans="1:50" s="46" customFormat="1" ht="12.75">
      <c r="A67" s="43" t="s">
        <v>80</v>
      </c>
      <c r="B67" s="44" t="s">
        <v>81</v>
      </c>
      <c r="C67" s="45">
        <v>20637</v>
      </c>
      <c r="D67" s="45"/>
      <c r="E67" s="45">
        <f aca="true" t="shared" si="137" ref="E67:E72">C67+D67</f>
        <v>20637</v>
      </c>
      <c r="F67" s="45">
        <v>0</v>
      </c>
      <c r="G67" s="45">
        <v>0</v>
      </c>
      <c r="H67" s="45">
        <f aca="true" t="shared" si="138" ref="H67:H72">F67+G67</f>
        <v>0</v>
      </c>
      <c r="I67" s="45">
        <f aca="true" t="shared" si="139" ref="I67:J72">O67-C67</f>
        <v>0</v>
      </c>
      <c r="J67" s="45">
        <f t="shared" si="139"/>
        <v>0</v>
      </c>
      <c r="K67" s="45">
        <f aca="true" t="shared" si="140" ref="K67:K72">I67+J67</f>
        <v>0</v>
      </c>
      <c r="L67" s="45">
        <v>0</v>
      </c>
      <c r="M67" s="45">
        <v>0</v>
      </c>
      <c r="N67" s="45">
        <f aca="true" t="shared" si="141" ref="N67:N72">L67+M67</f>
        <v>0</v>
      </c>
      <c r="O67" s="45">
        <v>20637</v>
      </c>
      <c r="P67" s="45"/>
      <c r="Q67" s="45">
        <f aca="true" t="shared" si="142" ref="Q67:Q72">O67+P67</f>
        <v>20637</v>
      </c>
      <c r="R67" s="45">
        <v>0</v>
      </c>
      <c r="S67" s="45">
        <v>0</v>
      </c>
      <c r="T67" s="45">
        <f aca="true" t="shared" si="143" ref="T67:T72">R67+S67</f>
        <v>0</v>
      </c>
      <c r="U67" s="45">
        <f aca="true" t="shared" si="144" ref="U67:V72">O67-R67</f>
        <v>20637</v>
      </c>
      <c r="V67" s="45">
        <f t="shared" si="144"/>
        <v>0</v>
      </c>
      <c r="W67" s="45">
        <f aca="true" t="shared" si="145" ref="W67:W72">U67+V67</f>
        <v>20637</v>
      </c>
      <c r="X67" s="45">
        <v>0</v>
      </c>
      <c r="Y67" s="45">
        <v>0</v>
      </c>
      <c r="Z67" s="45">
        <f aca="true" t="shared" si="146" ref="Z67:Z72">X67+Y67</f>
        <v>0</v>
      </c>
      <c r="AA67" s="45">
        <f aca="true" t="shared" si="147" ref="AA67:AB72">X67-R67</f>
        <v>0</v>
      </c>
      <c r="AB67" s="45">
        <f t="shared" si="147"/>
        <v>0</v>
      </c>
      <c r="AC67" s="45">
        <f aca="true" t="shared" si="148" ref="AC67:AC72">AA67+AB67</f>
        <v>0</v>
      </c>
      <c r="AD67" s="45">
        <f aca="true" t="shared" si="149" ref="AD67:AE72">L67+AA67</f>
        <v>0</v>
      </c>
      <c r="AE67" s="45">
        <f t="shared" si="149"/>
        <v>0</v>
      </c>
      <c r="AF67" s="45">
        <f aca="true" t="shared" si="150" ref="AF67:AF72">AD67+AE67</f>
        <v>0</v>
      </c>
      <c r="AG67" s="45">
        <f>151350-20000</f>
        <v>131350</v>
      </c>
      <c r="AH67" s="45">
        <v>0</v>
      </c>
      <c r="AI67" s="45">
        <f aca="true" t="shared" si="151" ref="AI67:AI72">AG67+AH67</f>
        <v>131350</v>
      </c>
      <c r="AJ67" s="45">
        <v>0</v>
      </c>
      <c r="AK67" s="45">
        <v>0</v>
      </c>
      <c r="AL67" s="45">
        <f aca="true" t="shared" si="152" ref="AL67:AL72">AJ67+AK67</f>
        <v>0</v>
      </c>
      <c r="AM67" s="45">
        <v>0</v>
      </c>
      <c r="AN67" s="45">
        <v>0</v>
      </c>
      <c r="AO67" s="45">
        <f aca="true" t="shared" si="153" ref="AO67:AO72">AM67+AN67</f>
        <v>0</v>
      </c>
      <c r="AP67" s="45">
        <v>0</v>
      </c>
      <c r="AQ67" s="45">
        <v>0</v>
      </c>
      <c r="AR67" s="45">
        <f aca="true" t="shared" si="154" ref="AR67:AR72">AP67+AQ67</f>
        <v>0</v>
      </c>
      <c r="AS67" s="45">
        <v>0</v>
      </c>
      <c r="AT67" s="45">
        <v>0</v>
      </c>
      <c r="AU67" s="45">
        <f aca="true" t="shared" si="155" ref="AU67:AU72">AS67+AT67</f>
        <v>0</v>
      </c>
      <c r="AV67" s="45">
        <f aca="true" t="shared" si="156" ref="AV67:AW72">SUM(AS67,AP67,AM67,AJ67,AG67,X67)</f>
        <v>131350</v>
      </c>
      <c r="AW67" s="45">
        <f t="shared" si="156"/>
        <v>0</v>
      </c>
      <c r="AX67" s="45">
        <f aca="true" t="shared" si="157" ref="AX67:AX72">AV67+AW67</f>
        <v>131350</v>
      </c>
    </row>
    <row r="68" spans="1:50" s="47" customFormat="1" ht="11.25" outlineLevel="1">
      <c r="A68" s="37" t="s">
        <v>82</v>
      </c>
      <c r="B68" s="38" t="s">
        <v>83</v>
      </c>
      <c r="C68" s="48"/>
      <c r="D68" s="48"/>
      <c r="E68" s="48">
        <f t="shared" si="137"/>
        <v>0</v>
      </c>
      <c r="F68" s="48"/>
      <c r="G68" s="48"/>
      <c r="H68" s="48">
        <f t="shared" si="138"/>
        <v>0</v>
      </c>
      <c r="I68" s="48">
        <f t="shared" si="139"/>
        <v>0</v>
      </c>
      <c r="J68" s="48">
        <f t="shared" si="139"/>
        <v>0</v>
      </c>
      <c r="K68" s="48">
        <f t="shared" si="140"/>
        <v>0</v>
      </c>
      <c r="L68" s="48"/>
      <c r="M68" s="48"/>
      <c r="N68" s="48">
        <f t="shared" si="141"/>
        <v>0</v>
      </c>
      <c r="O68" s="48"/>
      <c r="P68" s="48"/>
      <c r="Q68" s="48">
        <f t="shared" si="142"/>
        <v>0</v>
      </c>
      <c r="R68" s="48"/>
      <c r="S68" s="48"/>
      <c r="T68" s="48">
        <f t="shared" si="143"/>
        <v>0</v>
      </c>
      <c r="U68" s="48">
        <f t="shared" si="144"/>
        <v>0</v>
      </c>
      <c r="V68" s="48">
        <f t="shared" si="144"/>
        <v>0</v>
      </c>
      <c r="W68" s="48">
        <f t="shared" si="145"/>
        <v>0</v>
      </c>
      <c r="X68" s="48"/>
      <c r="Y68" s="48"/>
      <c r="Z68" s="48">
        <f t="shared" si="146"/>
        <v>0</v>
      </c>
      <c r="AA68" s="48">
        <f t="shared" si="147"/>
        <v>0</v>
      </c>
      <c r="AB68" s="48">
        <f t="shared" si="147"/>
        <v>0</v>
      </c>
      <c r="AC68" s="48">
        <f t="shared" si="148"/>
        <v>0</v>
      </c>
      <c r="AD68" s="48">
        <f t="shared" si="149"/>
        <v>0</v>
      </c>
      <c r="AE68" s="48">
        <f t="shared" si="149"/>
        <v>0</v>
      </c>
      <c r="AF68" s="48">
        <f t="shared" si="150"/>
        <v>0</v>
      </c>
      <c r="AG68" s="48"/>
      <c r="AH68" s="48">
        <v>17000</v>
      </c>
      <c r="AI68" s="48">
        <f t="shared" si="151"/>
        <v>17000</v>
      </c>
      <c r="AJ68" s="48"/>
      <c r="AK68" s="48"/>
      <c r="AL68" s="48">
        <f t="shared" si="152"/>
        <v>0</v>
      </c>
      <c r="AM68" s="48"/>
      <c r="AN68" s="48"/>
      <c r="AO68" s="48">
        <f t="shared" si="153"/>
        <v>0</v>
      </c>
      <c r="AP68" s="48"/>
      <c r="AQ68" s="48"/>
      <c r="AR68" s="48">
        <f t="shared" si="154"/>
        <v>0</v>
      </c>
      <c r="AS68" s="48"/>
      <c r="AT68" s="48"/>
      <c r="AU68" s="48">
        <f t="shared" si="155"/>
        <v>0</v>
      </c>
      <c r="AV68" s="48">
        <f t="shared" si="156"/>
        <v>0</v>
      </c>
      <c r="AW68" s="48">
        <f t="shared" si="156"/>
        <v>17000</v>
      </c>
      <c r="AX68" s="48">
        <f t="shared" si="157"/>
        <v>17000</v>
      </c>
    </row>
    <row r="69" spans="1:50" s="47" customFormat="1" ht="11.25" outlineLevel="1">
      <c r="A69" s="37" t="s">
        <v>82</v>
      </c>
      <c r="B69" s="38" t="s">
        <v>84</v>
      </c>
      <c r="C69" s="40"/>
      <c r="D69" s="40"/>
      <c r="E69" s="40">
        <f t="shared" si="137"/>
        <v>0</v>
      </c>
      <c r="F69" s="40"/>
      <c r="G69" s="40"/>
      <c r="H69" s="40">
        <f t="shared" si="138"/>
        <v>0</v>
      </c>
      <c r="I69" s="40">
        <f t="shared" si="139"/>
        <v>0</v>
      </c>
      <c r="J69" s="40">
        <f t="shared" si="139"/>
        <v>0</v>
      </c>
      <c r="K69" s="40">
        <f t="shared" si="140"/>
        <v>0</v>
      </c>
      <c r="L69" s="40"/>
      <c r="M69" s="40"/>
      <c r="N69" s="40">
        <f t="shared" si="141"/>
        <v>0</v>
      </c>
      <c r="O69" s="40"/>
      <c r="P69" s="40"/>
      <c r="Q69" s="40">
        <f t="shared" si="142"/>
        <v>0</v>
      </c>
      <c r="R69" s="40"/>
      <c r="S69" s="40"/>
      <c r="T69" s="40">
        <f t="shared" si="143"/>
        <v>0</v>
      </c>
      <c r="U69" s="40">
        <f t="shared" si="144"/>
        <v>0</v>
      </c>
      <c r="V69" s="40">
        <f t="shared" si="144"/>
        <v>0</v>
      </c>
      <c r="W69" s="40">
        <f t="shared" si="145"/>
        <v>0</v>
      </c>
      <c r="X69" s="40"/>
      <c r="Y69" s="40">
        <v>300</v>
      </c>
      <c r="Z69" s="40">
        <f t="shared" si="146"/>
        <v>300</v>
      </c>
      <c r="AA69" s="40">
        <f t="shared" si="147"/>
        <v>0</v>
      </c>
      <c r="AB69" s="40">
        <f t="shared" si="147"/>
        <v>300</v>
      </c>
      <c r="AC69" s="40">
        <f t="shared" si="148"/>
        <v>300</v>
      </c>
      <c r="AD69" s="40">
        <f t="shared" si="149"/>
        <v>0</v>
      </c>
      <c r="AE69" s="40">
        <f t="shared" si="149"/>
        <v>300</v>
      </c>
      <c r="AF69" s="40">
        <f t="shared" si="150"/>
        <v>300</v>
      </c>
      <c r="AG69" s="40"/>
      <c r="AH69" s="40">
        <v>600</v>
      </c>
      <c r="AI69" s="40">
        <f t="shared" si="151"/>
        <v>600</v>
      </c>
      <c r="AJ69" s="40"/>
      <c r="AK69" s="40">
        <v>600</v>
      </c>
      <c r="AL69" s="40">
        <f t="shared" si="152"/>
        <v>600</v>
      </c>
      <c r="AM69" s="40"/>
      <c r="AN69" s="40">
        <v>601</v>
      </c>
      <c r="AO69" s="40">
        <f t="shared" si="153"/>
        <v>601</v>
      </c>
      <c r="AP69" s="40"/>
      <c r="AQ69" s="40">
        <v>602</v>
      </c>
      <c r="AR69" s="40">
        <f t="shared" si="154"/>
        <v>602</v>
      </c>
      <c r="AS69" s="40"/>
      <c r="AT69" s="40">
        <v>603</v>
      </c>
      <c r="AU69" s="40">
        <f t="shared" si="155"/>
        <v>603</v>
      </c>
      <c r="AV69" s="40">
        <f t="shared" si="156"/>
        <v>0</v>
      </c>
      <c r="AW69" s="40">
        <f t="shared" si="156"/>
        <v>3306</v>
      </c>
      <c r="AX69" s="40">
        <f t="shared" si="157"/>
        <v>3306</v>
      </c>
    </row>
    <row r="70" spans="1:50" s="47" customFormat="1" ht="11.25" outlineLevel="1">
      <c r="A70" s="37" t="s">
        <v>82</v>
      </c>
      <c r="B70" s="38" t="s">
        <v>52</v>
      </c>
      <c r="C70" s="40"/>
      <c r="D70" s="40"/>
      <c r="E70" s="40">
        <f t="shared" si="137"/>
        <v>0</v>
      </c>
      <c r="F70" s="40"/>
      <c r="G70" s="40"/>
      <c r="H70" s="40">
        <f t="shared" si="138"/>
        <v>0</v>
      </c>
      <c r="I70" s="40">
        <f t="shared" si="139"/>
        <v>0</v>
      </c>
      <c r="J70" s="40">
        <f t="shared" si="139"/>
        <v>0</v>
      </c>
      <c r="K70" s="40">
        <f t="shared" si="140"/>
        <v>0</v>
      </c>
      <c r="L70" s="40"/>
      <c r="M70" s="40"/>
      <c r="N70" s="40">
        <f t="shared" si="141"/>
        <v>0</v>
      </c>
      <c r="O70" s="40"/>
      <c r="P70" s="40"/>
      <c r="Q70" s="40">
        <f t="shared" si="142"/>
        <v>0</v>
      </c>
      <c r="R70" s="40"/>
      <c r="S70" s="40"/>
      <c r="T70" s="40">
        <f t="shared" si="143"/>
        <v>0</v>
      </c>
      <c r="U70" s="40">
        <f t="shared" si="144"/>
        <v>0</v>
      </c>
      <c r="V70" s="40">
        <f t="shared" si="144"/>
        <v>0</v>
      </c>
      <c r="W70" s="40">
        <f t="shared" si="145"/>
        <v>0</v>
      </c>
      <c r="X70" s="40"/>
      <c r="Y70" s="40">
        <f>477+(150*3)</f>
        <v>927</v>
      </c>
      <c r="Z70" s="40">
        <f t="shared" si="146"/>
        <v>927</v>
      </c>
      <c r="AA70" s="40">
        <f t="shared" si="147"/>
        <v>0</v>
      </c>
      <c r="AB70" s="40">
        <f t="shared" si="147"/>
        <v>927</v>
      </c>
      <c r="AC70" s="40">
        <f t="shared" si="148"/>
        <v>927</v>
      </c>
      <c r="AD70" s="40">
        <f t="shared" si="149"/>
        <v>0</v>
      </c>
      <c r="AE70" s="40">
        <f t="shared" si="149"/>
        <v>927</v>
      </c>
      <c r="AF70" s="40">
        <f t="shared" si="150"/>
        <v>927</v>
      </c>
      <c r="AG70" s="40"/>
      <c r="AH70" s="40">
        <v>1800</v>
      </c>
      <c r="AI70" s="40">
        <f t="shared" si="151"/>
        <v>1800</v>
      </c>
      <c r="AJ70" s="40"/>
      <c r="AK70" s="40">
        <v>1800</v>
      </c>
      <c r="AL70" s="40">
        <f t="shared" si="152"/>
        <v>1800</v>
      </c>
      <c r="AM70" s="40"/>
      <c r="AN70" s="40">
        <v>1801</v>
      </c>
      <c r="AO70" s="40">
        <f t="shared" si="153"/>
        <v>1801</v>
      </c>
      <c r="AP70" s="40"/>
      <c r="AQ70" s="40">
        <v>1802</v>
      </c>
      <c r="AR70" s="40">
        <f t="shared" si="154"/>
        <v>1802</v>
      </c>
      <c r="AS70" s="40"/>
      <c r="AT70" s="40">
        <v>1803</v>
      </c>
      <c r="AU70" s="40">
        <f t="shared" si="155"/>
        <v>1803</v>
      </c>
      <c r="AV70" s="40">
        <f t="shared" si="156"/>
        <v>0</v>
      </c>
      <c r="AW70" s="40">
        <f t="shared" si="156"/>
        <v>9933</v>
      </c>
      <c r="AX70" s="40">
        <f t="shared" si="157"/>
        <v>9933</v>
      </c>
    </row>
    <row r="71" spans="1:50" s="47" customFormat="1" ht="11.25" outlineLevel="1">
      <c r="A71" s="37" t="s">
        <v>82</v>
      </c>
      <c r="B71" s="38" t="s">
        <v>55</v>
      </c>
      <c r="C71" s="40"/>
      <c r="D71" s="40"/>
      <c r="E71" s="40">
        <f t="shared" si="137"/>
        <v>0</v>
      </c>
      <c r="F71" s="40"/>
      <c r="G71" s="40"/>
      <c r="H71" s="40">
        <f t="shared" si="138"/>
        <v>0</v>
      </c>
      <c r="I71" s="40">
        <f t="shared" si="139"/>
        <v>0</v>
      </c>
      <c r="J71" s="40">
        <f t="shared" si="139"/>
        <v>0</v>
      </c>
      <c r="K71" s="40">
        <f t="shared" si="140"/>
        <v>0</v>
      </c>
      <c r="L71" s="40"/>
      <c r="M71" s="40"/>
      <c r="N71" s="40">
        <f t="shared" si="141"/>
        <v>0</v>
      </c>
      <c r="O71" s="40"/>
      <c r="P71" s="40"/>
      <c r="Q71" s="40">
        <f t="shared" si="142"/>
        <v>0</v>
      </c>
      <c r="R71" s="40"/>
      <c r="S71" s="40"/>
      <c r="T71" s="40">
        <f t="shared" si="143"/>
        <v>0</v>
      </c>
      <c r="U71" s="40">
        <f t="shared" si="144"/>
        <v>0</v>
      </c>
      <c r="V71" s="40">
        <f t="shared" si="144"/>
        <v>0</v>
      </c>
      <c r="W71" s="40">
        <f t="shared" si="145"/>
        <v>0</v>
      </c>
      <c r="X71" s="40"/>
      <c r="Y71" s="40"/>
      <c r="Z71" s="40">
        <f t="shared" si="146"/>
        <v>0</v>
      </c>
      <c r="AA71" s="40">
        <f t="shared" si="147"/>
        <v>0</v>
      </c>
      <c r="AB71" s="40">
        <f t="shared" si="147"/>
        <v>0</v>
      </c>
      <c r="AC71" s="40">
        <f t="shared" si="148"/>
        <v>0</v>
      </c>
      <c r="AD71" s="40">
        <f t="shared" si="149"/>
        <v>0</v>
      </c>
      <c r="AE71" s="40">
        <f t="shared" si="149"/>
        <v>0</v>
      </c>
      <c r="AF71" s="40">
        <f t="shared" si="150"/>
        <v>0</v>
      </c>
      <c r="AG71" s="40"/>
      <c r="AH71" s="40"/>
      <c r="AI71" s="40">
        <f t="shared" si="151"/>
        <v>0</v>
      </c>
      <c r="AJ71" s="40"/>
      <c r="AK71" s="40"/>
      <c r="AL71" s="40">
        <f t="shared" si="152"/>
        <v>0</v>
      </c>
      <c r="AM71" s="40"/>
      <c r="AN71" s="40"/>
      <c r="AO71" s="40">
        <f t="shared" si="153"/>
        <v>0</v>
      </c>
      <c r="AP71" s="40"/>
      <c r="AQ71" s="40"/>
      <c r="AR71" s="40">
        <f t="shared" si="154"/>
        <v>0</v>
      </c>
      <c r="AS71" s="40"/>
      <c r="AT71" s="40"/>
      <c r="AU71" s="40">
        <f t="shared" si="155"/>
        <v>0</v>
      </c>
      <c r="AV71" s="40">
        <f t="shared" si="156"/>
        <v>0</v>
      </c>
      <c r="AW71" s="40">
        <f t="shared" si="156"/>
        <v>0</v>
      </c>
      <c r="AX71" s="40">
        <f t="shared" si="157"/>
        <v>0</v>
      </c>
    </row>
    <row r="72" spans="1:50" s="47" customFormat="1" ht="11.25" outlineLevel="1">
      <c r="A72" s="37" t="s">
        <v>82</v>
      </c>
      <c r="B72" s="38" t="s">
        <v>56</v>
      </c>
      <c r="C72" s="40"/>
      <c r="D72" s="40">
        <v>688</v>
      </c>
      <c r="E72" s="40">
        <f t="shared" si="137"/>
        <v>688</v>
      </c>
      <c r="F72" s="40"/>
      <c r="G72" s="40"/>
      <c r="H72" s="40">
        <f t="shared" si="138"/>
        <v>0</v>
      </c>
      <c r="I72" s="40">
        <f t="shared" si="139"/>
        <v>0</v>
      </c>
      <c r="J72" s="40">
        <f t="shared" si="139"/>
        <v>0</v>
      </c>
      <c r="K72" s="40">
        <f t="shared" si="140"/>
        <v>0</v>
      </c>
      <c r="L72" s="40"/>
      <c r="M72" s="40"/>
      <c r="N72" s="40">
        <f t="shared" si="141"/>
        <v>0</v>
      </c>
      <c r="O72" s="40"/>
      <c r="P72" s="40">
        <v>688</v>
      </c>
      <c r="Q72" s="40">
        <f t="shared" si="142"/>
        <v>688</v>
      </c>
      <c r="R72" s="40"/>
      <c r="S72" s="40"/>
      <c r="T72" s="40">
        <f t="shared" si="143"/>
        <v>0</v>
      </c>
      <c r="U72" s="40">
        <f t="shared" si="144"/>
        <v>0</v>
      </c>
      <c r="V72" s="40">
        <f t="shared" si="144"/>
        <v>688</v>
      </c>
      <c r="W72" s="40">
        <f t="shared" si="145"/>
        <v>688</v>
      </c>
      <c r="X72" s="40"/>
      <c r="Y72" s="40"/>
      <c r="Z72" s="40">
        <f t="shared" si="146"/>
        <v>0</v>
      </c>
      <c r="AA72" s="40">
        <f t="shared" si="147"/>
        <v>0</v>
      </c>
      <c r="AB72" s="40">
        <f t="shared" si="147"/>
        <v>0</v>
      </c>
      <c r="AC72" s="40">
        <f t="shared" si="148"/>
        <v>0</v>
      </c>
      <c r="AD72" s="40">
        <f t="shared" si="149"/>
        <v>0</v>
      </c>
      <c r="AE72" s="40">
        <f t="shared" si="149"/>
        <v>0</v>
      </c>
      <c r="AF72" s="40">
        <f t="shared" si="150"/>
        <v>0</v>
      </c>
      <c r="AG72" s="40"/>
      <c r="AH72" s="40"/>
      <c r="AI72" s="40">
        <f t="shared" si="151"/>
        <v>0</v>
      </c>
      <c r="AJ72" s="40"/>
      <c r="AK72" s="40"/>
      <c r="AL72" s="40">
        <f t="shared" si="152"/>
        <v>0</v>
      </c>
      <c r="AM72" s="40"/>
      <c r="AN72" s="40"/>
      <c r="AO72" s="40">
        <f t="shared" si="153"/>
        <v>0</v>
      </c>
      <c r="AP72" s="40"/>
      <c r="AQ72" s="40"/>
      <c r="AR72" s="40">
        <f t="shared" si="154"/>
        <v>0</v>
      </c>
      <c r="AS72" s="40"/>
      <c r="AT72" s="40"/>
      <c r="AU72" s="40">
        <f t="shared" si="155"/>
        <v>0</v>
      </c>
      <c r="AV72" s="40">
        <f t="shared" si="156"/>
        <v>0</v>
      </c>
      <c r="AW72" s="40">
        <f t="shared" si="156"/>
        <v>0</v>
      </c>
      <c r="AX72" s="40">
        <f t="shared" si="157"/>
        <v>0</v>
      </c>
    </row>
    <row r="73" spans="1:50" s="46" customFormat="1" ht="12.75">
      <c r="A73" s="43" t="s">
        <v>82</v>
      </c>
      <c r="B73" s="44" t="s">
        <v>11</v>
      </c>
      <c r="C73" s="45">
        <f aca="true" t="shared" si="158" ref="C73:AX73">SUM(C68:C72)</f>
        <v>0</v>
      </c>
      <c r="D73" s="45">
        <f t="shared" si="158"/>
        <v>688</v>
      </c>
      <c r="E73" s="45">
        <f t="shared" si="158"/>
        <v>688</v>
      </c>
      <c r="F73" s="45">
        <f t="shared" si="158"/>
        <v>0</v>
      </c>
      <c r="G73" s="45">
        <f t="shared" si="158"/>
        <v>0</v>
      </c>
      <c r="H73" s="45">
        <f t="shared" si="158"/>
        <v>0</v>
      </c>
      <c r="I73" s="45">
        <f t="shared" si="158"/>
        <v>0</v>
      </c>
      <c r="J73" s="45">
        <f t="shared" si="158"/>
        <v>0</v>
      </c>
      <c r="K73" s="45">
        <f t="shared" si="158"/>
        <v>0</v>
      </c>
      <c r="L73" s="45">
        <f t="shared" si="158"/>
        <v>0</v>
      </c>
      <c r="M73" s="45">
        <f t="shared" si="158"/>
        <v>0</v>
      </c>
      <c r="N73" s="45">
        <f t="shared" si="158"/>
        <v>0</v>
      </c>
      <c r="O73" s="45">
        <f t="shared" si="158"/>
        <v>0</v>
      </c>
      <c r="P73" s="45">
        <f t="shared" si="158"/>
        <v>688</v>
      </c>
      <c r="Q73" s="45">
        <f t="shared" si="158"/>
        <v>688</v>
      </c>
      <c r="R73" s="45">
        <f t="shared" si="158"/>
        <v>0</v>
      </c>
      <c r="S73" s="45">
        <f t="shared" si="158"/>
        <v>0</v>
      </c>
      <c r="T73" s="45">
        <f t="shared" si="158"/>
        <v>0</v>
      </c>
      <c r="U73" s="45">
        <f t="shared" si="158"/>
        <v>0</v>
      </c>
      <c r="V73" s="45">
        <f t="shared" si="158"/>
        <v>688</v>
      </c>
      <c r="W73" s="45">
        <f t="shared" si="158"/>
        <v>688</v>
      </c>
      <c r="X73" s="45">
        <f t="shared" si="158"/>
        <v>0</v>
      </c>
      <c r="Y73" s="45">
        <f t="shared" si="158"/>
        <v>1227</v>
      </c>
      <c r="Z73" s="45">
        <f t="shared" si="158"/>
        <v>1227</v>
      </c>
      <c r="AA73" s="45">
        <f t="shared" si="158"/>
        <v>0</v>
      </c>
      <c r="AB73" s="45">
        <f t="shared" si="158"/>
        <v>1227</v>
      </c>
      <c r="AC73" s="45">
        <f t="shared" si="158"/>
        <v>1227</v>
      </c>
      <c r="AD73" s="45">
        <f t="shared" si="158"/>
        <v>0</v>
      </c>
      <c r="AE73" s="45">
        <f t="shared" si="158"/>
        <v>1227</v>
      </c>
      <c r="AF73" s="45">
        <f t="shared" si="158"/>
        <v>1227</v>
      </c>
      <c r="AG73" s="45">
        <f t="shared" si="158"/>
        <v>0</v>
      </c>
      <c r="AH73" s="45">
        <f t="shared" si="158"/>
        <v>19400</v>
      </c>
      <c r="AI73" s="45">
        <f t="shared" si="158"/>
        <v>19400</v>
      </c>
      <c r="AJ73" s="45">
        <f t="shared" si="158"/>
        <v>0</v>
      </c>
      <c r="AK73" s="45">
        <f t="shared" si="158"/>
        <v>2400</v>
      </c>
      <c r="AL73" s="45">
        <f t="shared" si="158"/>
        <v>2400</v>
      </c>
      <c r="AM73" s="45">
        <f t="shared" si="158"/>
        <v>0</v>
      </c>
      <c r="AN73" s="45">
        <f t="shared" si="158"/>
        <v>2402</v>
      </c>
      <c r="AO73" s="45">
        <f t="shared" si="158"/>
        <v>2402</v>
      </c>
      <c r="AP73" s="45">
        <f t="shared" si="158"/>
        <v>0</v>
      </c>
      <c r="AQ73" s="45">
        <f t="shared" si="158"/>
        <v>2404</v>
      </c>
      <c r="AR73" s="45">
        <f t="shared" si="158"/>
        <v>2404</v>
      </c>
      <c r="AS73" s="45">
        <f t="shared" si="158"/>
        <v>0</v>
      </c>
      <c r="AT73" s="45">
        <f t="shared" si="158"/>
        <v>2406</v>
      </c>
      <c r="AU73" s="45">
        <f t="shared" si="158"/>
        <v>2406</v>
      </c>
      <c r="AV73" s="45">
        <f t="shared" si="158"/>
        <v>0</v>
      </c>
      <c r="AW73" s="45">
        <f t="shared" si="158"/>
        <v>30239</v>
      </c>
      <c r="AX73" s="45">
        <f t="shared" si="158"/>
        <v>30239</v>
      </c>
    </row>
    <row r="74" spans="1:50" s="46" customFormat="1" ht="12.75">
      <c r="A74" s="43" t="s">
        <v>85</v>
      </c>
      <c r="B74" s="44" t="s">
        <v>86</v>
      </c>
      <c r="C74" s="45">
        <v>0</v>
      </c>
      <c r="D74" s="45">
        <v>222</v>
      </c>
      <c r="E74" s="45">
        <f aca="true" t="shared" si="159" ref="E74:E79">C74+D74</f>
        <v>222</v>
      </c>
      <c r="F74" s="45"/>
      <c r="G74" s="45"/>
      <c r="H74" s="45">
        <f aca="true" t="shared" si="160" ref="H74:H79">F74+G74</f>
        <v>0</v>
      </c>
      <c r="I74" s="45">
        <f aca="true" t="shared" si="161" ref="I74:J79">O74-C74</f>
        <v>0</v>
      </c>
      <c r="J74" s="45">
        <f t="shared" si="161"/>
        <v>0</v>
      </c>
      <c r="K74" s="45">
        <f aca="true" t="shared" si="162" ref="K74:K79">I74+J74</f>
        <v>0</v>
      </c>
      <c r="L74" s="45">
        <v>0</v>
      </c>
      <c r="M74" s="45">
        <v>0</v>
      </c>
      <c r="N74" s="45">
        <f aca="true" t="shared" si="163" ref="N74:N79">L74+M74</f>
        <v>0</v>
      </c>
      <c r="O74" s="45">
        <v>0</v>
      </c>
      <c r="P74" s="45">
        <v>222</v>
      </c>
      <c r="Q74" s="45">
        <f aca="true" t="shared" si="164" ref="Q74:Q79">O74+P74</f>
        <v>222</v>
      </c>
      <c r="R74" s="45">
        <v>0</v>
      </c>
      <c r="S74" s="45">
        <v>0</v>
      </c>
      <c r="T74" s="45">
        <f aca="true" t="shared" si="165" ref="T74:T79">R74+S74</f>
        <v>0</v>
      </c>
      <c r="U74" s="45">
        <f aca="true" t="shared" si="166" ref="U74:V79">O74-R74</f>
        <v>0</v>
      </c>
      <c r="V74" s="45">
        <f t="shared" si="166"/>
        <v>222</v>
      </c>
      <c r="W74" s="45">
        <f aca="true" t="shared" si="167" ref="W74:W79">U74+V74</f>
        <v>222</v>
      </c>
      <c r="X74" s="45">
        <v>0</v>
      </c>
      <c r="Y74" s="45">
        <v>0</v>
      </c>
      <c r="Z74" s="45">
        <f aca="true" t="shared" si="168" ref="Z74:Z79">X74+Y74</f>
        <v>0</v>
      </c>
      <c r="AA74" s="45">
        <f aca="true" t="shared" si="169" ref="AA74:AB79">X74-R74</f>
        <v>0</v>
      </c>
      <c r="AB74" s="45">
        <f t="shared" si="169"/>
        <v>0</v>
      </c>
      <c r="AC74" s="45">
        <f aca="true" t="shared" si="170" ref="AC74:AC79">AA74+AB74</f>
        <v>0</v>
      </c>
      <c r="AD74" s="45">
        <f aca="true" t="shared" si="171" ref="AD74:AE79">L74+AA74</f>
        <v>0</v>
      </c>
      <c r="AE74" s="45">
        <f t="shared" si="171"/>
        <v>0</v>
      </c>
      <c r="AF74" s="45">
        <f aca="true" t="shared" si="172" ref="AF74:AF79">AD74+AE74</f>
        <v>0</v>
      </c>
      <c r="AG74" s="45">
        <v>0</v>
      </c>
      <c r="AH74" s="45">
        <v>0</v>
      </c>
      <c r="AI74" s="45">
        <f aca="true" t="shared" si="173" ref="AI74:AI79">AG74+AH74</f>
        <v>0</v>
      </c>
      <c r="AJ74" s="45">
        <v>0</v>
      </c>
      <c r="AK74" s="45">
        <v>0</v>
      </c>
      <c r="AL74" s="45">
        <f aca="true" t="shared" si="174" ref="AL74:AL79">AJ74+AK74</f>
        <v>0</v>
      </c>
      <c r="AM74" s="45">
        <v>0</v>
      </c>
      <c r="AN74" s="45">
        <v>0</v>
      </c>
      <c r="AO74" s="45">
        <f aca="true" t="shared" si="175" ref="AO74:AO79">AM74+AN74</f>
        <v>0</v>
      </c>
      <c r="AP74" s="45">
        <v>0</v>
      </c>
      <c r="AQ74" s="45">
        <v>0</v>
      </c>
      <c r="AR74" s="45">
        <f aca="true" t="shared" si="176" ref="AR74:AR79">AP74+AQ74</f>
        <v>0</v>
      </c>
      <c r="AS74" s="45">
        <v>0</v>
      </c>
      <c r="AT74" s="45">
        <v>0</v>
      </c>
      <c r="AU74" s="45">
        <f aca="true" t="shared" si="177" ref="AU74:AU79">AS74+AT74</f>
        <v>0</v>
      </c>
      <c r="AV74" s="45">
        <f aca="true" t="shared" si="178" ref="AV74:AW79">SUM(AS74,AP74,AM74,AJ74,AG74,X74)</f>
        <v>0</v>
      </c>
      <c r="AW74" s="45">
        <f t="shared" si="178"/>
        <v>0</v>
      </c>
      <c r="AX74" s="45">
        <f aca="true" t="shared" si="179" ref="AX74:AX79">AV74+AW74</f>
        <v>0</v>
      </c>
    </row>
    <row r="75" spans="1:50" s="47" customFormat="1" ht="11.25" outlineLevel="1">
      <c r="A75" s="37" t="s">
        <v>87</v>
      </c>
      <c r="B75" s="38" t="s">
        <v>88</v>
      </c>
      <c r="C75" s="48"/>
      <c r="D75" s="48"/>
      <c r="E75" s="48">
        <f t="shared" si="159"/>
        <v>0</v>
      </c>
      <c r="F75" s="48">
        <v>1497</v>
      </c>
      <c r="G75" s="48"/>
      <c r="H75" s="48">
        <f t="shared" si="160"/>
        <v>1497</v>
      </c>
      <c r="I75" s="48">
        <f t="shared" si="161"/>
        <v>1853</v>
      </c>
      <c r="J75" s="48">
        <f t="shared" si="161"/>
        <v>0</v>
      </c>
      <c r="K75" s="48">
        <f t="shared" si="162"/>
        <v>1853</v>
      </c>
      <c r="L75" s="48">
        <v>356</v>
      </c>
      <c r="M75" s="48"/>
      <c r="N75" s="48">
        <f t="shared" si="163"/>
        <v>356</v>
      </c>
      <c r="O75" s="48">
        <v>1853</v>
      </c>
      <c r="P75" s="48"/>
      <c r="Q75" s="48">
        <f t="shared" si="164"/>
        <v>1853</v>
      </c>
      <c r="R75" s="48">
        <f>1497+356</f>
        <v>1853</v>
      </c>
      <c r="S75" s="48"/>
      <c r="T75" s="48">
        <f t="shared" si="165"/>
        <v>1853</v>
      </c>
      <c r="U75" s="48">
        <f t="shared" si="166"/>
        <v>0</v>
      </c>
      <c r="V75" s="48">
        <f t="shared" si="166"/>
        <v>0</v>
      </c>
      <c r="W75" s="48">
        <f t="shared" si="167"/>
        <v>0</v>
      </c>
      <c r="X75" s="48">
        <v>1853</v>
      </c>
      <c r="Y75" s="48"/>
      <c r="Z75" s="48">
        <f t="shared" si="168"/>
        <v>1853</v>
      </c>
      <c r="AA75" s="48">
        <f t="shared" si="169"/>
        <v>0</v>
      </c>
      <c r="AB75" s="48">
        <f t="shared" si="169"/>
        <v>0</v>
      </c>
      <c r="AC75" s="48">
        <f t="shared" si="170"/>
        <v>0</v>
      </c>
      <c r="AD75" s="48">
        <f t="shared" si="171"/>
        <v>356</v>
      </c>
      <c r="AE75" s="48">
        <f t="shared" si="171"/>
        <v>0</v>
      </c>
      <c r="AF75" s="48">
        <f t="shared" si="172"/>
        <v>356</v>
      </c>
      <c r="AG75" s="48"/>
      <c r="AH75" s="48"/>
      <c r="AI75" s="48">
        <f t="shared" si="173"/>
        <v>0</v>
      </c>
      <c r="AJ75" s="48"/>
      <c r="AK75" s="48"/>
      <c r="AL75" s="48">
        <f t="shared" si="174"/>
        <v>0</v>
      </c>
      <c r="AM75" s="48"/>
      <c r="AN75" s="48"/>
      <c r="AO75" s="48">
        <f t="shared" si="175"/>
        <v>0</v>
      </c>
      <c r="AP75" s="48"/>
      <c r="AQ75" s="48"/>
      <c r="AR75" s="48">
        <f t="shared" si="176"/>
        <v>0</v>
      </c>
      <c r="AS75" s="48"/>
      <c r="AT75" s="48"/>
      <c r="AU75" s="48">
        <f t="shared" si="177"/>
        <v>0</v>
      </c>
      <c r="AV75" s="48">
        <f t="shared" si="178"/>
        <v>1853</v>
      </c>
      <c r="AW75" s="48">
        <f t="shared" si="178"/>
        <v>0</v>
      </c>
      <c r="AX75" s="48">
        <f t="shared" si="179"/>
        <v>1853</v>
      </c>
    </row>
    <row r="76" spans="1:50" s="47" customFormat="1" ht="11.25" outlineLevel="1">
      <c r="A76" s="37" t="s">
        <v>87</v>
      </c>
      <c r="B76" s="38" t="s">
        <v>89</v>
      </c>
      <c r="C76" s="40"/>
      <c r="D76" s="40"/>
      <c r="E76" s="40">
        <f t="shared" si="159"/>
        <v>0</v>
      </c>
      <c r="F76" s="40"/>
      <c r="G76" s="40"/>
      <c r="H76" s="40">
        <f t="shared" si="160"/>
        <v>0</v>
      </c>
      <c r="I76" s="40">
        <f t="shared" si="161"/>
        <v>0</v>
      </c>
      <c r="J76" s="40">
        <f t="shared" si="161"/>
        <v>0</v>
      </c>
      <c r="K76" s="40">
        <f t="shared" si="162"/>
        <v>0</v>
      </c>
      <c r="L76" s="40"/>
      <c r="M76" s="40"/>
      <c r="N76" s="40">
        <f t="shared" si="163"/>
        <v>0</v>
      </c>
      <c r="O76" s="40"/>
      <c r="P76" s="40"/>
      <c r="Q76" s="40">
        <f t="shared" si="164"/>
        <v>0</v>
      </c>
      <c r="R76" s="40"/>
      <c r="S76" s="40"/>
      <c r="T76" s="40">
        <f t="shared" si="165"/>
        <v>0</v>
      </c>
      <c r="U76" s="40">
        <f t="shared" si="166"/>
        <v>0</v>
      </c>
      <c r="V76" s="40">
        <f t="shared" si="166"/>
        <v>0</v>
      </c>
      <c r="W76" s="40">
        <f t="shared" si="167"/>
        <v>0</v>
      </c>
      <c r="X76" s="40"/>
      <c r="Y76" s="40"/>
      <c r="Z76" s="40">
        <f t="shared" si="168"/>
        <v>0</v>
      </c>
      <c r="AA76" s="40">
        <f t="shared" si="169"/>
        <v>0</v>
      </c>
      <c r="AB76" s="40">
        <f t="shared" si="169"/>
        <v>0</v>
      </c>
      <c r="AC76" s="40">
        <f t="shared" si="170"/>
        <v>0</v>
      </c>
      <c r="AD76" s="40">
        <f t="shared" si="171"/>
        <v>0</v>
      </c>
      <c r="AE76" s="40">
        <f t="shared" si="171"/>
        <v>0</v>
      </c>
      <c r="AF76" s="40">
        <f t="shared" si="172"/>
        <v>0</v>
      </c>
      <c r="AG76" s="40"/>
      <c r="AH76" s="40"/>
      <c r="AI76" s="40">
        <f t="shared" si="173"/>
        <v>0</v>
      </c>
      <c r="AJ76" s="40"/>
      <c r="AK76" s="40"/>
      <c r="AL76" s="40">
        <f t="shared" si="174"/>
        <v>0</v>
      </c>
      <c r="AM76" s="40"/>
      <c r="AN76" s="40"/>
      <c r="AO76" s="40">
        <f t="shared" si="175"/>
        <v>0</v>
      </c>
      <c r="AP76" s="40"/>
      <c r="AQ76" s="40"/>
      <c r="AR76" s="40">
        <f t="shared" si="176"/>
        <v>0</v>
      </c>
      <c r="AS76" s="40"/>
      <c r="AT76" s="40"/>
      <c r="AU76" s="40">
        <f t="shared" si="177"/>
        <v>0</v>
      </c>
      <c r="AV76" s="40">
        <f t="shared" si="178"/>
        <v>0</v>
      </c>
      <c r="AW76" s="40">
        <f t="shared" si="178"/>
        <v>0</v>
      </c>
      <c r="AX76" s="40">
        <f t="shared" si="179"/>
        <v>0</v>
      </c>
    </row>
    <row r="77" spans="1:50" s="47" customFormat="1" ht="11.25" outlineLevel="1">
      <c r="A77" s="37" t="s">
        <v>87</v>
      </c>
      <c r="B77" s="38" t="s">
        <v>90</v>
      </c>
      <c r="C77" s="40"/>
      <c r="D77" s="40">
        <v>19760</v>
      </c>
      <c r="E77" s="40">
        <f t="shared" si="159"/>
        <v>19760</v>
      </c>
      <c r="F77" s="40"/>
      <c r="G77" s="40">
        <v>12082</v>
      </c>
      <c r="H77" s="40">
        <f t="shared" si="160"/>
        <v>12082</v>
      </c>
      <c r="I77" s="40">
        <f t="shared" si="161"/>
        <v>0</v>
      </c>
      <c r="J77" s="40">
        <f t="shared" si="161"/>
        <v>7684</v>
      </c>
      <c r="K77" s="40">
        <f t="shared" si="162"/>
        <v>7684</v>
      </c>
      <c r="L77" s="40"/>
      <c r="M77" s="40">
        <v>7746</v>
      </c>
      <c r="N77" s="40">
        <f t="shared" si="163"/>
        <v>7746</v>
      </c>
      <c r="O77" s="40"/>
      <c r="P77" s="40">
        <f>19760+7684</f>
        <v>27444</v>
      </c>
      <c r="Q77" s="40">
        <f t="shared" si="164"/>
        <v>27444</v>
      </c>
      <c r="R77" s="40"/>
      <c r="S77" s="40">
        <f>12082+7746</f>
        <v>19828</v>
      </c>
      <c r="T77" s="40">
        <f t="shared" si="165"/>
        <v>19828</v>
      </c>
      <c r="U77" s="40">
        <f t="shared" si="166"/>
        <v>0</v>
      </c>
      <c r="V77" s="40">
        <f t="shared" si="166"/>
        <v>7616</v>
      </c>
      <c r="W77" s="40">
        <f t="shared" si="167"/>
        <v>7616</v>
      </c>
      <c r="X77" s="40"/>
      <c r="Y77" s="40">
        <f>12082+7746+(1500*4)</f>
        <v>25828</v>
      </c>
      <c r="Z77" s="40">
        <f t="shared" si="168"/>
        <v>25828</v>
      </c>
      <c r="AA77" s="40">
        <f t="shared" si="169"/>
        <v>0</v>
      </c>
      <c r="AB77" s="40">
        <f t="shared" si="169"/>
        <v>6000</v>
      </c>
      <c r="AC77" s="40">
        <f t="shared" si="170"/>
        <v>6000</v>
      </c>
      <c r="AD77" s="40">
        <f t="shared" si="171"/>
        <v>0</v>
      </c>
      <c r="AE77" s="40">
        <f t="shared" si="171"/>
        <v>13746</v>
      </c>
      <c r="AF77" s="40">
        <f t="shared" si="172"/>
        <v>13746</v>
      </c>
      <c r="AG77" s="40"/>
      <c r="AH77" s="40">
        <v>3000</v>
      </c>
      <c r="AI77" s="40">
        <f t="shared" si="173"/>
        <v>3000</v>
      </c>
      <c r="AJ77" s="40"/>
      <c r="AK77" s="40"/>
      <c r="AL77" s="40">
        <f t="shared" si="174"/>
        <v>0</v>
      </c>
      <c r="AM77" s="40"/>
      <c r="AN77" s="40"/>
      <c r="AO77" s="40">
        <f t="shared" si="175"/>
        <v>0</v>
      </c>
      <c r="AP77" s="40"/>
      <c r="AQ77" s="40"/>
      <c r="AR77" s="40">
        <f t="shared" si="176"/>
        <v>0</v>
      </c>
      <c r="AS77" s="40"/>
      <c r="AT77" s="40"/>
      <c r="AU77" s="40">
        <f t="shared" si="177"/>
        <v>0</v>
      </c>
      <c r="AV77" s="40">
        <f t="shared" si="178"/>
        <v>0</v>
      </c>
      <c r="AW77" s="40">
        <f t="shared" si="178"/>
        <v>28828</v>
      </c>
      <c r="AX77" s="40">
        <f t="shared" si="179"/>
        <v>28828</v>
      </c>
    </row>
    <row r="78" spans="1:50" s="47" customFormat="1" ht="11.25" outlineLevel="1">
      <c r="A78" s="37" t="s">
        <v>87</v>
      </c>
      <c r="B78" s="38" t="s">
        <v>55</v>
      </c>
      <c r="C78" s="40">
        <v>6000</v>
      </c>
      <c r="D78" s="40"/>
      <c r="E78" s="40">
        <f t="shared" si="159"/>
        <v>6000</v>
      </c>
      <c r="F78" s="40"/>
      <c r="G78" s="40"/>
      <c r="H78" s="40">
        <f t="shared" si="160"/>
        <v>0</v>
      </c>
      <c r="I78" s="40">
        <f t="shared" si="161"/>
        <v>-1853</v>
      </c>
      <c r="J78" s="40">
        <f t="shared" si="161"/>
        <v>0</v>
      </c>
      <c r="K78" s="40">
        <f t="shared" si="162"/>
        <v>-1853</v>
      </c>
      <c r="L78" s="40"/>
      <c r="M78" s="40"/>
      <c r="N78" s="40">
        <f t="shared" si="163"/>
        <v>0</v>
      </c>
      <c r="O78" s="40">
        <f>6000-1853</f>
        <v>4147</v>
      </c>
      <c r="P78" s="40"/>
      <c r="Q78" s="40">
        <f t="shared" si="164"/>
        <v>4147</v>
      </c>
      <c r="R78" s="40"/>
      <c r="S78" s="40"/>
      <c r="T78" s="40">
        <f t="shared" si="165"/>
        <v>0</v>
      </c>
      <c r="U78" s="40">
        <f t="shared" si="166"/>
        <v>4147</v>
      </c>
      <c r="V78" s="40">
        <f t="shared" si="166"/>
        <v>0</v>
      </c>
      <c r="W78" s="40">
        <f t="shared" si="167"/>
        <v>4147</v>
      </c>
      <c r="X78" s="40"/>
      <c r="Y78" s="40"/>
      <c r="Z78" s="40">
        <f t="shared" si="168"/>
        <v>0</v>
      </c>
      <c r="AA78" s="40">
        <f t="shared" si="169"/>
        <v>0</v>
      </c>
      <c r="AB78" s="40">
        <f t="shared" si="169"/>
        <v>0</v>
      </c>
      <c r="AC78" s="40">
        <f t="shared" si="170"/>
        <v>0</v>
      </c>
      <c r="AD78" s="40">
        <f t="shared" si="171"/>
        <v>0</v>
      </c>
      <c r="AE78" s="40">
        <f t="shared" si="171"/>
        <v>0</v>
      </c>
      <c r="AF78" s="40">
        <f t="shared" si="172"/>
        <v>0</v>
      </c>
      <c r="AG78" s="40"/>
      <c r="AH78" s="40"/>
      <c r="AI78" s="40">
        <f t="shared" si="173"/>
        <v>0</v>
      </c>
      <c r="AJ78" s="40"/>
      <c r="AK78" s="40"/>
      <c r="AL78" s="40">
        <f t="shared" si="174"/>
        <v>0</v>
      </c>
      <c r="AM78" s="40"/>
      <c r="AN78" s="40"/>
      <c r="AO78" s="40">
        <f t="shared" si="175"/>
        <v>0</v>
      </c>
      <c r="AP78" s="40"/>
      <c r="AQ78" s="40"/>
      <c r="AR78" s="40">
        <f t="shared" si="176"/>
        <v>0</v>
      </c>
      <c r="AS78" s="40"/>
      <c r="AT78" s="40"/>
      <c r="AU78" s="40">
        <f t="shared" si="177"/>
        <v>0</v>
      </c>
      <c r="AV78" s="40">
        <f t="shared" si="178"/>
        <v>0</v>
      </c>
      <c r="AW78" s="40">
        <f t="shared" si="178"/>
        <v>0</v>
      </c>
      <c r="AX78" s="40">
        <f t="shared" si="179"/>
        <v>0</v>
      </c>
    </row>
    <row r="79" spans="1:50" s="47" customFormat="1" ht="11.25" outlineLevel="1">
      <c r="A79" s="37" t="s">
        <v>87</v>
      </c>
      <c r="B79" s="38" t="s">
        <v>56</v>
      </c>
      <c r="C79" s="40"/>
      <c r="D79" s="40"/>
      <c r="E79" s="40">
        <f t="shared" si="159"/>
        <v>0</v>
      </c>
      <c r="F79" s="40"/>
      <c r="G79" s="40"/>
      <c r="H79" s="40">
        <f t="shared" si="160"/>
        <v>0</v>
      </c>
      <c r="I79" s="40">
        <f t="shared" si="161"/>
        <v>0</v>
      </c>
      <c r="J79" s="40">
        <f t="shared" si="161"/>
        <v>-3684</v>
      </c>
      <c r="K79" s="40">
        <f t="shared" si="162"/>
        <v>-3684</v>
      </c>
      <c r="L79" s="40"/>
      <c r="M79" s="40"/>
      <c r="N79" s="40">
        <f t="shared" si="163"/>
        <v>0</v>
      </c>
      <c r="O79" s="40"/>
      <c r="P79" s="40">
        <v>-3684</v>
      </c>
      <c r="Q79" s="40">
        <f t="shared" si="164"/>
        <v>-3684</v>
      </c>
      <c r="R79" s="40"/>
      <c r="S79" s="40"/>
      <c r="T79" s="40">
        <f t="shared" si="165"/>
        <v>0</v>
      </c>
      <c r="U79" s="40">
        <f t="shared" si="166"/>
        <v>0</v>
      </c>
      <c r="V79" s="40">
        <f t="shared" si="166"/>
        <v>-3684</v>
      </c>
      <c r="W79" s="40">
        <f t="shared" si="167"/>
        <v>-3684</v>
      </c>
      <c r="X79" s="40"/>
      <c r="Y79" s="40"/>
      <c r="Z79" s="40">
        <f t="shared" si="168"/>
        <v>0</v>
      </c>
      <c r="AA79" s="40">
        <f t="shared" si="169"/>
        <v>0</v>
      </c>
      <c r="AB79" s="40">
        <f t="shared" si="169"/>
        <v>0</v>
      </c>
      <c r="AC79" s="40">
        <f t="shared" si="170"/>
        <v>0</v>
      </c>
      <c r="AD79" s="40">
        <f t="shared" si="171"/>
        <v>0</v>
      </c>
      <c r="AE79" s="40">
        <f t="shared" si="171"/>
        <v>0</v>
      </c>
      <c r="AF79" s="40">
        <f t="shared" si="172"/>
        <v>0</v>
      </c>
      <c r="AG79" s="40"/>
      <c r="AH79" s="40"/>
      <c r="AI79" s="40">
        <f t="shared" si="173"/>
        <v>0</v>
      </c>
      <c r="AJ79" s="40"/>
      <c r="AK79" s="40"/>
      <c r="AL79" s="40">
        <f t="shared" si="174"/>
        <v>0</v>
      </c>
      <c r="AM79" s="40"/>
      <c r="AN79" s="40"/>
      <c r="AO79" s="40">
        <f t="shared" si="175"/>
        <v>0</v>
      </c>
      <c r="AP79" s="40"/>
      <c r="AQ79" s="40"/>
      <c r="AR79" s="40">
        <f t="shared" si="176"/>
        <v>0</v>
      </c>
      <c r="AS79" s="40"/>
      <c r="AT79" s="40"/>
      <c r="AU79" s="40">
        <f t="shared" si="177"/>
        <v>0</v>
      </c>
      <c r="AV79" s="40">
        <f t="shared" si="178"/>
        <v>0</v>
      </c>
      <c r="AW79" s="40">
        <f t="shared" si="178"/>
        <v>0</v>
      </c>
      <c r="AX79" s="40">
        <f t="shared" si="179"/>
        <v>0</v>
      </c>
    </row>
    <row r="80" spans="1:50" s="46" customFormat="1" ht="12.75">
      <c r="A80" s="43" t="s">
        <v>87</v>
      </c>
      <c r="B80" s="44" t="s">
        <v>91</v>
      </c>
      <c r="C80" s="45">
        <f aca="true" t="shared" si="180" ref="C80:AX80">SUM(C75:C79)</f>
        <v>6000</v>
      </c>
      <c r="D80" s="45">
        <f t="shared" si="180"/>
        <v>19760</v>
      </c>
      <c r="E80" s="45">
        <f t="shared" si="180"/>
        <v>25760</v>
      </c>
      <c r="F80" s="45">
        <f t="shared" si="180"/>
        <v>1497</v>
      </c>
      <c r="G80" s="45">
        <f t="shared" si="180"/>
        <v>12082</v>
      </c>
      <c r="H80" s="45">
        <f t="shared" si="180"/>
        <v>13579</v>
      </c>
      <c r="I80" s="45">
        <f t="shared" si="180"/>
        <v>0</v>
      </c>
      <c r="J80" s="45">
        <f t="shared" si="180"/>
        <v>4000</v>
      </c>
      <c r="K80" s="45">
        <f t="shared" si="180"/>
        <v>4000</v>
      </c>
      <c r="L80" s="45">
        <f t="shared" si="180"/>
        <v>356</v>
      </c>
      <c r="M80" s="45">
        <f t="shared" si="180"/>
        <v>7746</v>
      </c>
      <c r="N80" s="45">
        <f t="shared" si="180"/>
        <v>8102</v>
      </c>
      <c r="O80" s="45">
        <f t="shared" si="180"/>
        <v>6000</v>
      </c>
      <c r="P80" s="45">
        <f t="shared" si="180"/>
        <v>23760</v>
      </c>
      <c r="Q80" s="45">
        <f t="shared" si="180"/>
        <v>29760</v>
      </c>
      <c r="R80" s="45">
        <f t="shared" si="180"/>
        <v>1853</v>
      </c>
      <c r="S80" s="45">
        <f t="shared" si="180"/>
        <v>19828</v>
      </c>
      <c r="T80" s="45">
        <f t="shared" si="180"/>
        <v>21681</v>
      </c>
      <c r="U80" s="45">
        <f t="shared" si="180"/>
        <v>4147</v>
      </c>
      <c r="V80" s="45">
        <f t="shared" si="180"/>
        <v>3932</v>
      </c>
      <c r="W80" s="45">
        <f t="shared" si="180"/>
        <v>8079</v>
      </c>
      <c r="X80" s="45">
        <f t="shared" si="180"/>
        <v>1853</v>
      </c>
      <c r="Y80" s="45">
        <f t="shared" si="180"/>
        <v>25828</v>
      </c>
      <c r="Z80" s="45">
        <f t="shared" si="180"/>
        <v>27681</v>
      </c>
      <c r="AA80" s="45">
        <f t="shared" si="180"/>
        <v>0</v>
      </c>
      <c r="AB80" s="45">
        <f t="shared" si="180"/>
        <v>6000</v>
      </c>
      <c r="AC80" s="45">
        <f t="shared" si="180"/>
        <v>6000</v>
      </c>
      <c r="AD80" s="45">
        <f t="shared" si="180"/>
        <v>356</v>
      </c>
      <c r="AE80" s="45">
        <f t="shared" si="180"/>
        <v>13746</v>
      </c>
      <c r="AF80" s="45">
        <f t="shared" si="180"/>
        <v>14102</v>
      </c>
      <c r="AG80" s="45">
        <f t="shared" si="180"/>
        <v>0</v>
      </c>
      <c r="AH80" s="45">
        <f t="shared" si="180"/>
        <v>3000</v>
      </c>
      <c r="AI80" s="45">
        <f t="shared" si="180"/>
        <v>3000</v>
      </c>
      <c r="AJ80" s="45">
        <f t="shared" si="180"/>
        <v>0</v>
      </c>
      <c r="AK80" s="45">
        <f t="shared" si="180"/>
        <v>0</v>
      </c>
      <c r="AL80" s="45">
        <f t="shared" si="180"/>
        <v>0</v>
      </c>
      <c r="AM80" s="45">
        <f t="shared" si="180"/>
        <v>0</v>
      </c>
      <c r="AN80" s="45">
        <f t="shared" si="180"/>
        <v>0</v>
      </c>
      <c r="AO80" s="45">
        <f t="shared" si="180"/>
        <v>0</v>
      </c>
      <c r="AP80" s="45">
        <f t="shared" si="180"/>
        <v>0</v>
      </c>
      <c r="AQ80" s="45">
        <f t="shared" si="180"/>
        <v>0</v>
      </c>
      <c r="AR80" s="45">
        <f t="shared" si="180"/>
        <v>0</v>
      </c>
      <c r="AS80" s="45">
        <f t="shared" si="180"/>
        <v>0</v>
      </c>
      <c r="AT80" s="45">
        <f t="shared" si="180"/>
        <v>0</v>
      </c>
      <c r="AU80" s="45">
        <f t="shared" si="180"/>
        <v>0</v>
      </c>
      <c r="AV80" s="45">
        <f t="shared" si="180"/>
        <v>1853</v>
      </c>
      <c r="AW80" s="45">
        <f t="shared" si="180"/>
        <v>28828</v>
      </c>
      <c r="AX80" s="45">
        <f t="shared" si="180"/>
        <v>30681</v>
      </c>
    </row>
    <row r="81" spans="1:50" s="46" customFormat="1" ht="12.75">
      <c r="A81" s="43" t="s">
        <v>92</v>
      </c>
      <c r="B81" s="44" t="s">
        <v>93</v>
      </c>
      <c r="C81" s="45">
        <v>0</v>
      </c>
      <c r="D81" s="45">
        <v>3238</v>
      </c>
      <c r="E81" s="45">
        <f aca="true" t="shared" si="181" ref="E81:E89">C81+D81</f>
        <v>3238</v>
      </c>
      <c r="F81" s="45"/>
      <c r="G81" s="45"/>
      <c r="H81" s="45">
        <f aca="true" t="shared" si="182" ref="H81:H89">F81+G81</f>
        <v>0</v>
      </c>
      <c r="I81" s="45">
        <f aca="true" t="shared" si="183" ref="I81:I89">O81-C81</f>
        <v>0</v>
      </c>
      <c r="J81" s="45">
        <f aca="true" t="shared" si="184" ref="J81:J89">P81-D81</f>
        <v>0</v>
      </c>
      <c r="K81" s="45">
        <f aca="true" t="shared" si="185" ref="K81:K89">I81+J81</f>
        <v>0</v>
      </c>
      <c r="L81" s="45"/>
      <c r="M81" s="45"/>
      <c r="N81" s="45">
        <f aca="true" t="shared" si="186" ref="N81:N89">L81+M81</f>
        <v>0</v>
      </c>
      <c r="O81" s="45"/>
      <c r="P81" s="45">
        <v>3238</v>
      </c>
      <c r="Q81" s="45">
        <f aca="true" t="shared" si="187" ref="Q81:Q89">O81+P81</f>
        <v>3238</v>
      </c>
      <c r="R81" s="45">
        <v>0</v>
      </c>
      <c r="S81" s="45">
        <v>0</v>
      </c>
      <c r="T81" s="45">
        <f aca="true" t="shared" si="188" ref="T81:T89">R81+S81</f>
        <v>0</v>
      </c>
      <c r="U81" s="45">
        <f aca="true" t="shared" si="189" ref="U81:U89">O81-R81</f>
        <v>0</v>
      </c>
      <c r="V81" s="45">
        <f aca="true" t="shared" si="190" ref="V81:V89">P81-S81</f>
        <v>3238</v>
      </c>
      <c r="W81" s="45">
        <f aca="true" t="shared" si="191" ref="W81:W89">U81+V81</f>
        <v>3238</v>
      </c>
      <c r="X81" s="45">
        <v>0</v>
      </c>
      <c r="Y81" s="45">
        <v>0</v>
      </c>
      <c r="Z81" s="45">
        <f aca="true" t="shared" si="192" ref="Z81:Z89">X81+Y81</f>
        <v>0</v>
      </c>
      <c r="AA81" s="45">
        <f>X81-R81</f>
        <v>0</v>
      </c>
      <c r="AB81" s="45">
        <f>Y81-S81</f>
        <v>0</v>
      </c>
      <c r="AC81" s="45">
        <f aca="true" t="shared" si="193" ref="AC81:AC89">AA81+AB81</f>
        <v>0</v>
      </c>
      <c r="AD81" s="45">
        <f>L81+AA81</f>
        <v>0</v>
      </c>
      <c r="AE81" s="45">
        <f>M81+AB81</f>
        <v>0</v>
      </c>
      <c r="AF81" s="45">
        <f aca="true" t="shared" si="194" ref="AF81:AF89">AD81+AE81</f>
        <v>0</v>
      </c>
      <c r="AG81" s="45">
        <v>0</v>
      </c>
      <c r="AH81" s="45">
        <v>0</v>
      </c>
      <c r="AI81" s="45">
        <f aca="true" t="shared" si="195" ref="AI81:AI89">AG81+AH81</f>
        <v>0</v>
      </c>
      <c r="AJ81" s="45">
        <v>0</v>
      </c>
      <c r="AK81" s="45">
        <v>0</v>
      </c>
      <c r="AL81" s="45">
        <f aca="true" t="shared" si="196" ref="AL81:AL89">AJ81+AK81</f>
        <v>0</v>
      </c>
      <c r="AM81" s="45">
        <v>0</v>
      </c>
      <c r="AN81" s="45">
        <v>0</v>
      </c>
      <c r="AO81" s="45">
        <f aca="true" t="shared" si="197" ref="AO81:AO89">AM81+AN81</f>
        <v>0</v>
      </c>
      <c r="AP81" s="45">
        <v>0</v>
      </c>
      <c r="AQ81" s="45">
        <v>0</v>
      </c>
      <c r="AR81" s="45">
        <f aca="true" t="shared" si="198" ref="AR81:AR89">AP81+AQ81</f>
        <v>0</v>
      </c>
      <c r="AS81" s="45">
        <v>0</v>
      </c>
      <c r="AT81" s="45">
        <v>0</v>
      </c>
      <c r="AU81" s="45">
        <f aca="true" t="shared" si="199" ref="AU81:AU89">AS81+AT81</f>
        <v>0</v>
      </c>
      <c r="AV81" s="45">
        <f>SUM(AS81,AP81,AM81,AJ81,AG81,X81)</f>
        <v>0</v>
      </c>
      <c r="AW81" s="45">
        <f>SUM(AT81,AQ81,AN81,AK81,AH81,Y81)</f>
        <v>0</v>
      </c>
      <c r="AX81" s="45">
        <f aca="true" t="shared" si="200" ref="AX81:AX89">AV81+AW81</f>
        <v>0</v>
      </c>
    </row>
    <row r="82" spans="1:50" s="46" customFormat="1" ht="12.75">
      <c r="A82" s="43" t="s">
        <v>94</v>
      </c>
      <c r="B82" s="44" t="s">
        <v>95</v>
      </c>
      <c r="C82" s="45">
        <v>0</v>
      </c>
      <c r="D82" s="45">
        <v>833</v>
      </c>
      <c r="E82" s="45">
        <f t="shared" si="181"/>
        <v>833</v>
      </c>
      <c r="F82" s="45">
        <v>0</v>
      </c>
      <c r="G82" s="45">
        <v>41</v>
      </c>
      <c r="H82" s="45">
        <f t="shared" si="182"/>
        <v>41</v>
      </c>
      <c r="I82" s="45">
        <f t="shared" si="183"/>
        <v>0</v>
      </c>
      <c r="J82" s="45">
        <f t="shared" si="184"/>
        <v>0</v>
      </c>
      <c r="K82" s="45">
        <f t="shared" si="185"/>
        <v>0</v>
      </c>
      <c r="L82" s="45"/>
      <c r="M82" s="45"/>
      <c r="N82" s="45">
        <f t="shared" si="186"/>
        <v>0</v>
      </c>
      <c r="O82" s="45"/>
      <c r="P82" s="45">
        <v>833</v>
      </c>
      <c r="Q82" s="45">
        <f t="shared" si="187"/>
        <v>833</v>
      </c>
      <c r="R82" s="45">
        <v>0</v>
      </c>
      <c r="S82" s="45">
        <v>41</v>
      </c>
      <c r="T82" s="45">
        <f t="shared" si="188"/>
        <v>41</v>
      </c>
      <c r="U82" s="45">
        <f t="shared" si="189"/>
        <v>0</v>
      </c>
      <c r="V82" s="45">
        <f t="shared" si="190"/>
        <v>792</v>
      </c>
      <c r="W82" s="45">
        <f t="shared" si="191"/>
        <v>792</v>
      </c>
      <c r="X82" s="45">
        <v>0</v>
      </c>
      <c r="Y82" s="45">
        <v>41</v>
      </c>
      <c r="Z82" s="45">
        <f t="shared" si="192"/>
        <v>41</v>
      </c>
      <c r="AA82" s="45">
        <f aca="true" t="shared" si="201" ref="AA82:AA89">X82-R82</f>
        <v>0</v>
      </c>
      <c r="AB82" s="45">
        <v>50</v>
      </c>
      <c r="AC82" s="45">
        <f t="shared" si="193"/>
        <v>50</v>
      </c>
      <c r="AD82" s="45">
        <f aca="true" t="shared" si="202" ref="AD82:AD89">L82+AA82</f>
        <v>0</v>
      </c>
      <c r="AE82" s="45">
        <v>50</v>
      </c>
      <c r="AF82" s="45">
        <f t="shared" si="194"/>
        <v>50</v>
      </c>
      <c r="AG82" s="45">
        <v>0</v>
      </c>
      <c r="AH82" s="45">
        <v>100</v>
      </c>
      <c r="AI82" s="45">
        <f t="shared" si="195"/>
        <v>100</v>
      </c>
      <c r="AJ82" s="45">
        <v>0</v>
      </c>
      <c r="AK82" s="45">
        <v>50</v>
      </c>
      <c r="AL82" s="45">
        <f t="shared" si="196"/>
        <v>50</v>
      </c>
      <c r="AM82" s="45">
        <v>0</v>
      </c>
      <c r="AN82" s="45">
        <v>50</v>
      </c>
      <c r="AO82" s="45">
        <f t="shared" si="197"/>
        <v>50</v>
      </c>
      <c r="AP82" s="45">
        <v>0</v>
      </c>
      <c r="AQ82" s="45">
        <v>50</v>
      </c>
      <c r="AR82" s="45">
        <f t="shared" si="198"/>
        <v>50</v>
      </c>
      <c r="AS82" s="45">
        <v>0</v>
      </c>
      <c r="AT82" s="45">
        <v>50</v>
      </c>
      <c r="AU82" s="45">
        <f t="shared" si="199"/>
        <v>50</v>
      </c>
      <c r="AV82" s="45">
        <f aca="true" t="shared" si="203" ref="AV82:AV89">SUM(AS82,AP82,AM82,AJ82,AG82,X82)</f>
        <v>0</v>
      </c>
      <c r="AW82" s="45">
        <f>SUM(AT82,AQ82,AN82,AK82,AH82,Y82,AE82)</f>
        <v>391</v>
      </c>
      <c r="AX82" s="45">
        <f t="shared" si="200"/>
        <v>391</v>
      </c>
    </row>
    <row r="83" spans="1:50" s="47" customFormat="1" ht="11.25" outlineLevel="1">
      <c r="A83" s="37" t="s">
        <v>96</v>
      </c>
      <c r="B83" s="38" t="s">
        <v>97</v>
      </c>
      <c r="C83" s="48"/>
      <c r="D83" s="48">
        <v>5550</v>
      </c>
      <c r="E83" s="48">
        <f t="shared" si="181"/>
        <v>5550</v>
      </c>
      <c r="F83" s="48"/>
      <c r="G83" s="48"/>
      <c r="H83" s="48">
        <f t="shared" si="182"/>
        <v>0</v>
      </c>
      <c r="I83" s="48">
        <f t="shared" si="183"/>
        <v>0</v>
      </c>
      <c r="J83" s="48">
        <f t="shared" si="184"/>
        <v>0</v>
      </c>
      <c r="K83" s="48">
        <f t="shared" si="185"/>
        <v>0</v>
      </c>
      <c r="L83" s="48"/>
      <c r="M83" s="48">
        <v>2009</v>
      </c>
      <c r="N83" s="48">
        <f t="shared" si="186"/>
        <v>2009</v>
      </c>
      <c r="O83" s="48"/>
      <c r="P83" s="48">
        <v>5550</v>
      </c>
      <c r="Q83" s="48">
        <f t="shared" si="187"/>
        <v>5550</v>
      </c>
      <c r="R83" s="48"/>
      <c r="S83" s="48">
        <v>2009</v>
      </c>
      <c r="T83" s="48">
        <f t="shared" si="188"/>
        <v>2009</v>
      </c>
      <c r="U83" s="48">
        <f t="shared" si="189"/>
        <v>0</v>
      </c>
      <c r="V83" s="48">
        <f t="shared" si="190"/>
        <v>3541</v>
      </c>
      <c r="W83" s="48">
        <f t="shared" si="191"/>
        <v>3541</v>
      </c>
      <c r="X83" s="48">
        <v>100</v>
      </c>
      <c r="Y83" s="48">
        <v>2009</v>
      </c>
      <c r="Z83" s="48">
        <f t="shared" si="192"/>
        <v>2109</v>
      </c>
      <c r="AA83" s="48">
        <f t="shared" si="201"/>
        <v>100</v>
      </c>
      <c r="AB83" s="48">
        <f aca="true" t="shared" si="204" ref="AB83:AB89">Y83-S83</f>
        <v>0</v>
      </c>
      <c r="AC83" s="48">
        <f t="shared" si="193"/>
        <v>100</v>
      </c>
      <c r="AD83" s="48">
        <f t="shared" si="202"/>
        <v>100</v>
      </c>
      <c r="AE83" s="48">
        <f aca="true" t="shared" si="205" ref="AE83:AE89">M83+AB83</f>
        <v>2009</v>
      </c>
      <c r="AF83" s="48">
        <f t="shared" si="194"/>
        <v>2109</v>
      </c>
      <c r="AG83" s="48"/>
      <c r="AH83" s="48">
        <f>2000+(30*12)</f>
        <v>2360</v>
      </c>
      <c r="AI83" s="48">
        <f t="shared" si="195"/>
        <v>2360</v>
      </c>
      <c r="AJ83" s="48"/>
      <c r="AK83" s="48">
        <f>AH83*1.03</f>
        <v>2430.8</v>
      </c>
      <c r="AL83" s="48">
        <f t="shared" si="196"/>
        <v>2430.8</v>
      </c>
      <c r="AM83" s="48"/>
      <c r="AN83" s="48">
        <f>AI83*1.03</f>
        <v>2430.8</v>
      </c>
      <c r="AO83" s="48">
        <f t="shared" si="197"/>
        <v>2430.8</v>
      </c>
      <c r="AP83" s="48"/>
      <c r="AQ83" s="48">
        <f>AK83*1.03</f>
        <v>2503.724</v>
      </c>
      <c r="AR83" s="48">
        <f t="shared" si="198"/>
        <v>2503.724</v>
      </c>
      <c r="AS83" s="48"/>
      <c r="AT83" s="48">
        <f>AN83*1.03</f>
        <v>2503.724</v>
      </c>
      <c r="AU83" s="48">
        <f t="shared" si="199"/>
        <v>2503.724</v>
      </c>
      <c r="AV83" s="48">
        <f t="shared" si="203"/>
        <v>100</v>
      </c>
      <c r="AW83" s="48">
        <f aca="true" t="shared" si="206" ref="AW83:AW89">SUM(AT83,AQ83,AN83,AK83,AH83,Y83)</f>
        <v>14238.048</v>
      </c>
      <c r="AX83" s="48">
        <f t="shared" si="200"/>
        <v>14338.048</v>
      </c>
    </row>
    <row r="84" spans="1:50" s="47" customFormat="1" ht="11.25" outlineLevel="1">
      <c r="A84" s="37" t="s">
        <v>96</v>
      </c>
      <c r="B84" s="38" t="s">
        <v>98</v>
      </c>
      <c r="C84" s="40"/>
      <c r="D84" s="40">
        <v>308</v>
      </c>
      <c r="E84" s="40">
        <f t="shared" si="181"/>
        <v>308</v>
      </c>
      <c r="F84" s="40"/>
      <c r="G84" s="40"/>
      <c r="H84" s="40">
        <f t="shared" si="182"/>
        <v>0</v>
      </c>
      <c r="I84" s="40">
        <f t="shared" si="183"/>
        <v>0</v>
      </c>
      <c r="J84" s="40">
        <f t="shared" si="184"/>
        <v>0</v>
      </c>
      <c r="K84" s="40">
        <f t="shared" si="185"/>
        <v>0</v>
      </c>
      <c r="L84" s="40"/>
      <c r="M84" s="40"/>
      <c r="N84" s="40">
        <f t="shared" si="186"/>
        <v>0</v>
      </c>
      <c r="O84" s="40"/>
      <c r="P84" s="40">
        <v>308</v>
      </c>
      <c r="Q84" s="40">
        <f t="shared" si="187"/>
        <v>308</v>
      </c>
      <c r="R84" s="40"/>
      <c r="S84" s="40"/>
      <c r="T84" s="40">
        <f t="shared" si="188"/>
        <v>0</v>
      </c>
      <c r="U84" s="40">
        <f t="shared" si="189"/>
        <v>0</v>
      </c>
      <c r="V84" s="40">
        <f t="shared" si="190"/>
        <v>308</v>
      </c>
      <c r="W84" s="40">
        <f t="shared" si="191"/>
        <v>308</v>
      </c>
      <c r="X84" s="40"/>
      <c r="Y84" s="40"/>
      <c r="Z84" s="40">
        <f t="shared" si="192"/>
        <v>0</v>
      </c>
      <c r="AA84" s="40">
        <f t="shared" si="201"/>
        <v>0</v>
      </c>
      <c r="AB84" s="40">
        <f t="shared" si="204"/>
        <v>0</v>
      </c>
      <c r="AC84" s="40">
        <f t="shared" si="193"/>
        <v>0</v>
      </c>
      <c r="AD84" s="40">
        <f t="shared" si="202"/>
        <v>0</v>
      </c>
      <c r="AE84" s="40">
        <f t="shared" si="205"/>
        <v>0</v>
      </c>
      <c r="AF84" s="40">
        <f t="shared" si="194"/>
        <v>0</v>
      </c>
      <c r="AG84" s="40"/>
      <c r="AH84" s="40">
        <v>60</v>
      </c>
      <c r="AI84" s="40">
        <f t="shared" si="195"/>
        <v>60</v>
      </c>
      <c r="AJ84" s="40"/>
      <c r="AK84" s="40">
        <v>30</v>
      </c>
      <c r="AL84" s="40">
        <f t="shared" si="196"/>
        <v>30</v>
      </c>
      <c r="AM84" s="40"/>
      <c r="AN84" s="40">
        <v>30</v>
      </c>
      <c r="AO84" s="40">
        <f t="shared" si="197"/>
        <v>30</v>
      </c>
      <c r="AP84" s="40"/>
      <c r="AQ84" s="40">
        <v>30</v>
      </c>
      <c r="AR84" s="40">
        <f t="shared" si="198"/>
        <v>30</v>
      </c>
      <c r="AS84" s="40"/>
      <c r="AT84" s="40">
        <v>30</v>
      </c>
      <c r="AU84" s="40">
        <f t="shared" si="199"/>
        <v>30</v>
      </c>
      <c r="AV84" s="40">
        <f t="shared" si="203"/>
        <v>0</v>
      </c>
      <c r="AW84" s="40">
        <f t="shared" si="206"/>
        <v>180</v>
      </c>
      <c r="AX84" s="40">
        <f t="shared" si="200"/>
        <v>180</v>
      </c>
    </row>
    <row r="85" spans="1:50" s="47" customFormat="1" ht="11.25" outlineLevel="1">
      <c r="A85" s="37" t="s">
        <v>96</v>
      </c>
      <c r="B85" s="38" t="s">
        <v>99</v>
      </c>
      <c r="C85" s="40"/>
      <c r="D85" s="40"/>
      <c r="E85" s="40">
        <f t="shared" si="181"/>
        <v>0</v>
      </c>
      <c r="F85" s="40"/>
      <c r="G85" s="40">
        <v>2312</v>
      </c>
      <c r="H85" s="40">
        <f t="shared" si="182"/>
        <v>2312</v>
      </c>
      <c r="I85" s="40">
        <f t="shared" si="183"/>
        <v>0</v>
      </c>
      <c r="J85" s="40">
        <f t="shared" si="184"/>
        <v>7298</v>
      </c>
      <c r="K85" s="40">
        <f t="shared" si="185"/>
        <v>7298</v>
      </c>
      <c r="L85" s="40"/>
      <c r="M85" s="40">
        <f>4548+438</f>
        <v>4986</v>
      </c>
      <c r="N85" s="40">
        <f t="shared" si="186"/>
        <v>4986</v>
      </c>
      <c r="O85" s="40"/>
      <c r="P85" s="40">
        <v>7298</v>
      </c>
      <c r="Q85" s="40">
        <f t="shared" si="187"/>
        <v>7298</v>
      </c>
      <c r="R85" s="40"/>
      <c r="S85" s="40">
        <f>4548+2312+438</f>
        <v>7298</v>
      </c>
      <c r="T85" s="40">
        <f t="shared" si="188"/>
        <v>7298</v>
      </c>
      <c r="U85" s="40">
        <f t="shared" si="189"/>
        <v>0</v>
      </c>
      <c r="V85" s="40">
        <f t="shared" si="190"/>
        <v>0</v>
      </c>
      <c r="W85" s="40">
        <f t="shared" si="191"/>
        <v>0</v>
      </c>
      <c r="X85" s="40"/>
      <c r="Y85" s="40">
        <f>9000+7500</f>
        <v>16500</v>
      </c>
      <c r="Z85" s="40">
        <f t="shared" si="192"/>
        <v>16500</v>
      </c>
      <c r="AA85" s="40">
        <f t="shared" si="201"/>
        <v>0</v>
      </c>
      <c r="AB85" s="40">
        <f t="shared" si="204"/>
        <v>9202</v>
      </c>
      <c r="AC85" s="40">
        <f t="shared" si="193"/>
        <v>9202</v>
      </c>
      <c r="AD85" s="40">
        <f t="shared" si="202"/>
        <v>0</v>
      </c>
      <c r="AE85" s="40">
        <f t="shared" si="205"/>
        <v>14188</v>
      </c>
      <c r="AF85" s="40">
        <f t="shared" si="194"/>
        <v>14188</v>
      </c>
      <c r="AG85" s="40"/>
      <c r="AH85" s="40">
        <f>12600+600</f>
        <v>13200</v>
      </c>
      <c r="AI85" s="40">
        <f t="shared" si="195"/>
        <v>13200</v>
      </c>
      <c r="AJ85" s="40"/>
      <c r="AK85" s="40">
        <v>600</v>
      </c>
      <c r="AL85" s="40">
        <f t="shared" si="196"/>
        <v>600</v>
      </c>
      <c r="AM85" s="40"/>
      <c r="AN85" s="40"/>
      <c r="AO85" s="40">
        <f t="shared" si="197"/>
        <v>0</v>
      </c>
      <c r="AP85" s="40"/>
      <c r="AQ85" s="40"/>
      <c r="AR85" s="40">
        <f t="shared" si="198"/>
        <v>0</v>
      </c>
      <c r="AS85" s="40"/>
      <c r="AT85" s="40"/>
      <c r="AU85" s="40">
        <f t="shared" si="199"/>
        <v>0</v>
      </c>
      <c r="AV85" s="40">
        <f t="shared" si="203"/>
        <v>0</v>
      </c>
      <c r="AW85" s="40">
        <f t="shared" si="206"/>
        <v>30300</v>
      </c>
      <c r="AX85" s="40">
        <f t="shared" si="200"/>
        <v>30300</v>
      </c>
    </row>
    <row r="86" spans="1:50" s="47" customFormat="1" ht="11.25" outlineLevel="1">
      <c r="A86" s="37" t="s">
        <v>96</v>
      </c>
      <c r="B86" s="38" t="s">
        <v>100</v>
      </c>
      <c r="C86" s="40">
        <v>14800</v>
      </c>
      <c r="D86" s="40"/>
      <c r="E86" s="40">
        <f t="shared" si="181"/>
        <v>14800</v>
      </c>
      <c r="F86" s="40"/>
      <c r="G86" s="40"/>
      <c r="H86" s="40">
        <f t="shared" si="182"/>
        <v>0</v>
      </c>
      <c r="I86" s="40">
        <f t="shared" si="183"/>
        <v>0</v>
      </c>
      <c r="J86" s="40">
        <f t="shared" si="184"/>
        <v>0</v>
      </c>
      <c r="K86" s="40">
        <f t="shared" si="185"/>
        <v>0</v>
      </c>
      <c r="L86" s="40"/>
      <c r="M86" s="40"/>
      <c r="N86" s="40">
        <f t="shared" si="186"/>
        <v>0</v>
      </c>
      <c r="O86" s="40">
        <v>14800</v>
      </c>
      <c r="P86" s="40"/>
      <c r="Q86" s="40">
        <f t="shared" si="187"/>
        <v>14800</v>
      </c>
      <c r="R86" s="40"/>
      <c r="S86" s="40"/>
      <c r="T86" s="40">
        <f t="shared" si="188"/>
        <v>0</v>
      </c>
      <c r="U86" s="40">
        <f t="shared" si="189"/>
        <v>14800</v>
      </c>
      <c r="V86" s="40">
        <f t="shared" si="190"/>
        <v>0</v>
      </c>
      <c r="W86" s="40">
        <f t="shared" si="191"/>
        <v>14800</v>
      </c>
      <c r="X86" s="40"/>
      <c r="Y86" s="40"/>
      <c r="Z86" s="40">
        <f t="shared" si="192"/>
        <v>0</v>
      </c>
      <c r="AA86" s="40">
        <f t="shared" si="201"/>
        <v>0</v>
      </c>
      <c r="AB86" s="40">
        <f t="shared" si="204"/>
        <v>0</v>
      </c>
      <c r="AC86" s="40">
        <f t="shared" si="193"/>
        <v>0</v>
      </c>
      <c r="AD86" s="40">
        <f t="shared" si="202"/>
        <v>0</v>
      </c>
      <c r="AE86" s="40">
        <f t="shared" si="205"/>
        <v>0</v>
      </c>
      <c r="AF86" s="40">
        <f t="shared" si="194"/>
        <v>0</v>
      </c>
      <c r="AG86" s="40"/>
      <c r="AH86" s="40"/>
      <c r="AI86" s="40">
        <f t="shared" si="195"/>
        <v>0</v>
      </c>
      <c r="AJ86" s="40"/>
      <c r="AK86" s="40"/>
      <c r="AL86" s="40">
        <f t="shared" si="196"/>
        <v>0</v>
      </c>
      <c r="AM86" s="40"/>
      <c r="AN86" s="40"/>
      <c r="AO86" s="40">
        <f t="shared" si="197"/>
        <v>0</v>
      </c>
      <c r="AP86" s="40"/>
      <c r="AQ86" s="40"/>
      <c r="AR86" s="40">
        <f t="shared" si="198"/>
        <v>0</v>
      </c>
      <c r="AS86" s="40"/>
      <c r="AT86" s="40"/>
      <c r="AU86" s="40">
        <f t="shared" si="199"/>
        <v>0</v>
      </c>
      <c r="AV86" s="40">
        <f t="shared" si="203"/>
        <v>0</v>
      </c>
      <c r="AW86" s="40">
        <f t="shared" si="206"/>
        <v>0</v>
      </c>
      <c r="AX86" s="40">
        <f t="shared" si="200"/>
        <v>0</v>
      </c>
    </row>
    <row r="87" spans="1:50" s="47" customFormat="1" ht="11.25" outlineLevel="1">
      <c r="A87" s="37" t="s">
        <v>96</v>
      </c>
      <c r="B87" s="38" t="s">
        <v>101</v>
      </c>
      <c r="C87" s="40">
        <v>10000</v>
      </c>
      <c r="D87" s="40"/>
      <c r="E87" s="40">
        <f t="shared" si="181"/>
        <v>10000</v>
      </c>
      <c r="F87" s="40"/>
      <c r="G87" s="40"/>
      <c r="H87" s="40">
        <f t="shared" si="182"/>
        <v>0</v>
      </c>
      <c r="I87" s="40">
        <f t="shared" si="183"/>
        <v>0</v>
      </c>
      <c r="J87" s="40">
        <f t="shared" si="184"/>
        <v>0</v>
      </c>
      <c r="K87" s="40">
        <f t="shared" si="185"/>
        <v>0</v>
      </c>
      <c r="L87" s="40"/>
      <c r="M87" s="40"/>
      <c r="N87" s="40">
        <f t="shared" si="186"/>
        <v>0</v>
      </c>
      <c r="O87" s="40">
        <v>10000</v>
      </c>
      <c r="P87" s="40"/>
      <c r="Q87" s="40">
        <f t="shared" si="187"/>
        <v>10000</v>
      </c>
      <c r="R87" s="40"/>
      <c r="S87" s="40"/>
      <c r="T87" s="40">
        <f t="shared" si="188"/>
        <v>0</v>
      </c>
      <c r="U87" s="40">
        <f t="shared" si="189"/>
        <v>10000</v>
      </c>
      <c r="V87" s="40">
        <f t="shared" si="190"/>
        <v>0</v>
      </c>
      <c r="W87" s="40">
        <f t="shared" si="191"/>
        <v>10000</v>
      </c>
      <c r="X87" s="40"/>
      <c r="Y87" s="40"/>
      <c r="Z87" s="40">
        <f t="shared" si="192"/>
        <v>0</v>
      </c>
      <c r="AA87" s="40">
        <f t="shared" si="201"/>
        <v>0</v>
      </c>
      <c r="AB87" s="40">
        <f t="shared" si="204"/>
        <v>0</v>
      </c>
      <c r="AC87" s="40">
        <f t="shared" si="193"/>
        <v>0</v>
      </c>
      <c r="AD87" s="40">
        <f t="shared" si="202"/>
        <v>0</v>
      </c>
      <c r="AE87" s="40">
        <f t="shared" si="205"/>
        <v>0</v>
      </c>
      <c r="AF87" s="40">
        <f t="shared" si="194"/>
        <v>0</v>
      </c>
      <c r="AG87" s="40"/>
      <c r="AH87" s="40"/>
      <c r="AI87" s="40">
        <f t="shared" si="195"/>
        <v>0</v>
      </c>
      <c r="AJ87" s="40"/>
      <c r="AK87" s="40"/>
      <c r="AL87" s="40">
        <f t="shared" si="196"/>
        <v>0</v>
      </c>
      <c r="AM87" s="40"/>
      <c r="AN87" s="40"/>
      <c r="AO87" s="40">
        <f t="shared" si="197"/>
        <v>0</v>
      </c>
      <c r="AP87" s="40"/>
      <c r="AQ87" s="40"/>
      <c r="AR87" s="40">
        <f t="shared" si="198"/>
        <v>0</v>
      </c>
      <c r="AS87" s="40"/>
      <c r="AT87" s="40"/>
      <c r="AU87" s="40">
        <f t="shared" si="199"/>
        <v>0</v>
      </c>
      <c r="AV87" s="40">
        <f t="shared" si="203"/>
        <v>0</v>
      </c>
      <c r="AW87" s="40">
        <f t="shared" si="206"/>
        <v>0</v>
      </c>
      <c r="AX87" s="40">
        <f t="shared" si="200"/>
        <v>0</v>
      </c>
    </row>
    <row r="88" spans="1:50" s="47" customFormat="1" ht="11.25" outlineLevel="1">
      <c r="A88" s="37" t="s">
        <v>96</v>
      </c>
      <c r="B88" s="38" t="s">
        <v>55</v>
      </c>
      <c r="C88" s="40"/>
      <c r="D88" s="40"/>
      <c r="E88" s="40">
        <f t="shared" si="181"/>
        <v>0</v>
      </c>
      <c r="F88" s="40"/>
      <c r="G88" s="40"/>
      <c r="H88" s="40">
        <f t="shared" si="182"/>
        <v>0</v>
      </c>
      <c r="I88" s="40">
        <f t="shared" si="183"/>
        <v>0</v>
      </c>
      <c r="J88" s="40">
        <f t="shared" si="184"/>
        <v>0</v>
      </c>
      <c r="K88" s="40">
        <f t="shared" si="185"/>
        <v>0</v>
      </c>
      <c r="L88" s="40"/>
      <c r="M88" s="40"/>
      <c r="N88" s="40">
        <f t="shared" si="186"/>
        <v>0</v>
      </c>
      <c r="O88" s="40"/>
      <c r="P88" s="40"/>
      <c r="Q88" s="40">
        <f t="shared" si="187"/>
        <v>0</v>
      </c>
      <c r="R88" s="40"/>
      <c r="S88" s="40"/>
      <c r="T88" s="40">
        <f t="shared" si="188"/>
        <v>0</v>
      </c>
      <c r="U88" s="40">
        <f t="shared" si="189"/>
        <v>0</v>
      </c>
      <c r="V88" s="40">
        <f t="shared" si="190"/>
        <v>0</v>
      </c>
      <c r="W88" s="40">
        <f t="shared" si="191"/>
        <v>0</v>
      </c>
      <c r="X88" s="40"/>
      <c r="Y88" s="40"/>
      <c r="Z88" s="40">
        <f t="shared" si="192"/>
        <v>0</v>
      </c>
      <c r="AA88" s="40">
        <f t="shared" si="201"/>
        <v>0</v>
      </c>
      <c r="AB88" s="40">
        <f t="shared" si="204"/>
        <v>0</v>
      </c>
      <c r="AC88" s="40">
        <f t="shared" si="193"/>
        <v>0</v>
      </c>
      <c r="AD88" s="40">
        <f t="shared" si="202"/>
        <v>0</v>
      </c>
      <c r="AE88" s="40">
        <f t="shared" si="205"/>
        <v>0</v>
      </c>
      <c r="AF88" s="40">
        <f t="shared" si="194"/>
        <v>0</v>
      </c>
      <c r="AG88" s="40"/>
      <c r="AH88" s="40"/>
      <c r="AI88" s="40">
        <f t="shared" si="195"/>
        <v>0</v>
      </c>
      <c r="AJ88" s="40"/>
      <c r="AK88" s="40"/>
      <c r="AL88" s="40">
        <f t="shared" si="196"/>
        <v>0</v>
      </c>
      <c r="AM88" s="40"/>
      <c r="AN88" s="40"/>
      <c r="AO88" s="40">
        <f t="shared" si="197"/>
        <v>0</v>
      </c>
      <c r="AP88" s="40"/>
      <c r="AQ88" s="40"/>
      <c r="AR88" s="40">
        <f t="shared" si="198"/>
        <v>0</v>
      </c>
      <c r="AS88" s="40"/>
      <c r="AT88" s="40"/>
      <c r="AU88" s="40">
        <f t="shared" si="199"/>
        <v>0</v>
      </c>
      <c r="AV88" s="40">
        <f t="shared" si="203"/>
        <v>0</v>
      </c>
      <c r="AW88" s="40">
        <f t="shared" si="206"/>
        <v>0</v>
      </c>
      <c r="AX88" s="40">
        <f t="shared" si="200"/>
        <v>0</v>
      </c>
    </row>
    <row r="89" spans="1:50" s="47" customFormat="1" ht="11.25" outlineLevel="1">
      <c r="A89" s="37" t="s">
        <v>96</v>
      </c>
      <c r="B89" s="38" t="s">
        <v>56</v>
      </c>
      <c r="C89" s="40"/>
      <c r="D89" s="40"/>
      <c r="E89" s="40">
        <f t="shared" si="181"/>
        <v>0</v>
      </c>
      <c r="F89" s="40"/>
      <c r="G89" s="40"/>
      <c r="H89" s="40">
        <f t="shared" si="182"/>
        <v>0</v>
      </c>
      <c r="I89" s="40">
        <f t="shared" si="183"/>
        <v>0</v>
      </c>
      <c r="J89" s="40">
        <f t="shared" si="184"/>
        <v>17702</v>
      </c>
      <c r="K89" s="40">
        <f t="shared" si="185"/>
        <v>17702</v>
      </c>
      <c r="L89" s="40"/>
      <c r="M89" s="40"/>
      <c r="N89" s="40">
        <f t="shared" si="186"/>
        <v>0</v>
      </c>
      <c r="O89" s="40"/>
      <c r="P89" s="40">
        <f>25000-7298</f>
        <v>17702</v>
      </c>
      <c r="Q89" s="40">
        <f t="shared" si="187"/>
        <v>17702</v>
      </c>
      <c r="R89" s="40"/>
      <c r="S89" s="40"/>
      <c r="T89" s="40">
        <f t="shared" si="188"/>
        <v>0</v>
      </c>
      <c r="U89" s="40">
        <f t="shared" si="189"/>
        <v>0</v>
      </c>
      <c r="V89" s="40">
        <f t="shared" si="190"/>
        <v>17702</v>
      </c>
      <c r="W89" s="40">
        <f t="shared" si="191"/>
        <v>17702</v>
      </c>
      <c r="X89" s="40"/>
      <c r="Y89" s="40"/>
      <c r="Z89" s="40">
        <f t="shared" si="192"/>
        <v>0</v>
      </c>
      <c r="AA89" s="40">
        <f t="shared" si="201"/>
        <v>0</v>
      </c>
      <c r="AB89" s="40">
        <f t="shared" si="204"/>
        <v>0</v>
      </c>
      <c r="AC89" s="40">
        <f t="shared" si="193"/>
        <v>0</v>
      </c>
      <c r="AD89" s="40">
        <f t="shared" si="202"/>
        <v>0</v>
      </c>
      <c r="AE89" s="40">
        <f t="shared" si="205"/>
        <v>0</v>
      </c>
      <c r="AF89" s="40">
        <f t="shared" si="194"/>
        <v>0</v>
      </c>
      <c r="AG89" s="40"/>
      <c r="AH89" s="40"/>
      <c r="AI89" s="40">
        <f t="shared" si="195"/>
        <v>0</v>
      </c>
      <c r="AJ89" s="40"/>
      <c r="AK89" s="40"/>
      <c r="AL89" s="40">
        <f t="shared" si="196"/>
        <v>0</v>
      </c>
      <c r="AM89" s="40"/>
      <c r="AN89" s="40"/>
      <c r="AO89" s="40">
        <f t="shared" si="197"/>
        <v>0</v>
      </c>
      <c r="AP89" s="40"/>
      <c r="AQ89" s="40"/>
      <c r="AR89" s="40">
        <f t="shared" si="198"/>
        <v>0</v>
      </c>
      <c r="AS89" s="40"/>
      <c r="AT89" s="40"/>
      <c r="AU89" s="40">
        <f t="shared" si="199"/>
        <v>0</v>
      </c>
      <c r="AV89" s="40">
        <f t="shared" si="203"/>
        <v>0</v>
      </c>
      <c r="AW89" s="40">
        <f t="shared" si="206"/>
        <v>0</v>
      </c>
      <c r="AX89" s="40">
        <f t="shared" si="200"/>
        <v>0</v>
      </c>
    </row>
    <row r="90" spans="1:50" s="46" customFormat="1" ht="12.75">
      <c r="A90" s="43" t="s">
        <v>96</v>
      </c>
      <c r="B90" s="44" t="s">
        <v>73</v>
      </c>
      <c r="C90" s="45">
        <f aca="true" t="shared" si="207" ref="C90:AX90">SUM(C83:C89)</f>
        <v>24800</v>
      </c>
      <c r="D90" s="45">
        <f t="shared" si="207"/>
        <v>5858</v>
      </c>
      <c r="E90" s="45">
        <f t="shared" si="207"/>
        <v>30658</v>
      </c>
      <c r="F90" s="45">
        <f t="shared" si="207"/>
        <v>0</v>
      </c>
      <c r="G90" s="45">
        <f t="shared" si="207"/>
        <v>2312</v>
      </c>
      <c r="H90" s="45">
        <f t="shared" si="207"/>
        <v>2312</v>
      </c>
      <c r="I90" s="45">
        <f t="shared" si="207"/>
        <v>0</v>
      </c>
      <c r="J90" s="45">
        <f t="shared" si="207"/>
        <v>25000</v>
      </c>
      <c r="K90" s="45">
        <f t="shared" si="207"/>
        <v>25000</v>
      </c>
      <c r="L90" s="45">
        <f t="shared" si="207"/>
        <v>0</v>
      </c>
      <c r="M90" s="45">
        <f t="shared" si="207"/>
        <v>6995</v>
      </c>
      <c r="N90" s="45">
        <f t="shared" si="207"/>
        <v>6995</v>
      </c>
      <c r="O90" s="45">
        <f t="shared" si="207"/>
        <v>24800</v>
      </c>
      <c r="P90" s="45">
        <f t="shared" si="207"/>
        <v>30858</v>
      </c>
      <c r="Q90" s="45">
        <f t="shared" si="207"/>
        <v>55658</v>
      </c>
      <c r="R90" s="45">
        <f t="shared" si="207"/>
        <v>0</v>
      </c>
      <c r="S90" s="45">
        <f t="shared" si="207"/>
        <v>9307</v>
      </c>
      <c r="T90" s="45">
        <f t="shared" si="207"/>
        <v>9307</v>
      </c>
      <c r="U90" s="45">
        <f t="shared" si="207"/>
        <v>24800</v>
      </c>
      <c r="V90" s="45">
        <f t="shared" si="207"/>
        <v>21551</v>
      </c>
      <c r="W90" s="45">
        <f t="shared" si="207"/>
        <v>46351</v>
      </c>
      <c r="X90" s="45">
        <f t="shared" si="207"/>
        <v>100</v>
      </c>
      <c r="Y90" s="45">
        <f t="shared" si="207"/>
        <v>18509</v>
      </c>
      <c r="Z90" s="45">
        <f t="shared" si="207"/>
        <v>18609</v>
      </c>
      <c r="AA90" s="45">
        <f t="shared" si="207"/>
        <v>100</v>
      </c>
      <c r="AB90" s="45">
        <f t="shared" si="207"/>
        <v>9202</v>
      </c>
      <c r="AC90" s="45">
        <f t="shared" si="207"/>
        <v>9302</v>
      </c>
      <c r="AD90" s="45">
        <f t="shared" si="207"/>
        <v>100</v>
      </c>
      <c r="AE90" s="45">
        <f t="shared" si="207"/>
        <v>16197</v>
      </c>
      <c r="AF90" s="45">
        <f t="shared" si="207"/>
        <v>16297</v>
      </c>
      <c r="AG90" s="45">
        <f t="shared" si="207"/>
        <v>0</v>
      </c>
      <c r="AH90" s="45">
        <f t="shared" si="207"/>
        <v>15620</v>
      </c>
      <c r="AI90" s="45">
        <f t="shared" si="207"/>
        <v>15620</v>
      </c>
      <c r="AJ90" s="45">
        <f t="shared" si="207"/>
        <v>0</v>
      </c>
      <c r="AK90" s="45">
        <f t="shared" si="207"/>
        <v>3060.8</v>
      </c>
      <c r="AL90" s="45">
        <f t="shared" si="207"/>
        <v>3060.8</v>
      </c>
      <c r="AM90" s="45">
        <f t="shared" si="207"/>
        <v>0</v>
      </c>
      <c r="AN90" s="45">
        <f t="shared" si="207"/>
        <v>2460.8</v>
      </c>
      <c r="AO90" s="45">
        <f t="shared" si="207"/>
        <v>2460.8</v>
      </c>
      <c r="AP90" s="45">
        <f t="shared" si="207"/>
        <v>0</v>
      </c>
      <c r="AQ90" s="45">
        <f t="shared" si="207"/>
        <v>2533.724</v>
      </c>
      <c r="AR90" s="45">
        <f t="shared" si="207"/>
        <v>2533.724</v>
      </c>
      <c r="AS90" s="45">
        <f t="shared" si="207"/>
        <v>0</v>
      </c>
      <c r="AT90" s="45">
        <f t="shared" si="207"/>
        <v>2533.724</v>
      </c>
      <c r="AU90" s="45">
        <f t="shared" si="207"/>
        <v>2533.724</v>
      </c>
      <c r="AV90" s="45">
        <f t="shared" si="207"/>
        <v>100</v>
      </c>
      <c r="AW90" s="45">
        <f t="shared" si="207"/>
        <v>44718.048</v>
      </c>
      <c r="AX90" s="45">
        <f t="shared" si="207"/>
        <v>44818.048</v>
      </c>
    </row>
    <row r="91" spans="1:50" s="46" customFormat="1" ht="12.75">
      <c r="A91" s="50"/>
      <c r="B91" s="51" t="s">
        <v>102</v>
      </c>
      <c r="C91" s="52">
        <f aca="true" t="shared" si="208" ref="C91:AX91">SUM(C90,C82,C81,C80,C74,C73,C67,C66,C57,C48,C47,C31,C20,C19,C10)</f>
        <v>124810</v>
      </c>
      <c r="D91" s="52">
        <f t="shared" si="208"/>
        <v>85190</v>
      </c>
      <c r="E91" s="52">
        <f t="shared" si="208"/>
        <v>210000</v>
      </c>
      <c r="F91" s="52">
        <f t="shared" si="208"/>
        <v>38376</v>
      </c>
      <c r="G91" s="52">
        <f t="shared" si="208"/>
        <v>39875</v>
      </c>
      <c r="H91" s="52">
        <f t="shared" si="208"/>
        <v>78251</v>
      </c>
      <c r="I91" s="52">
        <f t="shared" si="208"/>
        <v>224250</v>
      </c>
      <c r="J91" s="52">
        <f t="shared" si="208"/>
        <v>37460</v>
      </c>
      <c r="K91" s="52">
        <f t="shared" si="208"/>
        <v>261710</v>
      </c>
      <c r="L91" s="52">
        <f t="shared" si="208"/>
        <v>266355</v>
      </c>
      <c r="M91" s="52">
        <f t="shared" si="208"/>
        <v>48953</v>
      </c>
      <c r="N91" s="52">
        <f t="shared" si="208"/>
        <v>315308</v>
      </c>
      <c r="O91" s="52">
        <f t="shared" si="208"/>
        <v>349060</v>
      </c>
      <c r="P91" s="52">
        <f t="shared" si="208"/>
        <v>122650</v>
      </c>
      <c r="Q91" s="52">
        <f t="shared" si="208"/>
        <v>471710</v>
      </c>
      <c r="R91" s="52">
        <f t="shared" si="208"/>
        <v>304731</v>
      </c>
      <c r="S91" s="52">
        <f t="shared" si="208"/>
        <v>88828</v>
      </c>
      <c r="T91" s="52">
        <f t="shared" si="208"/>
        <v>393559</v>
      </c>
      <c r="U91" s="52">
        <f t="shared" si="208"/>
        <v>44329</v>
      </c>
      <c r="V91" s="52">
        <f t="shared" si="208"/>
        <v>33822</v>
      </c>
      <c r="W91" s="52">
        <f t="shared" si="208"/>
        <v>78151</v>
      </c>
      <c r="X91" s="52">
        <f t="shared" si="208"/>
        <v>829871</v>
      </c>
      <c r="Y91" s="52">
        <f t="shared" si="208"/>
        <v>135011</v>
      </c>
      <c r="Z91" s="52">
        <f t="shared" si="208"/>
        <v>964882</v>
      </c>
      <c r="AA91" s="52">
        <f t="shared" si="208"/>
        <v>525140</v>
      </c>
      <c r="AB91" s="52">
        <f t="shared" si="208"/>
        <v>46233</v>
      </c>
      <c r="AC91" s="52">
        <f t="shared" si="208"/>
        <v>571373</v>
      </c>
      <c r="AD91" s="52">
        <f t="shared" si="208"/>
        <v>791495</v>
      </c>
      <c r="AE91" s="52">
        <f t="shared" si="208"/>
        <v>95186</v>
      </c>
      <c r="AF91" s="52">
        <f t="shared" si="208"/>
        <v>886681</v>
      </c>
      <c r="AG91" s="52">
        <f t="shared" si="208"/>
        <v>156600</v>
      </c>
      <c r="AH91" s="52">
        <f t="shared" si="208"/>
        <v>117039</v>
      </c>
      <c r="AI91" s="52">
        <f t="shared" si="208"/>
        <v>273639</v>
      </c>
      <c r="AJ91" s="52">
        <f t="shared" si="208"/>
        <v>0</v>
      </c>
      <c r="AK91" s="52">
        <f t="shared" si="208"/>
        <v>83241.86</v>
      </c>
      <c r="AL91" s="52">
        <f t="shared" si="208"/>
        <v>83241.86</v>
      </c>
      <c r="AM91" s="52">
        <f t="shared" si="208"/>
        <v>0</v>
      </c>
      <c r="AN91" s="52">
        <f t="shared" si="208"/>
        <v>84986.61435</v>
      </c>
      <c r="AO91" s="52">
        <f t="shared" si="208"/>
        <v>84986.61435</v>
      </c>
      <c r="AP91" s="52">
        <f t="shared" si="208"/>
        <v>0</v>
      </c>
      <c r="AQ91" s="52">
        <f t="shared" si="208"/>
        <v>78805.77340225</v>
      </c>
      <c r="AR91" s="52">
        <f t="shared" si="208"/>
        <v>78805.77340225</v>
      </c>
      <c r="AS91" s="52">
        <f t="shared" si="208"/>
        <v>0</v>
      </c>
      <c r="AT91" s="52">
        <f t="shared" si="208"/>
        <v>70256.85384226625</v>
      </c>
      <c r="AU91" s="52">
        <f t="shared" si="208"/>
        <v>70256.85384226625</v>
      </c>
      <c r="AV91" s="52">
        <f t="shared" si="208"/>
        <v>986471</v>
      </c>
      <c r="AW91" s="52">
        <f t="shared" si="208"/>
        <v>569391.1015945163</v>
      </c>
      <c r="AX91" s="52">
        <f t="shared" si="208"/>
        <v>1555862.1015945163</v>
      </c>
    </row>
    <row r="92" spans="1:50" s="46" customFormat="1" ht="12.75" collapsed="1">
      <c r="A92" s="43" t="s">
        <v>48</v>
      </c>
      <c r="B92" s="44" t="s">
        <v>4</v>
      </c>
      <c r="C92" s="45">
        <f>SUM(C84:C91)</f>
        <v>174410</v>
      </c>
      <c r="D92" s="45">
        <f>SUM(D84:D91)</f>
        <v>91356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</row>
    <row r="93" spans="1:50" s="46" customFormat="1" ht="12.75" collapsed="1">
      <c r="A93" s="43" t="s">
        <v>59</v>
      </c>
      <c r="B93" s="44" t="s">
        <v>66</v>
      </c>
      <c r="C93" s="45">
        <f>SUM(C83:C92)</f>
        <v>348820</v>
      </c>
      <c r="D93" s="45">
        <f>SUM(D83:D92)</f>
        <v>188262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>
        <f>AP93+AQ93</f>
        <v>0</v>
      </c>
      <c r="AS93" s="45">
        <f>'[1]Doškoľovacie stredisko Gbeľany'!B25</f>
        <v>-88647</v>
      </c>
      <c r="AT93" s="45"/>
      <c r="AU93" s="45">
        <f>AS93+AT93</f>
        <v>-88647</v>
      </c>
      <c r="AV93" s="45">
        <f>AP93+AS93</f>
        <v>-88647</v>
      </c>
      <c r="AW93" s="45"/>
      <c r="AX93" s="45">
        <f>AV93+AW93</f>
        <v>-88647</v>
      </c>
    </row>
    <row r="94" spans="1:50" s="46" customFormat="1" ht="12.75" collapsed="1">
      <c r="A94" s="43" t="s">
        <v>67</v>
      </c>
      <c r="B94" s="44" t="s">
        <v>7</v>
      </c>
      <c r="C94" s="45">
        <f>SUM(C79:C93)</f>
        <v>703640</v>
      </c>
      <c r="D94" s="45">
        <f>SUM(D79:D93)</f>
        <v>400355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>
        <f>-'[1]Obytný komplex Krasňany'!B6</f>
        <v>-575920.4</v>
      </c>
      <c r="AQ94" s="45"/>
      <c r="AR94" s="45">
        <f>AP94+AQ94</f>
        <v>-575920.4</v>
      </c>
      <c r="AS94" s="45"/>
      <c r="AT94" s="45"/>
      <c r="AU94" s="45">
        <f>AS94+AT94</f>
        <v>0</v>
      </c>
      <c r="AV94" s="45">
        <f>AP94+AS94</f>
        <v>-575920.4</v>
      </c>
      <c r="AW94" s="45"/>
      <c r="AX94" s="45">
        <f>AV94+AW94</f>
        <v>-575920.4</v>
      </c>
    </row>
    <row r="95" spans="1:50" s="46" customFormat="1" ht="12.75">
      <c r="A95" s="50"/>
      <c r="B95" s="51" t="s">
        <v>103</v>
      </c>
      <c r="C95" s="52"/>
      <c r="D95" s="52"/>
      <c r="E95" s="52"/>
      <c r="F95" s="52"/>
      <c r="G95" s="52"/>
      <c r="H95" s="52">
        <f aca="true" t="shared" si="209" ref="H95:AX95">SUM(H92:H94)</f>
        <v>0</v>
      </c>
      <c r="I95" s="52">
        <f t="shared" si="209"/>
        <v>0</v>
      </c>
      <c r="J95" s="52">
        <f t="shared" si="209"/>
        <v>0</v>
      </c>
      <c r="K95" s="52">
        <f t="shared" si="209"/>
        <v>0</v>
      </c>
      <c r="L95" s="52">
        <f t="shared" si="209"/>
        <v>0</v>
      </c>
      <c r="M95" s="52">
        <f t="shared" si="209"/>
        <v>0</v>
      </c>
      <c r="N95" s="52">
        <f t="shared" si="209"/>
        <v>0</v>
      </c>
      <c r="O95" s="52">
        <f t="shared" si="209"/>
        <v>0</v>
      </c>
      <c r="P95" s="52">
        <f t="shared" si="209"/>
        <v>0</v>
      </c>
      <c r="Q95" s="52">
        <f t="shared" si="209"/>
        <v>0</v>
      </c>
      <c r="R95" s="52">
        <f t="shared" si="209"/>
        <v>0</v>
      </c>
      <c r="S95" s="52">
        <f t="shared" si="209"/>
        <v>0</v>
      </c>
      <c r="T95" s="52">
        <f t="shared" si="209"/>
        <v>0</v>
      </c>
      <c r="U95" s="52">
        <f t="shared" si="209"/>
        <v>0</v>
      </c>
      <c r="V95" s="52">
        <f t="shared" si="209"/>
        <v>0</v>
      </c>
      <c r="W95" s="52">
        <f t="shared" si="209"/>
        <v>0</v>
      </c>
      <c r="X95" s="52">
        <f t="shared" si="209"/>
        <v>0</v>
      </c>
      <c r="Y95" s="52">
        <f t="shared" si="209"/>
        <v>0</v>
      </c>
      <c r="Z95" s="52">
        <f t="shared" si="209"/>
        <v>0</v>
      </c>
      <c r="AA95" s="52">
        <f t="shared" si="209"/>
        <v>0</v>
      </c>
      <c r="AB95" s="52">
        <f t="shared" si="209"/>
        <v>0</v>
      </c>
      <c r="AC95" s="52">
        <f t="shared" si="209"/>
        <v>0</v>
      </c>
      <c r="AD95" s="52">
        <f t="shared" si="209"/>
        <v>0</v>
      </c>
      <c r="AE95" s="52">
        <f t="shared" si="209"/>
        <v>0</v>
      </c>
      <c r="AF95" s="52">
        <f t="shared" si="209"/>
        <v>0</v>
      </c>
      <c r="AG95" s="52">
        <f t="shared" si="209"/>
        <v>0</v>
      </c>
      <c r="AH95" s="52">
        <f t="shared" si="209"/>
        <v>0</v>
      </c>
      <c r="AI95" s="52">
        <f t="shared" si="209"/>
        <v>0</v>
      </c>
      <c r="AJ95" s="52">
        <f t="shared" si="209"/>
        <v>0</v>
      </c>
      <c r="AK95" s="52">
        <f t="shared" si="209"/>
        <v>0</v>
      </c>
      <c r="AL95" s="52">
        <f t="shared" si="209"/>
        <v>0</v>
      </c>
      <c r="AM95" s="52">
        <f t="shared" si="209"/>
        <v>0</v>
      </c>
      <c r="AN95" s="52">
        <f t="shared" si="209"/>
        <v>0</v>
      </c>
      <c r="AO95" s="52">
        <f t="shared" si="209"/>
        <v>0</v>
      </c>
      <c r="AP95" s="52">
        <f t="shared" si="209"/>
        <v>-575920.4</v>
      </c>
      <c r="AQ95" s="52">
        <f t="shared" si="209"/>
        <v>0</v>
      </c>
      <c r="AR95" s="52">
        <f t="shared" si="209"/>
        <v>-575920.4</v>
      </c>
      <c r="AS95" s="52">
        <f t="shared" si="209"/>
        <v>-88647</v>
      </c>
      <c r="AT95" s="52">
        <f t="shared" si="209"/>
        <v>0</v>
      </c>
      <c r="AU95" s="52">
        <f t="shared" si="209"/>
        <v>-88647</v>
      </c>
      <c r="AV95" s="52">
        <f t="shared" si="209"/>
        <v>-664567.4</v>
      </c>
      <c r="AW95" s="52">
        <f t="shared" si="209"/>
        <v>0</v>
      </c>
      <c r="AX95" s="52">
        <f t="shared" si="209"/>
        <v>-664567.4</v>
      </c>
    </row>
    <row r="96" spans="1:50" s="46" customFormat="1" ht="12.75">
      <c r="A96" s="50"/>
      <c r="B96" s="51" t="s">
        <v>104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>
        <f>AX91+AX95</f>
        <v>891294.7015945163</v>
      </c>
    </row>
  </sheetData>
  <mergeCells count="16">
    <mergeCell ref="AM2:AO2"/>
    <mergeCell ref="AP2:AR2"/>
    <mergeCell ref="AS2:AU2"/>
    <mergeCell ref="AV2:AX2"/>
    <mergeCell ref="AA2:AC2"/>
    <mergeCell ref="AD2:AF2"/>
    <mergeCell ref="AG2:AI2"/>
    <mergeCell ref="AJ2:AL2"/>
    <mergeCell ref="X2:Z2"/>
    <mergeCell ref="U2:W2"/>
    <mergeCell ref="C2:E2"/>
    <mergeCell ref="F2:H2"/>
    <mergeCell ref="I2:K2"/>
    <mergeCell ref="L2:N2"/>
    <mergeCell ref="O2:Q2"/>
    <mergeCell ref="R2:T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3"/>
  <headerFooter alignWithMargins="0">
    <oddHeader>&amp;LMinisterstvo hospodárstva SR&amp;CRegionálny rozvoj Mesta Žilina 2004 - 2010&amp;RPríloha č. 2</oddHeader>
    <oddFooter>&amp;L17.10.2005&amp;R&amp;P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B1">
      <selection activeCell="H10" sqref="H10"/>
    </sheetView>
  </sheetViews>
  <sheetFormatPr defaultColWidth="9.00390625" defaultRowHeight="12.75" outlineLevelCol="1"/>
  <cols>
    <col min="1" max="1" width="9.125" style="65" hidden="1" customWidth="1" outlineLevel="1"/>
    <col min="2" max="2" width="20.375" style="65" bestFit="1" customWidth="1" collapsed="1"/>
    <col min="3" max="3" width="6.00390625" style="65" bestFit="1" customWidth="1"/>
    <col min="4" max="5" width="13.375" style="65" hidden="1" customWidth="1" outlineLevel="1"/>
    <col min="6" max="6" width="9.125" style="65" hidden="1" customWidth="1" outlineLevel="1"/>
    <col min="7" max="7" width="21.875" style="65" customWidth="1" collapsed="1"/>
    <col min="8" max="8" width="13.875" style="65" bestFit="1" customWidth="1"/>
    <col min="9" max="9" width="18.875" style="65" customWidth="1"/>
    <col min="10" max="16384" width="9.125" style="65" customWidth="1"/>
  </cols>
  <sheetData>
    <row r="1" spans="1:9" s="59" customFormat="1" ht="12.75">
      <c r="A1" s="55" t="s">
        <v>105</v>
      </c>
      <c r="B1" s="55" t="s">
        <v>106</v>
      </c>
      <c r="C1" s="55" t="s">
        <v>107</v>
      </c>
      <c r="D1" s="56" t="s">
        <v>108</v>
      </c>
      <c r="E1" s="56" t="s">
        <v>109</v>
      </c>
      <c r="F1" s="57" t="s">
        <v>110</v>
      </c>
      <c r="G1" s="58" t="s">
        <v>111</v>
      </c>
      <c r="H1" s="58" t="s">
        <v>112</v>
      </c>
      <c r="I1" s="58" t="s">
        <v>113</v>
      </c>
    </row>
    <row r="2" spans="1:9" ht="12.75">
      <c r="A2" s="60" t="s">
        <v>114</v>
      </c>
      <c r="B2" s="60" t="s">
        <v>115</v>
      </c>
      <c r="C2" s="61">
        <v>1</v>
      </c>
      <c r="D2" s="62">
        <v>100000</v>
      </c>
      <c r="E2" s="62" t="s">
        <v>116</v>
      </c>
      <c r="F2" s="63">
        <v>4100</v>
      </c>
      <c r="G2" s="64">
        <f aca="true" t="shared" si="0" ref="G2:G12">C2*D2*F2</f>
        <v>410000000</v>
      </c>
      <c r="H2" s="64">
        <v>0</v>
      </c>
      <c r="I2" s="64">
        <f aca="true" t="shared" si="1" ref="I2:I18">G2-H2</f>
        <v>410000000</v>
      </c>
    </row>
    <row r="3" spans="1:9" ht="12.75">
      <c r="A3" s="66" t="s">
        <v>114</v>
      </c>
      <c r="B3" s="66" t="s">
        <v>117</v>
      </c>
      <c r="C3" s="67">
        <v>1</v>
      </c>
      <c r="D3" s="68">
        <v>1</v>
      </c>
      <c r="E3" s="68" t="s">
        <v>118</v>
      </c>
      <c r="F3" s="69">
        <v>18000000</v>
      </c>
      <c r="G3" s="70">
        <f t="shared" si="0"/>
        <v>18000000</v>
      </c>
      <c r="H3" s="70">
        <f aca="true" t="shared" si="2" ref="H3:H12">G3*0.2</f>
        <v>3600000</v>
      </c>
      <c r="I3" s="70">
        <f t="shared" si="1"/>
        <v>14400000</v>
      </c>
    </row>
    <row r="4" spans="1:9" ht="12.75">
      <c r="A4" s="66" t="s">
        <v>114</v>
      </c>
      <c r="B4" s="71" t="s">
        <v>119</v>
      </c>
      <c r="C4" s="67">
        <v>1</v>
      </c>
      <c r="D4" s="68">
        <v>1</v>
      </c>
      <c r="E4" s="68" t="s">
        <v>118</v>
      </c>
      <c r="F4" s="69">
        <v>3000000</v>
      </c>
      <c r="G4" s="70">
        <f t="shared" si="0"/>
        <v>3000000</v>
      </c>
      <c r="H4" s="70">
        <f t="shared" si="2"/>
        <v>600000</v>
      </c>
      <c r="I4" s="70">
        <f t="shared" si="1"/>
        <v>2400000</v>
      </c>
    </row>
    <row r="5" spans="1:9" ht="12.75">
      <c r="A5" s="66" t="s">
        <v>114</v>
      </c>
      <c r="B5" s="66" t="s">
        <v>120</v>
      </c>
      <c r="C5" s="67">
        <v>34</v>
      </c>
      <c r="D5" s="68">
        <v>1210</v>
      </c>
      <c r="E5" s="68" t="s">
        <v>121</v>
      </c>
      <c r="F5" s="69">
        <v>4500</v>
      </c>
      <c r="G5" s="70">
        <f t="shared" si="0"/>
        <v>185130000</v>
      </c>
      <c r="H5" s="70">
        <f t="shared" si="2"/>
        <v>37026000</v>
      </c>
      <c r="I5" s="70">
        <f t="shared" si="1"/>
        <v>148104000</v>
      </c>
    </row>
    <row r="6" spans="1:9" ht="12.75">
      <c r="A6" s="66" t="s">
        <v>114</v>
      </c>
      <c r="B6" s="66" t="s">
        <v>122</v>
      </c>
      <c r="C6" s="67">
        <v>33</v>
      </c>
      <c r="D6" s="68">
        <v>1210</v>
      </c>
      <c r="E6" s="68" t="s">
        <v>121</v>
      </c>
      <c r="F6" s="69">
        <v>4500</v>
      </c>
      <c r="G6" s="70">
        <f t="shared" si="0"/>
        <v>179685000</v>
      </c>
      <c r="H6" s="70">
        <f t="shared" si="2"/>
        <v>35937000</v>
      </c>
      <c r="I6" s="70">
        <f t="shared" si="1"/>
        <v>143748000</v>
      </c>
    </row>
    <row r="7" spans="1:9" ht="12.75">
      <c r="A7" s="66" t="s">
        <v>114</v>
      </c>
      <c r="B7" s="66" t="s">
        <v>123</v>
      </c>
      <c r="C7" s="67">
        <v>6</v>
      </c>
      <c r="D7" s="68">
        <v>1510</v>
      </c>
      <c r="E7" s="68" t="s">
        <v>121</v>
      </c>
      <c r="F7" s="69">
        <v>4500</v>
      </c>
      <c r="G7" s="70">
        <f t="shared" si="0"/>
        <v>40770000</v>
      </c>
      <c r="H7" s="70">
        <f t="shared" si="2"/>
        <v>8154000</v>
      </c>
      <c r="I7" s="70">
        <f t="shared" si="1"/>
        <v>32616000</v>
      </c>
    </row>
    <row r="8" spans="1:9" ht="12.75">
      <c r="A8" s="66" t="s">
        <v>114</v>
      </c>
      <c r="B8" s="66" t="s">
        <v>124</v>
      </c>
      <c r="C8" s="67">
        <v>1</v>
      </c>
      <c r="D8" s="68">
        <v>1510</v>
      </c>
      <c r="E8" s="68" t="s">
        <v>121</v>
      </c>
      <c r="F8" s="69">
        <v>4500</v>
      </c>
      <c r="G8" s="70">
        <f t="shared" si="0"/>
        <v>6795000</v>
      </c>
      <c r="H8" s="70">
        <f t="shared" si="2"/>
        <v>1359000</v>
      </c>
      <c r="I8" s="70">
        <f t="shared" si="1"/>
        <v>5436000</v>
      </c>
    </row>
    <row r="9" spans="1:9" ht="12.75">
      <c r="A9" s="66" t="s">
        <v>114</v>
      </c>
      <c r="B9" s="66" t="s">
        <v>125</v>
      </c>
      <c r="C9" s="67">
        <v>1</v>
      </c>
      <c r="D9" s="68">
        <v>1800</v>
      </c>
      <c r="E9" s="68" t="s">
        <v>121</v>
      </c>
      <c r="F9" s="69">
        <v>4500</v>
      </c>
      <c r="G9" s="70">
        <f t="shared" si="0"/>
        <v>8100000</v>
      </c>
      <c r="H9" s="70">
        <f t="shared" si="2"/>
        <v>1620000</v>
      </c>
      <c r="I9" s="70">
        <f t="shared" si="1"/>
        <v>6480000</v>
      </c>
    </row>
    <row r="10" spans="1:9" ht="12.75">
      <c r="A10" s="66" t="s">
        <v>114</v>
      </c>
      <c r="B10" s="66" t="s">
        <v>126</v>
      </c>
      <c r="C10" s="67">
        <v>1</v>
      </c>
      <c r="D10" s="68">
        <v>21320</v>
      </c>
      <c r="E10" s="68" t="s">
        <v>116</v>
      </c>
      <c r="F10" s="69">
        <v>2300</v>
      </c>
      <c r="G10" s="70">
        <f t="shared" si="0"/>
        <v>49036000</v>
      </c>
      <c r="H10" s="70">
        <f t="shared" si="2"/>
        <v>9807200</v>
      </c>
      <c r="I10" s="70">
        <f t="shared" si="1"/>
        <v>39228800</v>
      </c>
    </row>
    <row r="11" spans="1:9" ht="12.75">
      <c r="A11" s="66" t="s">
        <v>114</v>
      </c>
      <c r="B11" s="66" t="s">
        <v>127</v>
      </c>
      <c r="C11" s="67">
        <v>1</v>
      </c>
      <c r="D11" s="68">
        <v>1900</v>
      </c>
      <c r="E11" s="68" t="s">
        <v>128</v>
      </c>
      <c r="F11" s="69">
        <v>1600</v>
      </c>
      <c r="G11" s="70">
        <f t="shared" si="0"/>
        <v>3040000</v>
      </c>
      <c r="H11" s="70">
        <f t="shared" si="2"/>
        <v>608000</v>
      </c>
      <c r="I11" s="70">
        <f t="shared" si="1"/>
        <v>2432000</v>
      </c>
    </row>
    <row r="12" spans="1:9" ht="12.75">
      <c r="A12" s="66" t="s">
        <v>114</v>
      </c>
      <c r="B12" s="66" t="s">
        <v>129</v>
      </c>
      <c r="C12" s="67">
        <v>1</v>
      </c>
      <c r="D12" s="68">
        <v>110000</v>
      </c>
      <c r="E12" s="68" t="s">
        <v>116</v>
      </c>
      <c r="F12" s="69">
        <v>200</v>
      </c>
      <c r="G12" s="70">
        <f t="shared" si="0"/>
        <v>22000000</v>
      </c>
      <c r="H12" s="70">
        <f t="shared" si="2"/>
        <v>4400000</v>
      </c>
      <c r="I12" s="70">
        <f t="shared" si="1"/>
        <v>17600000</v>
      </c>
    </row>
    <row r="13" spans="1:9" ht="12.75">
      <c r="A13" s="71" t="s">
        <v>114</v>
      </c>
      <c r="B13" s="71" t="s">
        <v>130</v>
      </c>
      <c r="C13" s="72">
        <v>75</v>
      </c>
      <c r="E13" s="73" t="s">
        <v>118</v>
      </c>
      <c r="F13" s="74"/>
      <c r="G13" s="70">
        <v>47000000</v>
      </c>
      <c r="H13" s="70">
        <f>G13*(0.125*5)</f>
        <v>29375000</v>
      </c>
      <c r="I13" s="70">
        <f t="shared" si="1"/>
        <v>17625000</v>
      </c>
    </row>
    <row r="14" spans="1:9" ht="12.75">
      <c r="A14" s="66" t="s">
        <v>114</v>
      </c>
      <c r="B14" s="66" t="s">
        <v>131</v>
      </c>
      <c r="C14" s="67">
        <v>1</v>
      </c>
      <c r="D14" s="68">
        <v>12950</v>
      </c>
      <c r="E14" s="68" t="s">
        <v>121</v>
      </c>
      <c r="F14" s="69">
        <v>6000</v>
      </c>
      <c r="G14" s="70">
        <f>C14*D14*F14</f>
        <v>77700000</v>
      </c>
      <c r="H14" s="70">
        <v>0</v>
      </c>
      <c r="I14" s="70">
        <f t="shared" si="1"/>
        <v>77700000</v>
      </c>
    </row>
    <row r="15" spans="1:9" ht="12.75">
      <c r="A15" s="66" t="s">
        <v>114</v>
      </c>
      <c r="B15" s="66" t="s">
        <v>132</v>
      </c>
      <c r="C15" s="67">
        <v>1</v>
      </c>
      <c r="D15" s="68">
        <v>175</v>
      </c>
      <c r="E15" s="68" t="s">
        <v>121</v>
      </c>
      <c r="F15" s="69">
        <v>3500</v>
      </c>
      <c r="G15" s="70">
        <f>C15*D15*F15</f>
        <v>612500</v>
      </c>
      <c r="H15" s="70">
        <v>0</v>
      </c>
      <c r="I15" s="70">
        <f t="shared" si="1"/>
        <v>612500</v>
      </c>
    </row>
    <row r="16" spans="1:9" ht="12.75">
      <c r="A16" s="71" t="s">
        <v>114</v>
      </c>
      <c r="B16" s="71" t="s">
        <v>133</v>
      </c>
      <c r="C16" s="67">
        <v>1</v>
      </c>
      <c r="D16" s="68">
        <v>2530</v>
      </c>
      <c r="E16" s="68" t="s">
        <v>116</v>
      </c>
      <c r="F16" s="69">
        <v>2300</v>
      </c>
      <c r="G16" s="70">
        <f>C16*D16*F16</f>
        <v>5819000</v>
      </c>
      <c r="H16" s="70">
        <v>0</v>
      </c>
      <c r="I16" s="70">
        <f t="shared" si="1"/>
        <v>5819000</v>
      </c>
    </row>
    <row r="17" spans="1:9" ht="12.75">
      <c r="A17" s="66" t="s">
        <v>114</v>
      </c>
      <c r="B17" s="66" t="s">
        <v>134</v>
      </c>
      <c r="C17" s="67">
        <v>4</v>
      </c>
      <c r="D17" s="68">
        <v>755</v>
      </c>
      <c r="E17" s="68" t="s">
        <v>118</v>
      </c>
      <c r="F17" s="69">
        <v>2000</v>
      </c>
      <c r="G17" s="70">
        <f>C17*D17*F17</f>
        <v>6040000</v>
      </c>
      <c r="H17" s="70">
        <v>0</v>
      </c>
      <c r="I17" s="70">
        <f t="shared" si="1"/>
        <v>6040000</v>
      </c>
    </row>
    <row r="18" spans="1:9" ht="12.75">
      <c r="A18" s="75" t="s">
        <v>114</v>
      </c>
      <c r="B18" s="75" t="s">
        <v>135</v>
      </c>
      <c r="C18" s="76">
        <v>2</v>
      </c>
      <c r="D18" s="77">
        <v>1160</v>
      </c>
      <c r="E18" s="77" t="s">
        <v>116</v>
      </c>
      <c r="F18" s="78">
        <v>2000</v>
      </c>
      <c r="G18" s="79">
        <f>C18*D18*F18</f>
        <v>4640000</v>
      </c>
      <c r="H18" s="79">
        <v>0</v>
      </c>
      <c r="I18" s="79">
        <f t="shared" si="1"/>
        <v>4640000</v>
      </c>
    </row>
    <row r="19" spans="1:9" s="59" customFormat="1" ht="12.75">
      <c r="A19" s="80"/>
      <c r="B19" s="58" t="s">
        <v>136</v>
      </c>
      <c r="C19" s="81"/>
      <c r="D19" s="82"/>
      <c r="E19" s="82"/>
      <c r="F19" s="83"/>
      <c r="G19" s="84">
        <f>SUM(G2:G18)</f>
        <v>1067367500</v>
      </c>
      <c r="H19" s="84">
        <f>SUM(H2:H18)</f>
        <v>132486200</v>
      </c>
      <c r="I19" s="84">
        <f>SUM(I2:I18)</f>
        <v>934881300</v>
      </c>
    </row>
    <row r="22" spans="4:7" ht="12.75">
      <c r="D22" s="85"/>
      <c r="E22" s="68"/>
      <c r="F22" s="68"/>
      <c r="G22" s="85"/>
    </row>
    <row r="23" spans="4:7" ht="12.75">
      <c r="D23" s="85"/>
      <c r="E23" s="68"/>
      <c r="F23" s="68"/>
      <c r="G23" s="85"/>
    </row>
    <row r="24" spans="4:7" ht="12.75">
      <c r="D24" s="85"/>
      <c r="E24" s="68"/>
      <c r="F24" s="68"/>
      <c r="G24" s="85"/>
    </row>
    <row r="25" spans="4:7" ht="12.75">
      <c r="D25" s="85"/>
      <c r="E25" s="68"/>
      <c r="F25" s="68"/>
      <c r="G25" s="85"/>
    </row>
    <row r="26" spans="4:7" ht="12.75">
      <c r="D26" s="85"/>
      <c r="E26" s="68"/>
      <c r="F26" s="68"/>
      <c r="G26" s="85"/>
    </row>
    <row r="27" spans="4:7" ht="12.75">
      <c r="D27" s="85"/>
      <c r="E27" s="68"/>
      <c r="F27" s="68"/>
      <c r="G27" s="85"/>
    </row>
    <row r="28" spans="4:7" ht="12.75">
      <c r="D28" s="85"/>
      <c r="E28" s="68"/>
      <c r="F28" s="68"/>
      <c r="G28" s="85"/>
    </row>
    <row r="29" ht="12.75">
      <c r="G29" s="85"/>
    </row>
    <row r="30" ht="12.75">
      <c r="G30" s="85"/>
    </row>
    <row r="31" ht="12.75">
      <c r="G31" s="85"/>
    </row>
    <row r="32" ht="12.75">
      <c r="G32" s="86"/>
    </row>
    <row r="33" ht="12.75">
      <c r="G33" s="85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120" r:id="rId3"/>
  <headerFooter alignWithMargins="0">
    <oddHeader>&amp;LMinisterstvo hospodárstva SR&amp;CObytný súbor Záhorská Bystrica&amp;RPríloha č. 3</oddHeader>
    <oddFooter>&amp;L17.10.2005&amp;R&amp;P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75" zoomScaleNormal="75" workbookViewId="0" topLeftCell="A1">
      <selection activeCell="F7" sqref="F7"/>
    </sheetView>
  </sheetViews>
  <sheetFormatPr defaultColWidth="9.00390625" defaultRowHeight="12.75"/>
  <cols>
    <col min="1" max="1" width="0.6171875" style="24" customWidth="1"/>
    <col min="2" max="2" width="46.875" style="22" customWidth="1"/>
    <col min="3" max="3" width="16.125" style="23" customWidth="1"/>
    <col min="4" max="16384" width="9.125" style="23" customWidth="1"/>
  </cols>
  <sheetData>
    <row r="1" spans="1:3" ht="23.25" customHeight="1" thickBot="1">
      <c r="A1" s="23"/>
      <c r="B1" s="1"/>
      <c r="C1" s="3" t="s">
        <v>137</v>
      </c>
    </row>
    <row r="2" spans="1:3" ht="23.25" customHeight="1">
      <c r="A2" s="23"/>
      <c r="B2" s="4" t="s">
        <v>0</v>
      </c>
      <c r="C2" s="6">
        <v>891295</v>
      </c>
    </row>
    <row r="3" spans="1:3" ht="23.25" customHeight="1">
      <c r="A3" s="23"/>
      <c r="B3" s="7" t="s">
        <v>22</v>
      </c>
      <c r="C3" s="9">
        <v>205304</v>
      </c>
    </row>
    <row r="4" spans="1:3" ht="23.25" customHeight="1">
      <c r="A4" s="23"/>
      <c r="B4" s="7" t="s">
        <v>23</v>
      </c>
      <c r="C4" s="9">
        <v>805766</v>
      </c>
    </row>
    <row r="5" spans="1:3" ht="23.25" customHeight="1">
      <c r="A5" s="23"/>
      <c r="B5" s="10" t="s">
        <v>24</v>
      </c>
      <c r="C5" s="12">
        <v>1014585</v>
      </c>
    </row>
    <row r="6" spans="1:3" ht="23.25" customHeight="1" thickBot="1">
      <c r="A6" s="23"/>
      <c r="B6" s="10" t="s">
        <v>25</v>
      </c>
      <c r="C6" s="12">
        <v>159000</v>
      </c>
    </row>
    <row r="7" spans="1:4" ht="23.25" customHeight="1" thickBot="1">
      <c r="A7" s="23"/>
      <c r="B7" s="1" t="s">
        <v>1</v>
      </c>
      <c r="C7" s="3">
        <f>SUM(C2:C6)</f>
        <v>3075950</v>
      </c>
      <c r="D7" s="25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&amp;LMinisterstvo Hospodárstva SR&amp;CDodatočné vplyvy Projektu KIA/Hyundai na štátny rozpočet&amp;RPríloha č. 4</oddHeader>
    <oddFooter>&amp;L17.10.2005&amp;R&amp;P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HatalovaK</dc:creator>
  <cp:keywords/>
  <dc:description/>
  <cp:lastModifiedBy>katonovam</cp:lastModifiedBy>
  <cp:lastPrinted>2005-10-18T14:01:14Z</cp:lastPrinted>
  <dcterms:created xsi:type="dcterms:W3CDTF">2005-10-14T08:49:35Z</dcterms:created>
  <dcterms:modified xsi:type="dcterms:W3CDTF">2005-10-18T14:01:19Z</dcterms:modified>
  <cp:category/>
  <cp:version/>
  <cp:contentType/>
  <cp:contentStatus/>
</cp:coreProperties>
</file>