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<sst xmlns="http://schemas.openxmlformats.org/spreadsheetml/2006/main" count="730" uniqueCount="131">
  <si>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</si>
  <si>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</si>
  <si>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</si>
  <si>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</si>
  <si>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</si>
  <si>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</si>
  <si>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</si>
  <si>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</si>
  <si>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</si>
  <si>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</si>
  <si>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</si>
  <si>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 r.</t>
  </si>
  <si>
    <t>z toho:</t>
  </si>
  <si>
    <t>11.</t>
  </si>
  <si>
    <t>12.</t>
  </si>
  <si>
    <t xml:space="preserve">Náklady na finančné činnosti </t>
  </si>
  <si>
    <t xml:space="preserve">- tvorba opravných položiek </t>
  </si>
  <si>
    <t xml:space="preserve">Tvorba rezerv a opravných položiek z poisťovacích činností </t>
  </si>
  <si>
    <t>- tvorba opravných položiek</t>
  </si>
  <si>
    <t xml:space="preserve">Mimoriadne náklady </t>
  </si>
  <si>
    <t>NÁKLADY SPOLU</t>
  </si>
  <si>
    <t>Výnosy z finančných činností</t>
  </si>
  <si>
    <t xml:space="preserve">Použitie rezerv a opravných položiek z bankových činností 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</si>
  <si>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</si>
  <si>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</si>
  <si>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</si>
  <si>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Ostatné prevádzkové výnosy</t>
  </si>
  <si>
    <t>Mimoriadne výnosy</t>
  </si>
  <si>
    <t>VÝNOSY SPOLU</t>
  </si>
  <si>
    <t>- použitie  rezerv</t>
  </si>
  <si>
    <t>- tvorba rezerv</t>
  </si>
  <si>
    <t xml:space="preserve">- tvorba rezerv </t>
  </si>
  <si>
    <t>Ostatné prevádzkové náklady</t>
  </si>
  <si>
    <t xml:space="preserve">Všeobecné prevádzkové náklady </t>
  </si>
  <si>
    <t>13.</t>
  </si>
  <si>
    <t>Daň z príjmov</t>
  </si>
  <si>
    <t>NÁKLADY (v tis. Sk)</t>
  </si>
  <si>
    <t>VÝNOSY (v tis. Sk)</t>
  </si>
  <si>
    <t>Tvorba rezerv a opravných položiek z prevádzkovej činnosti</t>
  </si>
  <si>
    <t>Náklady spolu bez dane z príjmov</t>
  </si>
  <si>
    <t>Použitie rezerv a opravných položiek z prevádzkovej činnosti</t>
  </si>
  <si>
    <t>Rozpočet</t>
  </si>
  <si>
    <t xml:space="preserve">  z toho: - výnosy z refinančných úverov</t>
  </si>
  <si>
    <t>- ostatné výnosy</t>
  </si>
  <si>
    <t>- použitie rezerv</t>
  </si>
  <si>
    <t>- výnosy z operácií s cennými papiermi (vrátane ŠPP)</t>
  </si>
  <si>
    <t>- výnosy z účtov v bankách</t>
  </si>
  <si>
    <t>-</t>
  </si>
  <si>
    <t>- výnosy z bankových (úverových a záručných) aktivít</t>
  </si>
  <si>
    <t xml:space="preserve">Tvorba rezerv a opravných položiek z bankových činností </t>
  </si>
  <si>
    <t>na rok 2003</t>
  </si>
  <si>
    <t>Skutočnosť</t>
  </si>
  <si>
    <t>% plnenia</t>
  </si>
  <si>
    <t>Index</t>
  </si>
  <si>
    <t>Príloha č. 3</t>
  </si>
  <si>
    <t>x</t>
  </si>
  <si>
    <t>Výsledok hospodárenia pred zdanením</t>
  </si>
  <si>
    <t>Výsledok hospodárenia po zdanení</t>
  </si>
  <si>
    <t>za I. 2003</t>
  </si>
  <si>
    <t>I. / rozp. 2003</t>
  </si>
  <si>
    <t>I. 2003 /       I. 2002</t>
  </si>
  <si>
    <t>za I. 2002</t>
  </si>
  <si>
    <t xml:space="preserve">Náklady spojené s poisťovacou a zaisťovacou činnosťou </t>
  </si>
  <si>
    <t xml:space="preserve">Výnosy spojené s poisťovacou a zaisťovacou činnosťou </t>
  </si>
  <si>
    <t>za I. - II. 2003</t>
  </si>
  <si>
    <t>I. - II. 2003 / I. - II. 2002</t>
  </si>
  <si>
    <t>I. - II. 2003 / rozp. 2003</t>
  </si>
  <si>
    <t>za I. - II. 2002</t>
  </si>
  <si>
    <t>Prírastok v %</t>
  </si>
  <si>
    <t>II. - I. 2003 / rozp. 2003</t>
  </si>
  <si>
    <t>za I.Q. 2002</t>
  </si>
  <si>
    <t>za I.Q. 2003</t>
  </si>
  <si>
    <t>I.Q. 2003 / rozp. 2003</t>
  </si>
  <si>
    <t>III. - I. 2003 / rozp. 2003</t>
  </si>
  <si>
    <t>I.Q. 2003 /    I. Q. 2002</t>
  </si>
  <si>
    <t>za rok 2002</t>
  </si>
  <si>
    <t>za I.- IV.2003</t>
  </si>
  <si>
    <t>I.- IV.2003 / rozp. 2003</t>
  </si>
  <si>
    <t>IV.- III.2003 / rozp. 2003</t>
  </si>
  <si>
    <t>I.-IV.2003 / I.-IV.2002</t>
  </si>
  <si>
    <t>za I. - IV. 2002</t>
  </si>
  <si>
    <t>za I.- V.2003</t>
  </si>
  <si>
    <t>I.- V.2003 / rozp. 2003</t>
  </si>
  <si>
    <t>V.- IV.2003 / rozp. 2003</t>
  </si>
  <si>
    <t>I.-V.2003 / I.-V.2002</t>
  </si>
  <si>
    <t>za I. - V. 2002</t>
  </si>
  <si>
    <t>za                       1.polrok 2003</t>
  </si>
  <si>
    <t>Index v %</t>
  </si>
  <si>
    <t>1.polrok 2003 / 1.polrok 2002</t>
  </si>
  <si>
    <t>1.polrok 2003 / rozpočet 2003</t>
  </si>
  <si>
    <t>za                       1.polrok 2002</t>
  </si>
  <si>
    <t>za I. - VII. 2002</t>
  </si>
  <si>
    <t>za I. - VII. 2003</t>
  </si>
  <si>
    <t>I. - VII. 2003 / rozpočet 2003</t>
  </si>
  <si>
    <t xml:space="preserve"> -</t>
  </si>
  <si>
    <t>VII. - VI.2003/           rozp. 2003</t>
  </si>
  <si>
    <t>I. - VII. 2003 /                 I. - VII. 2002</t>
  </si>
  <si>
    <t>za I. - VIII. 2003</t>
  </si>
  <si>
    <t>I. - VIII. 2003 / rozpočet 2003</t>
  </si>
  <si>
    <t>VIII. - VII.2003/           rozp. 2003</t>
  </si>
  <si>
    <t>I. - VIII. 2003 /                 I. - VIII. 2002</t>
  </si>
  <si>
    <t>za I. - VIII. 2002</t>
  </si>
  <si>
    <t>za I. - IX. 2002</t>
  </si>
  <si>
    <t>za I. - IX. 2003</t>
  </si>
  <si>
    <t>I. - IX. 2003 /                 I. - IX. 2002</t>
  </si>
  <si>
    <t>I. - IX. 2003 / rozpočet</t>
  </si>
  <si>
    <t>za I. - X. 2003</t>
  </si>
  <si>
    <t>I. - X. 2003 /                 I. - X. 2002</t>
  </si>
  <si>
    <t>X. - IX. 2003 / rozpočet</t>
  </si>
  <si>
    <t>I. - X. 2003 / rozpočet</t>
  </si>
  <si>
    <t>za I. - X. 2002</t>
  </si>
  <si>
    <t>Očakávaná</t>
  </si>
  <si>
    <t>skutočnosť za rok 2003</t>
  </si>
  <si>
    <t>za I. - XI. 2003</t>
  </si>
  <si>
    <t>I. - XI. 2003 /                 I. - XI. 2002</t>
  </si>
  <si>
    <t>XI. - X. 2003 / rozpočet</t>
  </si>
  <si>
    <t>I. - XI. 2003 / rozpočet</t>
  </si>
  <si>
    <t>za I. - XI. 2002</t>
  </si>
  <si>
    <t>za rok 2003</t>
  </si>
  <si>
    <t>Predbežná</t>
  </si>
  <si>
    <t>XII. - XI. 2003 / rozpočet</t>
  </si>
  <si>
    <t>predb.skut. / rozpočet 2003</t>
  </si>
  <si>
    <t>Predpoklad</t>
  </si>
  <si>
    <t>predb.skut.2003 / skutočnosť 2002</t>
  </si>
  <si>
    <t>Predb.skut.</t>
  </si>
  <si>
    <t>(03.02.2004) za rok 2003</t>
  </si>
  <si>
    <t>Plnenie rozpočtu nákladov a výnosov za rok 2003</t>
  </si>
  <si>
    <t xml:space="preserve">Skutočnosť </t>
  </si>
  <si>
    <t>Plnenie</t>
  </si>
  <si>
    <t>rozpočtu v %</t>
  </si>
  <si>
    <t>skut. 2003 / skut. 2002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</si>
</sst>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2" fillId="2" borderId="7" xfId="0" applyFont="1" applyFill="1" applyBorder="1" applyAlignment="1">
      <alignment horizontal="center" vertical="center"/>
    </xf>
    <xf numFmtId="3" fontId="3" fillId="3" borderId="19" xfId="0" applyFont="1" applyFill="1" applyBorder="1" applyAlignment="1">
      <alignment horizontal="centerContinuous" vertical="center" shrinkToFit="1"/>
    </xf>
    <xf numFmtId="49" fontId="2" fillId="2" borderId="8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16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/>
    </xf>
    <xf numFmtId="3" fontId="5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18" xfId="0" applyNumberFormat="1" applyFont="1" applyFill="1" applyBorder="1" applyAlignment="1">
      <alignment horizontal="right" vertical="center" wrapText="1"/>
    </xf>
    <xf numFmtId="171" fontId="1" fillId="0" borderId="10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1" fillId="0" borderId="16" xfId="0" applyNumberFormat="1" applyFont="1" applyFill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center" wrapText="1"/>
    </xf>
    <xf numFmtId="171" fontId="2" fillId="0" borderId="7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171" fontId="2" fillId="0" borderId="10" xfId="0" applyNumberFormat="1" applyFont="1" applyFill="1" applyBorder="1" applyAlignment="1">
      <alignment horizontal="right" vertical="center" wrapText="1"/>
    </xf>
    <xf numFmtId="171" fontId="2" fillId="2" borderId="7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71" fontId="1" fillId="0" borderId="18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3" fontId="2" fillId="3" borderId="10" xfId="0" applyFont="1" applyFill="1" applyBorder="1" applyAlignment="1">
      <alignment horizontal="center"/>
    </xf>
    <xf numFmtId="3" fontId="2" fillId="0" borderId="1" xfId="0" applyFont="1" applyFill="1" applyBorder="1" applyAlignment="1">
      <alignment horizontal="right" vertical="center"/>
    </xf>
    <xf numFmtId="3" fontId="1" fillId="0" borderId="2" xfId="0" applyFont="1" applyFill="1" applyBorder="1" applyAlignment="1">
      <alignment horizontal="right"/>
    </xf>
    <xf numFmtId="3" fontId="1" fillId="3" borderId="1" xfId="0" applyFont="1" applyFill="1" applyBorder="1" applyAlignment="1">
      <alignment horizontal="right"/>
    </xf>
    <xf numFmtId="3" fontId="2" fillId="3" borderId="1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justify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left"/>
    </xf>
    <xf numFmtId="3" fontId="2" fillId="4" borderId="7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2" borderId="7" xfId="0" applyFont="1" applyFill="1" applyBorder="1" applyAlignment="1">
      <alignment horizontal="right" vertical="center"/>
    </xf>
    <xf numFmtId="171" fontId="2" fillId="0" borderId="1" xfId="0" applyNumberFormat="1" applyFont="1" applyFill="1" applyBorder="1" applyAlignment="1">
      <alignment horizontal="right" vertical="center"/>
    </xf>
    <xf numFmtId="171" fontId="1" fillId="0" borderId="2" xfId="0" applyNumberFormat="1" applyFont="1" applyFill="1" applyBorder="1" applyAlignment="1">
      <alignment horizontal="right"/>
    </xf>
    <xf numFmtId="171" fontId="2" fillId="4" borderId="7" xfId="0" applyNumberFormat="1" applyFont="1" applyFill="1" applyBorder="1" applyAlignment="1">
      <alignment horizontal="center" vertical="center"/>
    </xf>
    <xf numFmtId="171" fontId="2" fillId="0" borderId="2" xfId="0" applyNumberFormat="1" applyFont="1" applyFill="1" applyBorder="1" applyAlignment="1">
      <alignment horizontal="center" vertical="center"/>
    </xf>
    <xf numFmtId="171" fontId="2" fillId="2" borderId="7" xfId="0" applyNumberFormat="1" applyFont="1" applyFill="1" applyBorder="1" applyAlignment="1">
      <alignment horizontal="center" vertical="center"/>
    </xf>
    <xf numFmtId="171" fontId="1" fillId="3" borderId="1" xfId="0" applyNumberFormat="1" applyFont="1" applyFill="1" applyBorder="1" applyAlignment="1">
      <alignment horizontal="right"/>
    </xf>
    <xf numFmtId="171" fontId="2" fillId="0" borderId="1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/>
    </xf>
    <xf numFmtId="171" fontId="1" fillId="0" borderId="2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2" fillId="0" borderId="7" xfId="0" applyNumberFormat="1" applyFont="1" applyFill="1" applyBorder="1" applyAlignment="1">
      <alignment horizontal="center" vertical="center" wrapText="1"/>
    </xf>
    <xf numFmtId="171" fontId="1" fillId="0" borderId="3" xfId="0" applyNumberFormat="1" applyFont="1" applyFill="1" applyBorder="1" applyAlignment="1">
      <alignment horizontal="center" vertical="center" wrapText="1"/>
    </xf>
    <xf numFmtId="171" fontId="2" fillId="4" borderId="2" xfId="0" applyNumberFormat="1" applyFont="1" applyFill="1" applyBorder="1" applyAlignment="1">
      <alignment horizontal="center" vertical="center"/>
    </xf>
    <xf numFmtId="3" fontId="6" fillId="0" borderId="0" xfId="0" applyFont="1" applyAlignment="1">
      <alignment vertical="top"/>
    </xf>
    <xf numFmtId="3" fontId="2" fillId="2" borderId="10" xfId="0" applyNumberFormat="1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1" fillId="2" borderId="18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 wrapText="1"/>
    </xf>
    <xf numFmtId="3" fontId="2" fillId="2" borderId="1" xfId="0" applyFont="1" applyFill="1" applyBorder="1" applyAlignment="1">
      <alignment horizontal="right" vertical="center"/>
    </xf>
    <xf numFmtId="3" fontId="1" fillId="2" borderId="2" xfId="0" applyFont="1" applyFill="1" applyBorder="1" applyAlignment="1">
      <alignment horizontal="right"/>
    </xf>
    <xf numFmtId="3" fontId="1" fillId="2" borderId="16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/>
    </xf>
    <xf numFmtId="171" fontId="2" fillId="4" borderId="7" xfId="0" applyNumberFormat="1" applyFont="1" applyFill="1" applyBorder="1" applyAlignment="1">
      <alignment horizontal="right" vertical="center"/>
    </xf>
    <xf numFmtId="171" fontId="2" fillId="4" borderId="2" xfId="0" applyNumberFormat="1" applyFont="1" applyFill="1" applyBorder="1" applyAlignment="1">
      <alignment horizontal="right" vertical="center"/>
    </xf>
    <xf numFmtId="171" fontId="2" fillId="2" borderId="7" xfId="0" applyNumberFormat="1" applyFont="1" applyFill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1"/>
  <sheetViews>
    <sheetView tabSelected="1" zoomScale="75" zoomScaleNormal="75" workbookViewId="0" topLeftCell="A38">
      <selection activeCell="BQ43" sqref="BQ43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7" width="11.75390625" style="0" hidden="1" customWidth="1"/>
    <col min="8" max="8" width="12.875" style="0" hidden="1" customWidth="1"/>
    <col min="9" max="9" width="12.125" style="0" hidden="1" customWidth="1"/>
    <col min="10" max="10" width="11.75390625" style="0" hidden="1" customWidth="1"/>
    <col min="11" max="11" width="11.125" style="0" hidden="1" customWidth="1"/>
    <col min="12" max="13" width="11.75390625" style="0" hidden="1" customWidth="1"/>
    <col min="14" max="14" width="12.125" style="0" customWidth="1"/>
    <col min="15" max="15" width="11.125" style="0" bestFit="1" customWidth="1"/>
    <col min="16" max="16" width="11.75390625" style="0" hidden="1" customWidth="1"/>
    <col min="17" max="17" width="13.125" style="0" hidden="1" customWidth="1"/>
    <col min="18" max="18" width="10.75390625" style="0" hidden="1" customWidth="1"/>
    <col min="19" max="20" width="11.75390625" style="0" hidden="1" customWidth="1"/>
    <col min="21" max="21" width="12.875" style="0" hidden="1" customWidth="1"/>
    <col min="22" max="24" width="11.75390625" style="0" hidden="1" customWidth="1"/>
    <col min="25" max="25" width="12.125" style="0" hidden="1" customWidth="1"/>
    <col min="26" max="26" width="11.75390625" style="0" hidden="1" customWidth="1"/>
    <col min="27" max="27" width="12.25390625" style="0" hidden="1" customWidth="1"/>
    <col min="28" max="28" width="11.125" style="0" hidden="1" customWidth="1"/>
    <col min="29" max="29" width="12.875" style="0" hidden="1" customWidth="1"/>
    <col min="30" max="30" width="11.00390625" style="0" hidden="1" customWidth="1"/>
    <col min="31" max="31" width="12.125" style="0" hidden="1" customWidth="1"/>
    <col min="32" max="32" width="11.125" style="0" hidden="1" customWidth="1"/>
    <col min="33" max="33" width="12.875" style="0" hidden="1" customWidth="1"/>
    <col min="34" max="34" width="10.375" style="0" hidden="1" customWidth="1"/>
    <col min="35" max="36" width="12.875" style="0" hidden="1" customWidth="1"/>
    <col min="37" max="38" width="14.00390625" style="0" hidden="1" customWidth="1"/>
    <col min="39" max="39" width="13.00390625" style="0" hidden="1" customWidth="1"/>
    <col min="40" max="40" width="13.25390625" style="0" hidden="1" customWidth="1"/>
    <col min="41" max="41" width="13.875" style="0" hidden="1" customWidth="1"/>
    <col min="42" max="42" width="11.75390625" style="0" hidden="1" customWidth="1"/>
    <col min="43" max="43" width="13.75390625" style="0" hidden="1" customWidth="1"/>
    <col min="44" max="44" width="14.125" style="0" hidden="1" customWidth="1"/>
    <col min="45" max="45" width="13.125" style="0" hidden="1" customWidth="1"/>
    <col min="46" max="46" width="11.125" style="0" hidden="1" customWidth="1"/>
    <col min="47" max="48" width="12.00390625" style="0" hidden="1" customWidth="1"/>
    <col min="49" max="50" width="11.75390625" style="0" hidden="1" customWidth="1"/>
    <col min="51" max="51" width="12.875" style="0" hidden="1" customWidth="1"/>
    <col min="52" max="52" width="12.00390625" style="0" hidden="1" customWidth="1"/>
    <col min="53" max="53" width="11.125" style="0" hidden="1" customWidth="1"/>
    <col min="54" max="54" width="12.00390625" style="0" hidden="1" customWidth="1"/>
    <col min="55" max="55" width="12.875" style="0" hidden="1" customWidth="1"/>
    <col min="56" max="56" width="12.00390625" style="0" hidden="1" customWidth="1"/>
    <col min="57" max="58" width="11.75390625" style="0" hidden="1" customWidth="1"/>
    <col min="59" max="59" width="11.125" style="0" hidden="1" customWidth="1"/>
    <col min="60" max="60" width="12.75390625" style="0" hidden="1" customWidth="1"/>
    <col min="61" max="61" width="16.125" style="0" hidden="1" customWidth="1"/>
    <col min="62" max="62" width="13.875" style="0" hidden="1" customWidth="1"/>
    <col min="63" max="63" width="13.25390625" style="0" hidden="1" customWidth="1"/>
    <col min="64" max="64" width="11.75390625" style="0" customWidth="1"/>
    <col min="65" max="65" width="11.25390625" style="0" customWidth="1"/>
    <col min="66" max="66" width="9.875" style="0" customWidth="1"/>
  </cols>
  <sheetData>
    <row r="1" spans="18:66" ht="21" customHeight="1">
      <c r="R1" s="48" t="s">
        <v>54</v>
      </c>
      <c r="V1" s="48" t="s">
        <v>54</v>
      </c>
      <c r="Z1" s="48" t="s">
        <v>54</v>
      </c>
      <c r="AD1" s="48" t="s">
        <v>54</v>
      </c>
      <c r="AH1" s="48" t="s">
        <v>54</v>
      </c>
      <c r="AL1" s="48" t="s">
        <v>54</v>
      </c>
      <c r="AO1" s="48" t="s">
        <v>54</v>
      </c>
      <c r="AS1" s="48" t="s">
        <v>54</v>
      </c>
      <c r="AV1" s="48" t="s">
        <v>54</v>
      </c>
      <c r="BD1" s="48" t="s">
        <v>54</v>
      </c>
      <c r="BE1" s="48" t="s">
        <v>54</v>
      </c>
      <c r="BK1" s="48" t="s">
        <v>54</v>
      </c>
      <c r="BN1" s="48" t="s">
        <v>54</v>
      </c>
    </row>
    <row r="2" spans="1:13" ht="21" customHeight="1">
      <c r="A2" s="87" t="s">
        <v>126</v>
      </c>
      <c r="B2" s="86"/>
      <c r="C2" s="86"/>
      <c r="D2" s="86"/>
      <c r="E2" s="86"/>
      <c r="F2" s="86"/>
      <c r="G2" s="86"/>
      <c r="H2" s="86"/>
      <c r="J2" s="86"/>
      <c r="K2" s="86"/>
      <c r="L2" s="86"/>
      <c r="M2" s="86"/>
    </row>
    <row r="3" ht="22.5" customHeight="1" thickBot="1">
      <c r="A3" s="105"/>
    </row>
    <row r="4" spans="1:66" ht="18.75" customHeight="1">
      <c r="A4" s="22"/>
      <c r="B4" s="23"/>
      <c r="C4" s="81" t="s">
        <v>51</v>
      </c>
      <c r="D4" s="81" t="s">
        <v>51</v>
      </c>
      <c r="E4" s="81" t="s">
        <v>51</v>
      </c>
      <c r="F4" s="81" t="s">
        <v>51</v>
      </c>
      <c r="G4" s="81" t="s">
        <v>51</v>
      </c>
      <c r="H4" s="81" t="s">
        <v>51</v>
      </c>
      <c r="I4" s="81" t="s">
        <v>51</v>
      </c>
      <c r="J4" s="81" t="s">
        <v>51</v>
      </c>
      <c r="K4" s="81" t="s">
        <v>51</v>
      </c>
      <c r="L4" s="81" t="s">
        <v>51</v>
      </c>
      <c r="M4" s="81" t="s">
        <v>51</v>
      </c>
      <c r="N4" s="81" t="s">
        <v>51</v>
      </c>
      <c r="O4" s="81" t="s">
        <v>41</v>
      </c>
      <c r="P4" s="81" t="s">
        <v>51</v>
      </c>
      <c r="Q4" s="81" t="s">
        <v>52</v>
      </c>
      <c r="R4" s="81" t="s">
        <v>53</v>
      </c>
      <c r="S4" s="81" t="s">
        <v>51</v>
      </c>
      <c r="T4" s="81" t="s">
        <v>52</v>
      </c>
      <c r="U4" s="81" t="s">
        <v>68</v>
      </c>
      <c r="V4" s="81" t="s">
        <v>53</v>
      </c>
      <c r="W4" s="81" t="s">
        <v>51</v>
      </c>
      <c r="X4" s="81" t="s">
        <v>52</v>
      </c>
      <c r="Y4" s="81" t="s">
        <v>68</v>
      </c>
      <c r="Z4" s="81" t="s">
        <v>53</v>
      </c>
      <c r="AA4" s="81" t="s">
        <v>51</v>
      </c>
      <c r="AB4" s="81" t="s">
        <v>52</v>
      </c>
      <c r="AC4" s="81" t="s">
        <v>68</v>
      </c>
      <c r="AD4" s="81" t="s">
        <v>53</v>
      </c>
      <c r="AE4" s="81" t="s">
        <v>51</v>
      </c>
      <c r="AF4" s="81" t="s">
        <v>52</v>
      </c>
      <c r="AG4" s="81" t="s">
        <v>68</v>
      </c>
      <c r="AH4" s="81" t="s">
        <v>53</v>
      </c>
      <c r="AI4" s="81" t="s">
        <v>51</v>
      </c>
      <c r="AJ4" s="81" t="s">
        <v>51</v>
      </c>
      <c r="AK4" s="81" t="s">
        <v>52</v>
      </c>
      <c r="AL4" s="81" t="s">
        <v>87</v>
      </c>
      <c r="AM4" s="81" t="s">
        <v>52</v>
      </c>
      <c r="AN4" s="81" t="s">
        <v>68</v>
      </c>
      <c r="AO4" s="81" t="s">
        <v>87</v>
      </c>
      <c r="AP4" s="81" t="s">
        <v>51</v>
      </c>
      <c r="AQ4" s="81" t="s">
        <v>52</v>
      </c>
      <c r="AR4" s="81" t="s">
        <v>68</v>
      </c>
      <c r="AS4" s="81" t="s">
        <v>87</v>
      </c>
      <c r="AT4" s="81" t="s">
        <v>51</v>
      </c>
      <c r="AU4" s="81" t="s">
        <v>87</v>
      </c>
      <c r="AV4" s="81" t="s">
        <v>52</v>
      </c>
      <c r="AW4" s="81" t="s">
        <v>51</v>
      </c>
      <c r="AX4" s="81" t="s">
        <v>87</v>
      </c>
      <c r="AY4" s="81" t="s">
        <v>68</v>
      </c>
      <c r="AZ4" s="81" t="s">
        <v>52</v>
      </c>
      <c r="BA4" s="81" t="s">
        <v>51</v>
      </c>
      <c r="BB4" s="81" t="s">
        <v>87</v>
      </c>
      <c r="BC4" s="81" t="s">
        <v>68</v>
      </c>
      <c r="BD4" s="81" t="s">
        <v>52</v>
      </c>
      <c r="BE4" s="81" t="s">
        <v>111</v>
      </c>
      <c r="BF4" s="81" t="s">
        <v>119</v>
      </c>
      <c r="BG4" s="81" t="s">
        <v>122</v>
      </c>
      <c r="BH4" s="81" t="s">
        <v>124</v>
      </c>
      <c r="BI4" s="81" t="s">
        <v>87</v>
      </c>
      <c r="BJ4" s="81" t="s">
        <v>68</v>
      </c>
      <c r="BK4" s="81" t="s">
        <v>52</v>
      </c>
      <c r="BL4" s="81" t="s">
        <v>127</v>
      </c>
      <c r="BM4" s="81" t="s">
        <v>53</v>
      </c>
      <c r="BN4" s="81" t="s">
        <v>128</v>
      </c>
    </row>
    <row r="5" spans="1:66" ht="26.25" customHeight="1" thickBot="1">
      <c r="A5" s="77" t="s">
        <v>11</v>
      </c>
      <c r="B5" s="38" t="s">
        <v>36</v>
      </c>
      <c r="C5" s="82" t="s">
        <v>61</v>
      </c>
      <c r="D5" s="85" t="s">
        <v>67</v>
      </c>
      <c r="E5" s="85" t="s">
        <v>70</v>
      </c>
      <c r="F5" s="85" t="s">
        <v>80</v>
      </c>
      <c r="G5" s="85" t="s">
        <v>85</v>
      </c>
      <c r="H5" s="85" t="s">
        <v>90</v>
      </c>
      <c r="I5" s="85" t="s">
        <v>91</v>
      </c>
      <c r="J5" s="85" t="s">
        <v>101</v>
      </c>
      <c r="K5" s="85" t="s">
        <v>102</v>
      </c>
      <c r="L5" s="85" t="s">
        <v>110</v>
      </c>
      <c r="M5" s="85" t="s">
        <v>117</v>
      </c>
      <c r="N5" s="82" t="s">
        <v>75</v>
      </c>
      <c r="O5" s="82" t="s">
        <v>50</v>
      </c>
      <c r="P5" s="82" t="s">
        <v>58</v>
      </c>
      <c r="Q5" s="82" t="s">
        <v>59</v>
      </c>
      <c r="R5" s="85" t="s">
        <v>60</v>
      </c>
      <c r="S5" s="85" t="s">
        <v>64</v>
      </c>
      <c r="T5" s="85" t="s">
        <v>66</v>
      </c>
      <c r="U5" s="85" t="s">
        <v>69</v>
      </c>
      <c r="V5" s="85" t="s">
        <v>65</v>
      </c>
      <c r="W5" s="82" t="s">
        <v>71</v>
      </c>
      <c r="X5" s="85" t="s">
        <v>72</v>
      </c>
      <c r="Y5" s="85" t="s">
        <v>73</v>
      </c>
      <c r="Z5" s="85" t="s">
        <v>74</v>
      </c>
      <c r="AA5" s="82" t="s">
        <v>76</v>
      </c>
      <c r="AB5" s="85" t="s">
        <v>77</v>
      </c>
      <c r="AC5" s="85" t="s">
        <v>78</v>
      </c>
      <c r="AD5" s="85" t="s">
        <v>79</v>
      </c>
      <c r="AE5" s="82" t="s">
        <v>81</v>
      </c>
      <c r="AF5" s="85" t="s">
        <v>82</v>
      </c>
      <c r="AG5" s="85" t="s">
        <v>83</v>
      </c>
      <c r="AH5" s="85" t="s">
        <v>84</v>
      </c>
      <c r="AI5" s="85" t="s">
        <v>86</v>
      </c>
      <c r="AJ5" s="85" t="s">
        <v>92</v>
      </c>
      <c r="AK5" s="85" t="s">
        <v>89</v>
      </c>
      <c r="AL5" s="85" t="s">
        <v>88</v>
      </c>
      <c r="AM5" s="85" t="s">
        <v>93</v>
      </c>
      <c r="AN5" s="85" t="s">
        <v>95</v>
      </c>
      <c r="AO5" s="85" t="s">
        <v>96</v>
      </c>
      <c r="AP5" s="85" t="s">
        <v>97</v>
      </c>
      <c r="AQ5" s="85" t="s">
        <v>98</v>
      </c>
      <c r="AR5" s="85" t="s">
        <v>99</v>
      </c>
      <c r="AS5" s="85" t="s">
        <v>100</v>
      </c>
      <c r="AT5" s="85" t="s">
        <v>103</v>
      </c>
      <c r="AU5" s="85" t="s">
        <v>104</v>
      </c>
      <c r="AV5" s="85" t="s">
        <v>105</v>
      </c>
      <c r="AW5" s="85" t="s">
        <v>106</v>
      </c>
      <c r="AX5" s="85" t="s">
        <v>107</v>
      </c>
      <c r="AY5" s="85" t="s">
        <v>108</v>
      </c>
      <c r="AZ5" s="85" t="s">
        <v>109</v>
      </c>
      <c r="BA5" s="85" t="s">
        <v>113</v>
      </c>
      <c r="BB5" s="85" t="s">
        <v>114</v>
      </c>
      <c r="BC5" s="85" t="s">
        <v>115</v>
      </c>
      <c r="BD5" s="85" t="s">
        <v>116</v>
      </c>
      <c r="BE5" s="85" t="s">
        <v>112</v>
      </c>
      <c r="BF5" s="85" t="s">
        <v>112</v>
      </c>
      <c r="BG5" s="82" t="s">
        <v>118</v>
      </c>
      <c r="BH5" s="85" t="s">
        <v>125</v>
      </c>
      <c r="BI5" s="85" t="s">
        <v>123</v>
      </c>
      <c r="BJ5" s="85" t="s">
        <v>120</v>
      </c>
      <c r="BK5" s="85" t="s">
        <v>121</v>
      </c>
      <c r="BL5" s="82" t="s">
        <v>118</v>
      </c>
      <c r="BM5" s="85" t="s">
        <v>130</v>
      </c>
      <c r="BN5" s="85" t="s">
        <v>129</v>
      </c>
    </row>
    <row r="6" spans="1:66" ht="16.5" customHeight="1" thickBot="1">
      <c r="A6" s="42" t="s">
        <v>0</v>
      </c>
      <c r="B6" s="7" t="s">
        <v>15</v>
      </c>
      <c r="C6" s="25">
        <v>1431</v>
      </c>
      <c r="D6" s="25">
        <v>3445</v>
      </c>
      <c r="E6" s="25">
        <v>9329</v>
      </c>
      <c r="F6" s="25">
        <v>10787</v>
      </c>
      <c r="G6" s="25">
        <v>11515</v>
      </c>
      <c r="H6" s="25">
        <v>14165</v>
      </c>
      <c r="I6" s="25">
        <v>15558</v>
      </c>
      <c r="J6" s="25">
        <v>16305</v>
      </c>
      <c r="K6" s="25">
        <v>16931</v>
      </c>
      <c r="L6" s="25">
        <v>17911</v>
      </c>
      <c r="M6" s="25">
        <v>18608</v>
      </c>
      <c r="N6" s="25">
        <v>20275</v>
      </c>
      <c r="O6" s="25">
        <v>36250</v>
      </c>
      <c r="P6" s="25">
        <v>690</v>
      </c>
      <c r="Q6" s="62">
        <f>P6/O6</f>
        <v>0.01903448275862069</v>
      </c>
      <c r="R6" s="62">
        <f>P6/C6</f>
        <v>0.48218029350104824</v>
      </c>
      <c r="S6" s="25">
        <v>7785</v>
      </c>
      <c r="T6" s="62">
        <f>S6/O6</f>
        <v>0.21475862068965518</v>
      </c>
      <c r="U6" s="62">
        <f>(S6-P6)/O6</f>
        <v>0.1957241379310345</v>
      </c>
      <c r="V6" s="62">
        <f>S6/D6</f>
        <v>2.259796806966618</v>
      </c>
      <c r="W6" s="25">
        <v>8868</v>
      </c>
      <c r="X6" s="62">
        <f>W6/O6</f>
        <v>0.24463448275862068</v>
      </c>
      <c r="Y6" s="62">
        <f>(W6-S6)/O6</f>
        <v>0.029875862068965517</v>
      </c>
      <c r="Z6" s="62">
        <f>W6/E6</f>
        <v>0.9505841998070532</v>
      </c>
      <c r="AA6" s="25">
        <v>9931</v>
      </c>
      <c r="AB6" s="62">
        <f>AA6/O6</f>
        <v>0.27395862068965515</v>
      </c>
      <c r="AC6" s="62">
        <f>(AA6-W6)/O6</f>
        <v>0.029324137931034482</v>
      </c>
      <c r="AD6" s="62">
        <f>AA6/F6</f>
        <v>0.9206452210994716</v>
      </c>
      <c r="AE6" s="25">
        <v>10996</v>
      </c>
      <c r="AF6" s="62">
        <f>AE6/O6</f>
        <v>0.30333793103448276</v>
      </c>
      <c r="AG6" s="62">
        <f>(AE6-AA6)/O6</f>
        <v>0.029379310344827585</v>
      </c>
      <c r="AH6" s="62">
        <f>AE6/G6</f>
        <v>0.9549283543204515</v>
      </c>
      <c r="AI6" s="25">
        <v>11812</v>
      </c>
      <c r="AJ6" s="25">
        <v>12751</v>
      </c>
      <c r="AK6" s="62">
        <f>AI6/O6</f>
        <v>0.325848275862069</v>
      </c>
      <c r="AL6" s="62">
        <f>AI6/H6</f>
        <v>0.8338863395693611</v>
      </c>
      <c r="AM6" s="62">
        <f>AJ6/O6</f>
        <v>0.35175172413793104</v>
      </c>
      <c r="AN6" s="62">
        <f>(AJ6-AI6)/O6</f>
        <v>0.02590344827586207</v>
      </c>
      <c r="AO6" s="62">
        <f>AJ6/I6</f>
        <v>0.8195783519732613</v>
      </c>
      <c r="AP6" s="25">
        <v>17142</v>
      </c>
      <c r="AQ6" s="62">
        <f>AP6/O6</f>
        <v>0.4728827586206897</v>
      </c>
      <c r="AR6" s="62">
        <f>(AP6-AJ6)/O6</f>
        <v>0.12113103448275862</v>
      </c>
      <c r="AS6" s="62">
        <f>AP6/J6</f>
        <v>1.0513339466421343</v>
      </c>
      <c r="AT6" s="25">
        <v>18966</v>
      </c>
      <c r="AU6" s="62">
        <f>AT6/K6</f>
        <v>1.1201937274821334</v>
      </c>
      <c r="AV6" s="62">
        <f>AT6/O6</f>
        <v>0.5232</v>
      </c>
      <c r="AW6" s="25">
        <v>22187</v>
      </c>
      <c r="AX6" s="62">
        <f>AW6/L6</f>
        <v>1.2387359723075204</v>
      </c>
      <c r="AY6" s="62">
        <f>(AW6-AT6)/O6</f>
        <v>0.08885517241379311</v>
      </c>
      <c r="AZ6" s="62">
        <f>AW6/O6</f>
        <v>0.6120551724137931</v>
      </c>
      <c r="BA6" s="25">
        <v>31584</v>
      </c>
      <c r="BB6" s="62">
        <f>BA6/M6</f>
        <v>1.6973344797936372</v>
      </c>
      <c r="BC6" s="62">
        <f>(BA6-AW6)/O6</f>
        <v>0.25922758620689657</v>
      </c>
      <c r="BD6" s="62">
        <f>BA6/O6</f>
        <v>0.8712827586206896</v>
      </c>
      <c r="BE6" s="25">
        <v>28600</v>
      </c>
      <c r="BF6" s="25">
        <v>37788</v>
      </c>
      <c r="BG6" s="106">
        <v>34600</v>
      </c>
      <c r="BH6" s="25">
        <v>37788</v>
      </c>
      <c r="BI6" s="62">
        <f>BF6/N6</f>
        <v>1.8637731196054255</v>
      </c>
      <c r="BJ6" s="62">
        <f>(BF6-BA6)/O6</f>
        <v>0.1711448275862069</v>
      </c>
      <c r="BK6" s="62">
        <f>BF6/O6</f>
        <v>1.0424275862068966</v>
      </c>
      <c r="BL6" s="25">
        <v>37824</v>
      </c>
      <c r="BM6" s="62">
        <f>BL6/N6</f>
        <v>1.8655487053020963</v>
      </c>
      <c r="BN6" s="62">
        <f>BL6/O6</f>
        <v>1.0434206896551723</v>
      </c>
    </row>
    <row r="7" spans="1:66" ht="26.25" thickBot="1">
      <c r="A7" s="43" t="s">
        <v>2</v>
      </c>
      <c r="B7" s="10" t="s">
        <v>62</v>
      </c>
      <c r="C7" s="26">
        <v>9899</v>
      </c>
      <c r="D7" s="26">
        <v>10088</v>
      </c>
      <c r="E7" s="26">
        <v>10489</v>
      </c>
      <c r="F7" s="26">
        <v>10934</v>
      </c>
      <c r="G7" s="26">
        <v>11602</v>
      </c>
      <c r="H7" s="26">
        <v>11300</v>
      </c>
      <c r="I7" s="26">
        <v>11920</v>
      </c>
      <c r="J7" s="26">
        <v>12093</v>
      </c>
      <c r="K7" s="26">
        <v>23689</v>
      </c>
      <c r="L7" s="26">
        <v>24737</v>
      </c>
      <c r="M7" s="26">
        <v>25798</v>
      </c>
      <c r="N7" s="26">
        <v>25431</v>
      </c>
      <c r="O7" s="26">
        <v>30310</v>
      </c>
      <c r="P7" s="26">
        <v>9116</v>
      </c>
      <c r="Q7" s="58">
        <f aca="true" t="shared" si="0" ref="Q7:Q51">P7/O7</f>
        <v>0.3007588254701419</v>
      </c>
      <c r="R7" s="58">
        <f>P7/C7</f>
        <v>0.9209011011213254</v>
      </c>
      <c r="S7" s="26">
        <v>13811</v>
      </c>
      <c r="T7" s="58">
        <f aca="true" t="shared" si="1" ref="T7:T51">S7/O7</f>
        <v>0.4556581986143187</v>
      </c>
      <c r="U7" s="58">
        <f aca="true" t="shared" si="2" ref="U7:U51">(S7-P7)/O7</f>
        <v>0.15489937314417684</v>
      </c>
      <c r="V7" s="58">
        <f>S7/D7</f>
        <v>1.3690523394131642</v>
      </c>
      <c r="W7" s="26">
        <v>4936</v>
      </c>
      <c r="X7" s="58">
        <f>W7/O7</f>
        <v>0.1628505443747938</v>
      </c>
      <c r="Y7" s="62">
        <f>(W7-S7)/O7</f>
        <v>-0.29280765423952493</v>
      </c>
      <c r="Z7" s="62">
        <f>W7/E7</f>
        <v>0.47058823529411764</v>
      </c>
      <c r="AA7" s="26">
        <v>15102</v>
      </c>
      <c r="AB7" s="62">
        <f aca="true" t="shared" si="3" ref="AB7:AB51">AA7/O7</f>
        <v>0.4982514021774992</v>
      </c>
      <c r="AC7" s="62">
        <f aca="true" t="shared" si="4" ref="AC7:AC51">(AA7-W7)/O7</f>
        <v>0.3354008578027054</v>
      </c>
      <c r="AD7" s="62">
        <f>AA7/F7</f>
        <v>1.3811962685202122</v>
      </c>
      <c r="AE7" s="26">
        <v>15381</v>
      </c>
      <c r="AF7" s="62">
        <f aca="true" t="shared" si="5" ref="AF7:AF51">AE7/O7</f>
        <v>0.5074562850544375</v>
      </c>
      <c r="AG7" s="62">
        <f aca="true" t="shared" si="6" ref="AG7:AG51">(AE7-AA7)/O7</f>
        <v>0.009204882876938304</v>
      </c>
      <c r="AH7" s="62">
        <f>AE7/G7</f>
        <v>1.3257197034993966</v>
      </c>
      <c r="AI7" s="26">
        <v>9117</v>
      </c>
      <c r="AJ7" s="26">
        <v>9799</v>
      </c>
      <c r="AK7" s="62">
        <f aca="true" t="shared" si="7" ref="AK7:AK51">AI7/O7</f>
        <v>0.3007918178818872</v>
      </c>
      <c r="AL7" s="62">
        <f>AI7/H7</f>
        <v>0.8068141592920354</v>
      </c>
      <c r="AM7" s="58">
        <f aca="true" t="shared" si="8" ref="AM7:AM51">AJ7/O7</f>
        <v>0.3232926426921808</v>
      </c>
      <c r="AN7" s="58">
        <f aca="true" t="shared" si="9" ref="AN7:AN51">(AJ7-AI7)/O7</f>
        <v>0.022500824810293633</v>
      </c>
      <c r="AO7" s="58">
        <f>AJ7/I7</f>
        <v>0.8220637583892617</v>
      </c>
      <c r="AP7" s="26">
        <v>10072</v>
      </c>
      <c r="AQ7" s="58">
        <f>AP7/O7</f>
        <v>0.33229957109864733</v>
      </c>
      <c r="AR7" s="58">
        <f aca="true" t="shared" si="10" ref="AR7:AR51">(AP7-AJ7)/O7</f>
        <v>0.009006928406466512</v>
      </c>
      <c r="AS7" s="58">
        <f>AP7/J7</f>
        <v>0.8328785247663938</v>
      </c>
      <c r="AT7" s="26">
        <v>9655</v>
      </c>
      <c r="AU7" s="58">
        <f>AT7/K7</f>
        <v>0.4075731352104352</v>
      </c>
      <c r="AV7" s="58">
        <f aca="true" t="shared" si="11" ref="AV7:AV51">AT7/O7</f>
        <v>0.3185417354008578</v>
      </c>
      <c r="AW7" s="26">
        <v>9950</v>
      </c>
      <c r="AX7" s="58">
        <f>AW7/L7</f>
        <v>0.4022314751182439</v>
      </c>
      <c r="AY7" s="58">
        <f aca="true" t="shared" si="12" ref="AY7:AY51">(AW7-AT7)/O7</f>
        <v>0.009732761464863082</v>
      </c>
      <c r="AZ7" s="58">
        <f aca="true" t="shared" si="13" ref="AZ7:AZ51">AW7/O7</f>
        <v>0.3282744968657209</v>
      </c>
      <c r="BA7" s="26">
        <v>10755</v>
      </c>
      <c r="BB7" s="58">
        <f>BA7/M7</f>
        <v>0.4168927823862315</v>
      </c>
      <c r="BC7" s="58">
        <f aca="true" t="shared" si="14" ref="BC7:BC51">(BA7-AW7)/O7</f>
        <v>0.026558891454965358</v>
      </c>
      <c r="BD7" s="58">
        <f aca="true" t="shared" si="15" ref="BD7:BD51">BA7/O7</f>
        <v>0.3548333883206862</v>
      </c>
      <c r="BE7" s="26">
        <v>19550</v>
      </c>
      <c r="BF7" s="26">
        <v>13340</v>
      </c>
      <c r="BG7" s="8">
        <v>15000</v>
      </c>
      <c r="BH7" s="26">
        <v>13385</v>
      </c>
      <c r="BI7" s="58">
        <f aca="true" t="shared" si="16" ref="BI7:BI51">BF7/N7</f>
        <v>0.5245566434666352</v>
      </c>
      <c r="BJ7" s="58">
        <f aca="true" t="shared" si="17" ref="BJ7:BJ51">(BF7-BA7)/O7</f>
        <v>0.08528538436159683</v>
      </c>
      <c r="BK7" s="58">
        <f aca="true" t="shared" si="18" ref="BK7:BK51">BF7/O7</f>
        <v>0.44011877268228305</v>
      </c>
      <c r="BL7" s="26">
        <v>13384</v>
      </c>
      <c r="BM7" s="58">
        <f aca="true" t="shared" si="19" ref="BM7:BM51">BL7/N7</f>
        <v>0.5262868153041563</v>
      </c>
      <c r="BN7" s="58">
        <f aca="true" t="shared" si="20" ref="BN7:BN51">BL7/O7</f>
        <v>0.4415704387990762</v>
      </c>
    </row>
    <row r="8" spans="1:66" ht="16.5" customHeight="1" thickBot="1">
      <c r="A8" s="43" t="s">
        <v>3</v>
      </c>
      <c r="B8" s="10" t="s">
        <v>33</v>
      </c>
      <c r="C8" s="26">
        <v>9600</v>
      </c>
      <c r="D8" s="26" t="e">
        <f>#REF!</f>
        <v>#REF!</v>
      </c>
      <c r="E8" s="26" t="e">
        <f>#REF!</f>
        <v>#REF!</v>
      </c>
      <c r="F8" s="26">
        <v>43696</v>
      </c>
      <c r="G8" s="26">
        <v>58083</v>
      </c>
      <c r="H8" s="26">
        <v>68691</v>
      </c>
      <c r="I8" s="26">
        <v>82072</v>
      </c>
      <c r="J8" s="26">
        <v>91305</v>
      </c>
      <c r="K8" s="26" t="e">
        <f>#REF!</f>
        <v>#REF!</v>
      </c>
      <c r="L8" s="26">
        <v>113941</v>
      </c>
      <c r="M8" s="26">
        <v>125114</v>
      </c>
      <c r="N8" s="26">
        <v>141537</v>
      </c>
      <c r="O8" s="26">
        <v>159240</v>
      </c>
      <c r="P8" s="26" t="e">
        <f>#REF!</f>
        <v>#REF!</v>
      </c>
      <c r="Q8" s="58" t="e">
        <f t="shared" si="0"/>
        <v>#REF!</v>
      </c>
      <c r="R8" s="58" t="e">
        <f>P8/C8</f>
        <v>#REF!</v>
      </c>
      <c r="S8" s="26" t="e">
        <f>#REF!</f>
        <v>#REF!</v>
      </c>
      <c r="T8" s="58" t="e">
        <f t="shared" si="1"/>
        <v>#REF!</v>
      </c>
      <c r="U8" s="58" t="e">
        <f t="shared" si="2"/>
        <v>#REF!</v>
      </c>
      <c r="V8" s="58" t="e">
        <f>S8/D8</f>
        <v>#REF!</v>
      </c>
      <c r="W8" s="26" t="e">
        <f>#REF!</f>
        <v>#REF!</v>
      </c>
      <c r="X8" s="58" t="e">
        <f>W8/O8</f>
        <v>#REF!</v>
      </c>
      <c r="Y8" s="62" t="e">
        <f>(W8-S8)/O8</f>
        <v>#REF!</v>
      </c>
      <c r="Z8" s="62" t="e">
        <f>W8/E8</f>
        <v>#REF!</v>
      </c>
      <c r="AA8" s="26" t="e">
        <f>#REF!</f>
        <v>#REF!</v>
      </c>
      <c r="AB8" s="62" t="e">
        <f t="shared" si="3"/>
        <v>#REF!</v>
      </c>
      <c r="AC8" s="62" t="e">
        <f t="shared" si="4"/>
        <v>#REF!</v>
      </c>
      <c r="AD8" s="62" t="e">
        <f>AA8/F8</f>
        <v>#REF!</v>
      </c>
      <c r="AE8" s="26" t="e">
        <f>#REF!</f>
        <v>#REF!</v>
      </c>
      <c r="AF8" s="62" t="e">
        <f t="shared" si="5"/>
        <v>#REF!</v>
      </c>
      <c r="AG8" s="62" t="e">
        <f t="shared" si="6"/>
        <v>#REF!</v>
      </c>
      <c r="AH8" s="62" t="e">
        <f>AE8/G8</f>
        <v>#REF!</v>
      </c>
      <c r="AI8" s="26" t="e">
        <f>#REF!</f>
        <v>#REF!</v>
      </c>
      <c r="AJ8" s="26">
        <v>74004</v>
      </c>
      <c r="AK8" s="62" t="e">
        <f t="shared" si="7"/>
        <v>#REF!</v>
      </c>
      <c r="AL8" s="62" t="e">
        <f>AI8/H8</f>
        <v>#REF!</v>
      </c>
      <c r="AM8" s="58">
        <f t="shared" si="8"/>
        <v>0.4647324792765637</v>
      </c>
      <c r="AN8" s="58" t="e">
        <f t="shared" si="9"/>
        <v>#REF!</v>
      </c>
      <c r="AO8" s="58">
        <f>AJ8/I8</f>
        <v>0.9016960717418852</v>
      </c>
      <c r="AP8" s="26" t="e">
        <f>#REF!</f>
        <v>#REF!</v>
      </c>
      <c r="AQ8" s="58" t="e">
        <f>AP8/O8</f>
        <v>#REF!</v>
      </c>
      <c r="AR8" s="58" t="e">
        <f t="shared" si="10"/>
        <v>#REF!</v>
      </c>
      <c r="AS8" s="58" t="e">
        <f>AP8/J8</f>
        <v>#REF!</v>
      </c>
      <c r="AT8" s="26" t="e">
        <f>#REF!</f>
        <v>#REF!</v>
      </c>
      <c r="AU8" s="58" t="e">
        <f>AT8/K8</f>
        <v>#REF!</v>
      </c>
      <c r="AV8" s="58" t="e">
        <f t="shared" si="11"/>
        <v>#REF!</v>
      </c>
      <c r="AW8" s="26" t="e">
        <f>#REF!</f>
        <v>#REF!</v>
      </c>
      <c r="AX8" s="58" t="e">
        <f>AW8/L8</f>
        <v>#REF!</v>
      </c>
      <c r="AY8" s="58" t="e">
        <f t="shared" si="12"/>
        <v>#REF!</v>
      </c>
      <c r="AZ8" s="58" t="e">
        <f t="shared" si="13"/>
        <v>#REF!</v>
      </c>
      <c r="BA8" s="26">
        <v>108597</v>
      </c>
      <c r="BB8" s="58">
        <f>BA8/M8</f>
        <v>0.8679843982288153</v>
      </c>
      <c r="BC8" s="58" t="e">
        <f t="shared" si="14"/>
        <v>#REF!</v>
      </c>
      <c r="BD8" s="58">
        <f t="shared" si="15"/>
        <v>0.6819706103993971</v>
      </c>
      <c r="BE8" s="26" t="e">
        <f>#REF!</f>
        <v>#REF!</v>
      </c>
      <c r="BF8" s="26" t="e">
        <f>#REF!</f>
        <v>#REF!</v>
      </c>
      <c r="BG8" s="8">
        <v>124000</v>
      </c>
      <c r="BH8" s="26">
        <v>121094</v>
      </c>
      <c r="BI8" s="58" t="e">
        <f t="shared" si="16"/>
        <v>#REF!</v>
      </c>
      <c r="BJ8" s="58" t="e">
        <f t="shared" si="17"/>
        <v>#REF!</v>
      </c>
      <c r="BK8" s="58" t="e">
        <f t="shared" si="18"/>
        <v>#REF!</v>
      </c>
      <c r="BL8" s="26">
        <v>124159</v>
      </c>
      <c r="BM8" s="58">
        <f t="shared" si="19"/>
        <v>0.8772193843305991</v>
      </c>
      <c r="BN8" s="58">
        <f t="shared" si="20"/>
        <v>0.7796973122331072</v>
      </c>
    </row>
    <row r="9" spans="1:66" ht="24.75" customHeight="1">
      <c r="A9" s="24" t="s">
        <v>4</v>
      </c>
      <c r="B9" s="19" t="s">
        <v>49</v>
      </c>
      <c r="C9" s="78">
        <f aca="true" t="shared" si="21" ref="C9:P9">C11+C12</f>
        <v>0</v>
      </c>
      <c r="D9" s="78">
        <f t="shared" si="21"/>
        <v>0</v>
      </c>
      <c r="E9" s="78">
        <f t="shared" si="21"/>
        <v>1933</v>
      </c>
      <c r="F9" s="78">
        <f>F11+F12</f>
        <v>2590</v>
      </c>
      <c r="G9" s="78">
        <f t="shared" si="21"/>
        <v>2766</v>
      </c>
      <c r="H9" s="78">
        <f>H11+H12</f>
        <v>2767</v>
      </c>
      <c r="I9" s="78">
        <f>I11+I12</f>
        <v>2766</v>
      </c>
      <c r="J9" s="78">
        <f t="shared" si="21"/>
        <v>2766</v>
      </c>
      <c r="K9" s="78">
        <f t="shared" si="21"/>
        <v>2766</v>
      </c>
      <c r="L9" s="78">
        <f t="shared" si="21"/>
        <v>2766</v>
      </c>
      <c r="M9" s="78">
        <f t="shared" si="21"/>
        <v>2766</v>
      </c>
      <c r="N9" s="78">
        <f t="shared" si="21"/>
        <v>108856</v>
      </c>
      <c r="O9" s="78">
        <f t="shared" si="21"/>
        <v>135000</v>
      </c>
      <c r="P9" s="78">
        <f t="shared" si="21"/>
        <v>0</v>
      </c>
      <c r="Q9" s="91">
        <f t="shared" si="0"/>
        <v>0</v>
      </c>
      <c r="R9" s="98" t="s">
        <v>47</v>
      </c>
      <c r="S9" s="78">
        <f>S11+S12</f>
        <v>0</v>
      </c>
      <c r="T9" s="91">
        <f t="shared" si="1"/>
        <v>0</v>
      </c>
      <c r="U9" s="91">
        <f t="shared" si="2"/>
        <v>0</v>
      </c>
      <c r="V9" s="98" t="s">
        <v>47</v>
      </c>
      <c r="W9" s="78">
        <f>W11+W12</f>
        <v>50043</v>
      </c>
      <c r="X9" s="91">
        <f>W9/O9</f>
        <v>0.3706888888888889</v>
      </c>
      <c r="Y9" s="50">
        <f>(W9-S9)/O9</f>
        <v>0.3706888888888889</v>
      </c>
      <c r="Z9" s="98" t="s">
        <v>47</v>
      </c>
      <c r="AA9" s="78">
        <f>AA11+AA12</f>
        <v>50043</v>
      </c>
      <c r="AB9" s="50">
        <f t="shared" si="3"/>
        <v>0.3706888888888889</v>
      </c>
      <c r="AC9" s="50">
        <f t="shared" si="4"/>
        <v>0</v>
      </c>
      <c r="AD9" s="97" t="s">
        <v>55</v>
      </c>
      <c r="AE9" s="78">
        <f>AE11+AE12</f>
        <v>50044</v>
      </c>
      <c r="AF9" s="50">
        <f t="shared" si="5"/>
        <v>0.3706962962962963</v>
      </c>
      <c r="AG9" s="50">
        <f t="shared" si="6"/>
        <v>7.4074074074074075E-06</v>
      </c>
      <c r="AH9" s="97" t="s">
        <v>55</v>
      </c>
      <c r="AI9" s="78">
        <f>AI11+AI12</f>
        <v>50044</v>
      </c>
      <c r="AJ9" s="78">
        <f>AJ11+AJ12</f>
        <v>97633</v>
      </c>
      <c r="AK9" s="50">
        <f t="shared" si="7"/>
        <v>0.3706962962962963</v>
      </c>
      <c r="AL9" s="97" t="s">
        <v>55</v>
      </c>
      <c r="AM9" s="91">
        <f t="shared" si="8"/>
        <v>0.7232074074074074</v>
      </c>
      <c r="AN9" s="91">
        <f t="shared" si="9"/>
        <v>0.3525111111111111</v>
      </c>
      <c r="AO9" s="98" t="s">
        <v>94</v>
      </c>
      <c r="AP9" s="78">
        <f>AP11+AP12</f>
        <v>97634</v>
      </c>
      <c r="AQ9" s="91">
        <f>AP9/O9</f>
        <v>0.7232148148148149</v>
      </c>
      <c r="AR9" s="91">
        <f t="shared" si="10"/>
        <v>7.4074074074074075E-06</v>
      </c>
      <c r="AS9" s="98" t="s">
        <v>55</v>
      </c>
      <c r="AT9" s="78">
        <f>AT11+AT12</f>
        <v>119550</v>
      </c>
      <c r="AU9" s="98" t="s">
        <v>55</v>
      </c>
      <c r="AV9" s="91">
        <f t="shared" si="11"/>
        <v>0.8855555555555555</v>
      </c>
      <c r="AW9" s="78">
        <f>AW11+AW12</f>
        <v>173965</v>
      </c>
      <c r="AX9" s="98" t="s">
        <v>55</v>
      </c>
      <c r="AY9" s="91">
        <f t="shared" si="12"/>
        <v>0.4030740740740741</v>
      </c>
      <c r="AZ9" s="91">
        <f t="shared" si="13"/>
        <v>1.2886296296296296</v>
      </c>
      <c r="BA9" s="78">
        <f>BA11+BA12</f>
        <v>184804</v>
      </c>
      <c r="BB9" s="98" t="s">
        <v>55</v>
      </c>
      <c r="BC9" s="91">
        <f t="shared" si="14"/>
        <v>0.0802888888888889</v>
      </c>
      <c r="BD9" s="91">
        <f t="shared" si="15"/>
        <v>1.3689185185185184</v>
      </c>
      <c r="BE9" s="78">
        <f>BE11+BE12</f>
        <v>193901</v>
      </c>
      <c r="BF9" s="78">
        <f>BF11+BF12</f>
        <v>184804</v>
      </c>
      <c r="BG9" s="110">
        <f>BG11+BG12</f>
        <v>193901</v>
      </c>
      <c r="BH9" s="78">
        <f>BH11+BH12</f>
        <v>200546</v>
      </c>
      <c r="BI9" s="91">
        <f t="shared" si="16"/>
        <v>1.6976923642242963</v>
      </c>
      <c r="BJ9" s="91">
        <f t="shared" si="17"/>
        <v>0</v>
      </c>
      <c r="BK9" s="91">
        <f t="shared" si="18"/>
        <v>1.3689185185185184</v>
      </c>
      <c r="BL9" s="78">
        <f>BL11+BL12</f>
        <v>201057</v>
      </c>
      <c r="BM9" s="91">
        <f t="shared" si="19"/>
        <v>1.8469997060336591</v>
      </c>
      <c r="BN9" s="91">
        <f t="shared" si="20"/>
        <v>1.489311111111111</v>
      </c>
    </row>
    <row r="10" spans="1:66" ht="14.25" customHeight="1">
      <c r="A10" s="17"/>
      <c r="B10" s="2" t="s">
        <v>12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92"/>
      <c r="R10" s="99"/>
      <c r="S10" s="79"/>
      <c r="T10" s="99"/>
      <c r="U10" s="99"/>
      <c r="V10" s="99"/>
      <c r="W10" s="79"/>
      <c r="X10" s="99"/>
      <c r="Y10" s="99"/>
      <c r="Z10" s="99"/>
      <c r="AA10" s="79"/>
      <c r="AB10" s="99"/>
      <c r="AC10" s="99"/>
      <c r="AD10" s="99"/>
      <c r="AE10" s="79"/>
      <c r="AF10" s="99"/>
      <c r="AG10" s="99"/>
      <c r="AH10" s="99"/>
      <c r="AI10" s="79"/>
      <c r="AJ10" s="79"/>
      <c r="AK10" s="99"/>
      <c r="AL10" s="99"/>
      <c r="AM10" s="92"/>
      <c r="AN10" s="92"/>
      <c r="AO10" s="92"/>
      <c r="AP10" s="79"/>
      <c r="AQ10" s="92"/>
      <c r="AR10" s="92"/>
      <c r="AS10" s="92"/>
      <c r="AT10" s="79"/>
      <c r="AU10" s="92"/>
      <c r="AV10" s="92"/>
      <c r="AW10" s="79"/>
      <c r="AX10" s="99"/>
      <c r="AY10" s="92"/>
      <c r="AZ10" s="92"/>
      <c r="BA10" s="79"/>
      <c r="BB10" s="99"/>
      <c r="BC10" s="99"/>
      <c r="BD10" s="99"/>
      <c r="BE10" s="79"/>
      <c r="BF10" s="79"/>
      <c r="BG10" s="111"/>
      <c r="BH10" s="79"/>
      <c r="BI10" s="99"/>
      <c r="BJ10" s="99"/>
      <c r="BK10" s="99"/>
      <c r="BL10" s="79"/>
      <c r="BM10" s="99"/>
      <c r="BN10" s="99"/>
    </row>
    <row r="11" spans="1:66" ht="16.5" customHeight="1">
      <c r="A11" s="17"/>
      <c r="B11" s="2" t="s">
        <v>30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21536</v>
      </c>
      <c r="O11" s="27">
        <v>85000</v>
      </c>
      <c r="P11" s="27">
        <v>0</v>
      </c>
      <c r="Q11" s="51">
        <f t="shared" si="0"/>
        <v>0</v>
      </c>
      <c r="R11" s="75" t="s">
        <v>47</v>
      </c>
      <c r="S11" s="27">
        <v>0</v>
      </c>
      <c r="T11" s="51">
        <f t="shared" si="1"/>
        <v>0</v>
      </c>
      <c r="U11" s="51">
        <f t="shared" si="2"/>
        <v>0</v>
      </c>
      <c r="V11" s="75" t="s">
        <v>47</v>
      </c>
      <c r="W11" s="27">
        <v>0</v>
      </c>
      <c r="X11" s="51">
        <f>W11/O11</f>
        <v>0</v>
      </c>
      <c r="Y11" s="51">
        <f>(W11-S11)/O11</f>
        <v>0</v>
      </c>
      <c r="Z11" s="75" t="s">
        <v>47</v>
      </c>
      <c r="AA11" s="27">
        <v>0</v>
      </c>
      <c r="AB11" s="51">
        <f t="shared" si="3"/>
        <v>0</v>
      </c>
      <c r="AC11" s="51">
        <f t="shared" si="4"/>
        <v>0</v>
      </c>
      <c r="AD11" s="75" t="s">
        <v>47</v>
      </c>
      <c r="AE11" s="27">
        <v>0</v>
      </c>
      <c r="AF11" s="51">
        <f t="shared" si="5"/>
        <v>0</v>
      </c>
      <c r="AG11" s="51">
        <f t="shared" si="6"/>
        <v>0</v>
      </c>
      <c r="AH11" s="75" t="s">
        <v>47</v>
      </c>
      <c r="AI11" s="27">
        <v>0</v>
      </c>
      <c r="AJ11" s="27">
        <v>0</v>
      </c>
      <c r="AK11" s="51">
        <f t="shared" si="7"/>
        <v>0</v>
      </c>
      <c r="AL11" s="75" t="s">
        <v>47</v>
      </c>
      <c r="AM11" s="51">
        <f t="shared" si="8"/>
        <v>0</v>
      </c>
      <c r="AN11" s="51">
        <f t="shared" si="9"/>
        <v>0</v>
      </c>
      <c r="AO11" s="75" t="s">
        <v>94</v>
      </c>
      <c r="AP11" s="27">
        <v>0</v>
      </c>
      <c r="AQ11" s="51">
        <f>AP11/O11</f>
        <v>0</v>
      </c>
      <c r="AR11" s="51">
        <f t="shared" si="10"/>
        <v>0</v>
      </c>
      <c r="AS11" s="75" t="s">
        <v>47</v>
      </c>
      <c r="AT11" s="27">
        <v>0</v>
      </c>
      <c r="AU11" s="75" t="s">
        <v>47</v>
      </c>
      <c r="AV11" s="51">
        <f t="shared" si="11"/>
        <v>0</v>
      </c>
      <c r="AW11" s="27">
        <v>31521</v>
      </c>
      <c r="AX11" s="75" t="s">
        <v>47</v>
      </c>
      <c r="AY11" s="51">
        <f t="shared" si="12"/>
        <v>0.37083529411764704</v>
      </c>
      <c r="AZ11" s="51">
        <f t="shared" si="13"/>
        <v>0.37083529411764704</v>
      </c>
      <c r="BA11" s="27">
        <v>31521</v>
      </c>
      <c r="BB11" s="75" t="s">
        <v>47</v>
      </c>
      <c r="BC11" s="51">
        <f t="shared" si="14"/>
        <v>0</v>
      </c>
      <c r="BD11" s="51">
        <f t="shared" si="15"/>
        <v>0.37083529411764704</v>
      </c>
      <c r="BE11" s="27">
        <v>31521</v>
      </c>
      <c r="BF11" s="27">
        <v>31521</v>
      </c>
      <c r="BG11" s="107">
        <v>31521</v>
      </c>
      <c r="BH11" s="27">
        <v>31521</v>
      </c>
      <c r="BI11" s="51">
        <f t="shared" si="16"/>
        <v>1.4636422734026746</v>
      </c>
      <c r="BJ11" s="51">
        <f t="shared" si="17"/>
        <v>0</v>
      </c>
      <c r="BK11" s="51">
        <f t="shared" si="18"/>
        <v>0.37083529411764704</v>
      </c>
      <c r="BL11" s="27">
        <v>32032</v>
      </c>
      <c r="BM11" s="51">
        <f t="shared" si="19"/>
        <v>1.487369985141159</v>
      </c>
      <c r="BN11" s="51">
        <f t="shared" si="20"/>
        <v>0.3768470588235294</v>
      </c>
    </row>
    <row r="12" spans="1:66" ht="16.5" customHeight="1" thickBot="1">
      <c r="A12" s="17"/>
      <c r="B12" s="3" t="s">
        <v>16</v>
      </c>
      <c r="C12" s="28">
        <v>0</v>
      </c>
      <c r="D12" s="28">
        <v>0</v>
      </c>
      <c r="E12" s="28">
        <v>1933</v>
      </c>
      <c r="F12" s="28">
        <v>2590</v>
      </c>
      <c r="G12" s="28">
        <v>2766</v>
      </c>
      <c r="H12" s="28">
        <v>2767</v>
      </c>
      <c r="I12" s="28">
        <v>2766</v>
      </c>
      <c r="J12" s="28">
        <v>2766</v>
      </c>
      <c r="K12" s="28">
        <v>2766</v>
      </c>
      <c r="L12" s="28">
        <v>2766</v>
      </c>
      <c r="M12" s="28">
        <v>2766</v>
      </c>
      <c r="N12" s="28">
        <v>87320</v>
      </c>
      <c r="O12" s="28">
        <v>50000</v>
      </c>
      <c r="P12" s="28">
        <v>0</v>
      </c>
      <c r="Q12" s="56">
        <f t="shared" si="0"/>
        <v>0</v>
      </c>
      <c r="R12" s="100" t="s">
        <v>47</v>
      </c>
      <c r="S12" s="28">
        <v>0</v>
      </c>
      <c r="T12" s="56">
        <f t="shared" si="1"/>
        <v>0</v>
      </c>
      <c r="U12" s="56">
        <f t="shared" si="2"/>
        <v>0</v>
      </c>
      <c r="V12" s="100" t="s">
        <v>47</v>
      </c>
      <c r="W12" s="28">
        <v>50043</v>
      </c>
      <c r="X12" s="56">
        <f>W12/O12</f>
        <v>1.00086</v>
      </c>
      <c r="Y12" s="56">
        <f>(W12-S12)/O12</f>
        <v>1.00086</v>
      </c>
      <c r="Z12" s="100" t="s">
        <v>47</v>
      </c>
      <c r="AA12" s="28">
        <v>50043</v>
      </c>
      <c r="AB12" s="56">
        <f t="shared" si="3"/>
        <v>1.00086</v>
      </c>
      <c r="AC12" s="56">
        <f t="shared" si="4"/>
        <v>0</v>
      </c>
      <c r="AD12" s="100" t="s">
        <v>55</v>
      </c>
      <c r="AE12" s="28">
        <v>50044</v>
      </c>
      <c r="AF12" s="56">
        <f t="shared" si="5"/>
        <v>1.00088</v>
      </c>
      <c r="AG12" s="56">
        <f t="shared" si="6"/>
        <v>2E-05</v>
      </c>
      <c r="AH12" s="100" t="s">
        <v>55</v>
      </c>
      <c r="AI12" s="28">
        <v>50044</v>
      </c>
      <c r="AJ12" s="28">
        <v>97633</v>
      </c>
      <c r="AK12" s="56">
        <f t="shared" si="7"/>
        <v>1.00088</v>
      </c>
      <c r="AL12" s="100" t="s">
        <v>55</v>
      </c>
      <c r="AM12" s="56">
        <f t="shared" si="8"/>
        <v>1.95266</v>
      </c>
      <c r="AN12" s="56">
        <f t="shared" si="9"/>
        <v>0.95178</v>
      </c>
      <c r="AO12" s="100" t="s">
        <v>94</v>
      </c>
      <c r="AP12" s="28">
        <v>97634</v>
      </c>
      <c r="AQ12" s="56">
        <f>AP12/O12</f>
        <v>1.95268</v>
      </c>
      <c r="AR12" s="56">
        <f t="shared" si="10"/>
        <v>2E-05</v>
      </c>
      <c r="AS12" s="100" t="s">
        <v>55</v>
      </c>
      <c r="AT12" s="28">
        <v>119550</v>
      </c>
      <c r="AU12" s="100" t="s">
        <v>55</v>
      </c>
      <c r="AV12" s="100" t="s">
        <v>55</v>
      </c>
      <c r="AW12" s="28">
        <v>142444</v>
      </c>
      <c r="AX12" s="100" t="s">
        <v>55</v>
      </c>
      <c r="AY12" s="56">
        <f t="shared" si="12"/>
        <v>0.45788</v>
      </c>
      <c r="AZ12" s="56">
        <f t="shared" si="13"/>
        <v>2.84888</v>
      </c>
      <c r="BA12" s="28">
        <v>153283</v>
      </c>
      <c r="BB12" s="100" t="s">
        <v>55</v>
      </c>
      <c r="BC12" s="56">
        <f t="shared" si="14"/>
        <v>0.21678</v>
      </c>
      <c r="BD12" s="100" t="s">
        <v>55</v>
      </c>
      <c r="BE12" s="28">
        <v>162380</v>
      </c>
      <c r="BF12" s="28">
        <v>153283</v>
      </c>
      <c r="BG12" s="112">
        <v>162380</v>
      </c>
      <c r="BH12" s="28">
        <v>169025</v>
      </c>
      <c r="BI12" s="56">
        <f t="shared" si="16"/>
        <v>1.7554168575355016</v>
      </c>
      <c r="BJ12" s="56">
        <f t="shared" si="17"/>
        <v>0</v>
      </c>
      <c r="BK12" s="56">
        <f t="shared" si="18"/>
        <v>3.06566</v>
      </c>
      <c r="BL12" s="28">
        <v>169025</v>
      </c>
      <c r="BM12" s="56">
        <f t="shared" si="19"/>
        <v>1.9356962895098488</v>
      </c>
      <c r="BN12" s="100" t="s">
        <v>55</v>
      </c>
    </row>
    <row r="13" spans="1:66" ht="24" customHeight="1">
      <c r="A13" s="24" t="s">
        <v>5</v>
      </c>
      <c r="B13" s="19" t="s">
        <v>17</v>
      </c>
      <c r="C13" s="30">
        <f aca="true" t="shared" si="22" ref="C13:P13">C15+C16</f>
        <v>87307</v>
      </c>
      <c r="D13" s="30">
        <f t="shared" si="22"/>
        <v>87307</v>
      </c>
      <c r="E13" s="30">
        <f t="shared" si="22"/>
        <v>87384</v>
      </c>
      <c r="F13" s="30">
        <f t="shared" si="22"/>
        <v>87384</v>
      </c>
      <c r="G13" s="30">
        <f t="shared" si="22"/>
        <v>87386</v>
      </c>
      <c r="H13" s="30">
        <f>H15+H16</f>
        <v>87531</v>
      </c>
      <c r="I13" s="30">
        <f>I15+I16</f>
        <v>95474</v>
      </c>
      <c r="J13" s="30">
        <f t="shared" si="22"/>
        <v>95627</v>
      </c>
      <c r="K13" s="30">
        <f t="shared" si="22"/>
        <v>97647</v>
      </c>
      <c r="L13" s="30">
        <f t="shared" si="22"/>
        <v>99647</v>
      </c>
      <c r="M13" s="30">
        <f t="shared" si="22"/>
        <v>101458</v>
      </c>
      <c r="N13" s="30">
        <f t="shared" si="22"/>
        <v>168648</v>
      </c>
      <c r="O13" s="30">
        <f t="shared" si="22"/>
        <v>154500</v>
      </c>
      <c r="P13" s="30">
        <f t="shared" si="22"/>
        <v>0</v>
      </c>
      <c r="Q13" s="50">
        <f t="shared" si="0"/>
        <v>0</v>
      </c>
      <c r="R13" s="50">
        <f>P13/C13</f>
        <v>0</v>
      </c>
      <c r="S13" s="30">
        <f>S15+S16</f>
        <v>0</v>
      </c>
      <c r="T13" s="50">
        <f t="shared" si="1"/>
        <v>0</v>
      </c>
      <c r="U13" s="50">
        <f t="shared" si="2"/>
        <v>0</v>
      </c>
      <c r="V13" s="50">
        <f>S13/D13</f>
        <v>0</v>
      </c>
      <c r="W13" s="30">
        <f>W15+W16</f>
        <v>256</v>
      </c>
      <c r="X13" s="50">
        <f>W13/O13</f>
        <v>0.001656957928802589</v>
      </c>
      <c r="Y13" s="50">
        <f>(W13-S13)/O13</f>
        <v>0.001656957928802589</v>
      </c>
      <c r="Z13" s="91">
        <f>W13/E13</f>
        <v>0.0029295980957612378</v>
      </c>
      <c r="AA13" s="30">
        <f>AA15+AA16</f>
        <v>3815</v>
      </c>
      <c r="AB13" s="50">
        <f t="shared" si="3"/>
        <v>0.024692556634304207</v>
      </c>
      <c r="AC13" s="50">
        <f t="shared" si="4"/>
        <v>0.02303559870550162</v>
      </c>
      <c r="AD13" s="50">
        <f>AA13/F13</f>
        <v>0.04365787787237938</v>
      </c>
      <c r="AE13" s="30">
        <f>AE15+AE16</f>
        <v>4330</v>
      </c>
      <c r="AF13" s="50">
        <f t="shared" si="5"/>
        <v>0.02802588996763754</v>
      </c>
      <c r="AG13" s="50">
        <f t="shared" si="6"/>
        <v>0.0033333333333333335</v>
      </c>
      <c r="AH13" s="50">
        <f>AE13/G13</f>
        <v>0.04955027121049138</v>
      </c>
      <c r="AI13" s="30">
        <f>AI15+AI16</f>
        <v>4072</v>
      </c>
      <c r="AJ13" s="30">
        <f>AJ15+AJ16</f>
        <v>4092</v>
      </c>
      <c r="AK13" s="50">
        <f t="shared" si="7"/>
        <v>0.02635598705501618</v>
      </c>
      <c r="AL13" s="50">
        <f>AI13/H13</f>
        <v>0.046520661251442344</v>
      </c>
      <c r="AM13" s="50">
        <f t="shared" si="8"/>
        <v>0.026485436893203883</v>
      </c>
      <c r="AN13" s="50">
        <f t="shared" si="9"/>
        <v>0.00012944983818770226</v>
      </c>
      <c r="AO13" s="50">
        <f>AJ13/I13</f>
        <v>0.04285983618576785</v>
      </c>
      <c r="AP13" s="30">
        <f>AP15+AP16</f>
        <v>38449</v>
      </c>
      <c r="AQ13" s="50">
        <f>AP13/O13</f>
        <v>0.2488608414239482</v>
      </c>
      <c r="AR13" s="50">
        <f t="shared" si="10"/>
        <v>0.22237540453074434</v>
      </c>
      <c r="AS13" s="50">
        <f>AP13/J13</f>
        <v>0.4020726363893043</v>
      </c>
      <c r="AT13" s="30">
        <f>AT15+AT16</f>
        <v>38603</v>
      </c>
      <c r="AU13" s="50">
        <f>AT13/K13</f>
        <v>0.3953321658627505</v>
      </c>
      <c r="AV13" s="50">
        <f t="shared" si="11"/>
        <v>0.24985760517799352</v>
      </c>
      <c r="AW13" s="30">
        <f>AW15+AW16</f>
        <v>39305</v>
      </c>
      <c r="AX13" s="50">
        <f>AW13/L13</f>
        <v>0.39444238160707296</v>
      </c>
      <c r="AY13" s="50">
        <f t="shared" si="12"/>
        <v>0.00454368932038835</v>
      </c>
      <c r="AZ13" s="50">
        <f t="shared" si="13"/>
        <v>0.2544012944983819</v>
      </c>
      <c r="BA13" s="30">
        <f>BA15+BA16</f>
        <v>40931</v>
      </c>
      <c r="BB13" s="50">
        <f>BA13/M13</f>
        <v>0.40342801947603935</v>
      </c>
      <c r="BC13" s="50">
        <f t="shared" si="14"/>
        <v>0.010524271844660194</v>
      </c>
      <c r="BD13" s="50">
        <f t="shared" si="15"/>
        <v>0.2649255663430421</v>
      </c>
      <c r="BE13" s="30">
        <f>BE15+BE16</f>
        <v>184500</v>
      </c>
      <c r="BF13" s="30">
        <f>BF15+BF16</f>
        <v>44686</v>
      </c>
      <c r="BG13" s="113">
        <f>BG15+BG16</f>
        <v>66000</v>
      </c>
      <c r="BH13" s="30">
        <f>BH15+BH16</f>
        <v>69402</v>
      </c>
      <c r="BI13" s="50">
        <f t="shared" si="16"/>
        <v>0.2649660832028841</v>
      </c>
      <c r="BJ13" s="50">
        <f t="shared" si="17"/>
        <v>0.0243042071197411</v>
      </c>
      <c r="BK13" s="50">
        <f t="shared" si="18"/>
        <v>0.28922977346278317</v>
      </c>
      <c r="BL13" s="30">
        <f>BL15+BL16</f>
        <v>69550</v>
      </c>
      <c r="BM13" s="50">
        <f t="shared" si="19"/>
        <v>0.4123974194772544</v>
      </c>
      <c r="BN13" s="50">
        <f t="shared" si="20"/>
        <v>0.4501618122977346</v>
      </c>
    </row>
    <row r="14" spans="1:66" ht="14.25" customHeight="1">
      <c r="A14" s="11"/>
      <c r="B14" s="18" t="s">
        <v>12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92"/>
      <c r="R14" s="92"/>
      <c r="S14" s="79"/>
      <c r="T14" s="92"/>
      <c r="U14" s="92"/>
      <c r="V14" s="92"/>
      <c r="W14" s="79"/>
      <c r="X14" s="92"/>
      <c r="Y14" s="92"/>
      <c r="Z14" s="92"/>
      <c r="AA14" s="79"/>
      <c r="AB14" s="92"/>
      <c r="AC14" s="92"/>
      <c r="AD14" s="92"/>
      <c r="AE14" s="79"/>
      <c r="AF14" s="92"/>
      <c r="AG14" s="92"/>
      <c r="AH14" s="92"/>
      <c r="AI14" s="79"/>
      <c r="AJ14" s="79"/>
      <c r="AK14" s="92"/>
      <c r="AL14" s="92"/>
      <c r="AM14" s="92"/>
      <c r="AN14" s="92"/>
      <c r="AO14" s="92"/>
      <c r="AP14" s="79"/>
      <c r="AQ14" s="92"/>
      <c r="AR14" s="92"/>
      <c r="AS14" s="92"/>
      <c r="AT14" s="79"/>
      <c r="AU14" s="92"/>
      <c r="AV14" s="92"/>
      <c r="AW14" s="79"/>
      <c r="AX14" s="92"/>
      <c r="AY14" s="92"/>
      <c r="AZ14" s="92"/>
      <c r="BA14" s="79"/>
      <c r="BB14" s="92"/>
      <c r="BC14" s="92"/>
      <c r="BD14" s="92"/>
      <c r="BE14" s="79"/>
      <c r="BF14" s="79"/>
      <c r="BG14" s="111"/>
      <c r="BH14" s="79"/>
      <c r="BI14" s="92"/>
      <c r="BJ14" s="92"/>
      <c r="BK14" s="92"/>
      <c r="BL14" s="79"/>
      <c r="BM14" s="92"/>
      <c r="BN14" s="92"/>
    </row>
    <row r="15" spans="1:66" ht="16.5" customHeight="1">
      <c r="A15" s="11"/>
      <c r="B15" s="20" t="s">
        <v>31</v>
      </c>
      <c r="C15" s="27">
        <v>87307</v>
      </c>
      <c r="D15" s="27">
        <v>87307</v>
      </c>
      <c r="E15" s="27">
        <v>87384</v>
      </c>
      <c r="F15" s="27">
        <v>87384</v>
      </c>
      <c r="G15" s="27">
        <v>87386</v>
      </c>
      <c r="H15" s="27">
        <v>87531</v>
      </c>
      <c r="I15" s="27">
        <v>95474</v>
      </c>
      <c r="J15" s="27">
        <v>95627</v>
      </c>
      <c r="K15" s="27">
        <v>97647</v>
      </c>
      <c r="L15" s="27">
        <v>99647</v>
      </c>
      <c r="M15" s="27">
        <v>101458</v>
      </c>
      <c r="N15" s="27">
        <v>168397</v>
      </c>
      <c r="O15" s="27">
        <v>153000</v>
      </c>
      <c r="P15" s="27">
        <v>0</v>
      </c>
      <c r="Q15" s="51">
        <f t="shared" si="0"/>
        <v>0</v>
      </c>
      <c r="R15" s="51">
        <f>P15/C15</f>
        <v>0</v>
      </c>
      <c r="S15" s="27">
        <v>0</v>
      </c>
      <c r="T15" s="51">
        <f t="shared" si="1"/>
        <v>0</v>
      </c>
      <c r="U15" s="51">
        <f t="shared" si="2"/>
        <v>0</v>
      </c>
      <c r="V15" s="51">
        <f>S15/D15</f>
        <v>0</v>
      </c>
      <c r="W15" s="27">
        <v>256</v>
      </c>
      <c r="X15" s="51">
        <f>W15/O15</f>
        <v>0.0016732026143790849</v>
      </c>
      <c r="Y15" s="51">
        <f>(W15-S15)/O15</f>
        <v>0.0016732026143790849</v>
      </c>
      <c r="Z15" s="51">
        <f>W15/E15</f>
        <v>0.0029295980957612378</v>
      </c>
      <c r="AA15" s="27">
        <f>3558+257</f>
        <v>3815</v>
      </c>
      <c r="AB15" s="51">
        <f t="shared" si="3"/>
        <v>0.024934640522875817</v>
      </c>
      <c r="AC15" s="51">
        <f t="shared" si="4"/>
        <v>0.023261437908496732</v>
      </c>
      <c r="AD15" s="51">
        <f>AA15/F15</f>
        <v>0.04365787787237938</v>
      </c>
      <c r="AE15" s="27">
        <v>4330</v>
      </c>
      <c r="AF15" s="51">
        <f t="shared" si="5"/>
        <v>0.02830065359477124</v>
      </c>
      <c r="AG15" s="51">
        <f t="shared" si="6"/>
        <v>0.0033660130718954247</v>
      </c>
      <c r="AH15" s="51">
        <f>AE15/G15</f>
        <v>0.04955027121049138</v>
      </c>
      <c r="AI15" s="27">
        <f>3816+256</f>
        <v>4072</v>
      </c>
      <c r="AJ15" s="27">
        <v>4092</v>
      </c>
      <c r="AK15" s="51">
        <f t="shared" si="7"/>
        <v>0.026614379084967322</v>
      </c>
      <c r="AL15" s="51">
        <f>AI15/H15</f>
        <v>0.046520661251442344</v>
      </c>
      <c r="AM15" s="51">
        <f t="shared" si="8"/>
        <v>0.026745098039215685</v>
      </c>
      <c r="AN15" s="51">
        <f t="shared" si="9"/>
        <v>0.00013071895424836603</v>
      </c>
      <c r="AO15" s="51">
        <f>AJ15/I15</f>
        <v>0.04285983618576785</v>
      </c>
      <c r="AP15" s="27">
        <v>38449</v>
      </c>
      <c r="AQ15" s="51">
        <f>AP15/O15</f>
        <v>0.2513006535947712</v>
      </c>
      <c r="AR15" s="51">
        <f t="shared" si="10"/>
        <v>0.22455555555555556</v>
      </c>
      <c r="AS15" s="51">
        <f>AP15/J15</f>
        <v>0.4020726363893043</v>
      </c>
      <c r="AT15" s="27">
        <v>38603</v>
      </c>
      <c r="AU15" s="51">
        <f>AT15/K15</f>
        <v>0.3953321658627505</v>
      </c>
      <c r="AV15" s="51">
        <f t="shared" si="11"/>
        <v>0.25230718954248366</v>
      </c>
      <c r="AW15" s="27">
        <v>38958</v>
      </c>
      <c r="AX15" s="51">
        <f>AW15/L15</f>
        <v>0.39096008911457447</v>
      </c>
      <c r="AY15" s="51">
        <f t="shared" si="12"/>
        <v>0.002320261437908497</v>
      </c>
      <c r="AZ15" s="51">
        <f t="shared" si="13"/>
        <v>0.25462745098039213</v>
      </c>
      <c r="BA15" s="27">
        <v>40584</v>
      </c>
      <c r="BB15" s="51">
        <f>BA15/M15</f>
        <v>0.40000788503617263</v>
      </c>
      <c r="BC15" s="51">
        <f t="shared" si="14"/>
        <v>0.010627450980392156</v>
      </c>
      <c r="BD15" s="51">
        <f t="shared" si="15"/>
        <v>0.26525490196078433</v>
      </c>
      <c r="BE15" s="27">
        <v>183000</v>
      </c>
      <c r="BF15" s="27">
        <v>44339</v>
      </c>
      <c r="BG15" s="107">
        <v>64500</v>
      </c>
      <c r="BH15" s="27">
        <v>69055</v>
      </c>
      <c r="BI15" s="51">
        <f t="shared" si="16"/>
        <v>0.2633004150905301</v>
      </c>
      <c r="BJ15" s="51">
        <f t="shared" si="17"/>
        <v>0.024542483660130718</v>
      </c>
      <c r="BK15" s="51">
        <f t="shared" si="18"/>
        <v>0.28979738562091506</v>
      </c>
      <c r="BL15" s="27">
        <v>69055</v>
      </c>
      <c r="BM15" s="51">
        <f t="shared" si="19"/>
        <v>0.4100726259969002</v>
      </c>
      <c r="BN15" s="51">
        <f t="shared" si="20"/>
        <v>0.45133986928104575</v>
      </c>
    </row>
    <row r="16" spans="1:66" ht="16.5" customHeight="1" thickBot="1">
      <c r="A16" s="21"/>
      <c r="B16" s="4" t="s">
        <v>18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251</v>
      </c>
      <c r="O16" s="29">
        <v>1500</v>
      </c>
      <c r="P16" s="29">
        <v>0</v>
      </c>
      <c r="Q16" s="57">
        <f t="shared" si="0"/>
        <v>0</v>
      </c>
      <c r="R16" s="101" t="s">
        <v>47</v>
      </c>
      <c r="S16" s="29">
        <v>0</v>
      </c>
      <c r="T16" s="57">
        <f t="shared" si="1"/>
        <v>0</v>
      </c>
      <c r="U16" s="57">
        <f t="shared" si="2"/>
        <v>0</v>
      </c>
      <c r="V16" s="101" t="s">
        <v>47</v>
      </c>
      <c r="W16" s="29">
        <v>0</v>
      </c>
      <c r="X16" s="57">
        <f>W16/O16</f>
        <v>0</v>
      </c>
      <c r="Y16" s="57">
        <f>(W16-S16)/O16</f>
        <v>0</v>
      </c>
      <c r="Z16" s="100" t="s">
        <v>47</v>
      </c>
      <c r="AA16" s="29">
        <v>0</v>
      </c>
      <c r="AB16" s="57">
        <f t="shared" si="3"/>
        <v>0</v>
      </c>
      <c r="AC16" s="57">
        <f t="shared" si="4"/>
        <v>0</v>
      </c>
      <c r="AD16" s="101" t="s">
        <v>47</v>
      </c>
      <c r="AE16" s="29">
        <v>0</v>
      </c>
      <c r="AF16" s="57">
        <f t="shared" si="5"/>
        <v>0</v>
      </c>
      <c r="AG16" s="57">
        <f t="shared" si="6"/>
        <v>0</v>
      </c>
      <c r="AH16" s="101" t="s">
        <v>47</v>
      </c>
      <c r="AI16" s="29">
        <v>0</v>
      </c>
      <c r="AJ16" s="29">
        <v>0</v>
      </c>
      <c r="AK16" s="57">
        <f t="shared" si="7"/>
        <v>0</v>
      </c>
      <c r="AL16" s="101" t="s">
        <v>47</v>
      </c>
      <c r="AM16" s="57">
        <f t="shared" si="8"/>
        <v>0</v>
      </c>
      <c r="AN16" s="57">
        <f t="shared" si="9"/>
        <v>0</v>
      </c>
      <c r="AO16" s="101" t="s">
        <v>94</v>
      </c>
      <c r="AP16" s="29">
        <v>0</v>
      </c>
      <c r="AQ16" s="57">
        <f>AP16/O16</f>
        <v>0</v>
      </c>
      <c r="AR16" s="57">
        <f t="shared" si="10"/>
        <v>0</v>
      </c>
      <c r="AS16" s="101" t="s">
        <v>47</v>
      </c>
      <c r="AT16" s="29">
        <v>0</v>
      </c>
      <c r="AU16" s="101" t="s">
        <v>47</v>
      </c>
      <c r="AV16" s="57">
        <f t="shared" si="11"/>
        <v>0</v>
      </c>
      <c r="AW16" s="29">
        <v>347</v>
      </c>
      <c r="AX16" s="101" t="s">
        <v>47</v>
      </c>
      <c r="AY16" s="57">
        <f t="shared" si="12"/>
        <v>0.23133333333333334</v>
      </c>
      <c r="AZ16" s="57">
        <f t="shared" si="13"/>
        <v>0.23133333333333334</v>
      </c>
      <c r="BA16" s="29">
        <v>347</v>
      </c>
      <c r="BB16" s="101" t="s">
        <v>47</v>
      </c>
      <c r="BC16" s="57">
        <f t="shared" si="14"/>
        <v>0</v>
      </c>
      <c r="BD16" s="57">
        <f t="shared" si="15"/>
        <v>0.23133333333333334</v>
      </c>
      <c r="BE16" s="29">
        <v>1500</v>
      </c>
      <c r="BF16" s="29">
        <v>347</v>
      </c>
      <c r="BG16" s="114">
        <v>1500</v>
      </c>
      <c r="BH16" s="29">
        <v>347</v>
      </c>
      <c r="BI16" s="57">
        <f t="shared" si="16"/>
        <v>1.3824701195219125</v>
      </c>
      <c r="BJ16" s="57">
        <f t="shared" si="17"/>
        <v>0</v>
      </c>
      <c r="BK16" s="57">
        <f t="shared" si="18"/>
        <v>0.23133333333333334</v>
      </c>
      <c r="BL16" s="29">
        <v>495</v>
      </c>
      <c r="BM16" s="57">
        <f t="shared" si="19"/>
        <v>1.9721115537848606</v>
      </c>
      <c r="BN16" s="57">
        <f t="shared" si="20"/>
        <v>0.33</v>
      </c>
    </row>
    <row r="17" spans="1:66" ht="24" customHeight="1">
      <c r="A17" s="24" t="s">
        <v>6</v>
      </c>
      <c r="B17" s="6" t="s">
        <v>38</v>
      </c>
      <c r="C17" s="30">
        <f aca="true" t="shared" si="23" ref="C17:P17">C19+C20</f>
        <v>0</v>
      </c>
      <c r="D17" s="30">
        <f t="shared" si="23"/>
        <v>0</v>
      </c>
      <c r="E17" s="30">
        <f t="shared" si="23"/>
        <v>0</v>
      </c>
      <c r="F17" s="30">
        <f t="shared" si="23"/>
        <v>0</v>
      </c>
      <c r="G17" s="30">
        <f t="shared" si="23"/>
        <v>0</v>
      </c>
      <c r="H17" s="30">
        <f>H19+H20</f>
        <v>0</v>
      </c>
      <c r="I17" s="30">
        <f>I19+I20</f>
        <v>0</v>
      </c>
      <c r="J17" s="30">
        <f t="shared" si="23"/>
        <v>0</v>
      </c>
      <c r="K17" s="30">
        <f t="shared" si="23"/>
        <v>0</v>
      </c>
      <c r="L17" s="30">
        <f t="shared" si="23"/>
        <v>0</v>
      </c>
      <c r="M17" s="30">
        <f t="shared" si="23"/>
        <v>0</v>
      </c>
      <c r="N17" s="30">
        <f t="shared" si="23"/>
        <v>14019</v>
      </c>
      <c r="O17" s="30">
        <f t="shared" si="23"/>
        <v>0</v>
      </c>
      <c r="P17" s="30">
        <f t="shared" si="23"/>
        <v>0</v>
      </c>
      <c r="Q17" s="97" t="s">
        <v>47</v>
      </c>
      <c r="R17" s="97" t="s">
        <v>47</v>
      </c>
      <c r="S17" s="30">
        <f>S19+S20</f>
        <v>0</v>
      </c>
      <c r="T17" s="97" t="s">
        <v>47</v>
      </c>
      <c r="U17" s="97" t="s">
        <v>47</v>
      </c>
      <c r="V17" s="97" t="s">
        <v>47</v>
      </c>
      <c r="W17" s="30">
        <f>W19+W20</f>
        <v>0</v>
      </c>
      <c r="X17" s="97" t="s">
        <v>47</v>
      </c>
      <c r="Y17" s="97" t="s">
        <v>47</v>
      </c>
      <c r="Z17" s="98" t="s">
        <v>47</v>
      </c>
      <c r="AA17" s="30">
        <f>AA19+AA20</f>
        <v>0</v>
      </c>
      <c r="AB17" s="97" t="s">
        <v>47</v>
      </c>
      <c r="AC17" s="97" t="s">
        <v>47</v>
      </c>
      <c r="AD17" s="97" t="s">
        <v>47</v>
      </c>
      <c r="AE17" s="30">
        <f>AE19+AE20</f>
        <v>0</v>
      </c>
      <c r="AF17" s="97" t="s">
        <v>47</v>
      </c>
      <c r="AG17" s="97" t="s">
        <v>47</v>
      </c>
      <c r="AH17" s="97" t="s">
        <v>47</v>
      </c>
      <c r="AI17" s="30">
        <f>AI19+AI20</f>
        <v>0</v>
      </c>
      <c r="AJ17" s="30">
        <f>AJ19+AJ20</f>
        <v>0</v>
      </c>
      <c r="AK17" s="97" t="s">
        <v>47</v>
      </c>
      <c r="AL17" s="97" t="s">
        <v>47</v>
      </c>
      <c r="AM17" s="97" t="s">
        <v>94</v>
      </c>
      <c r="AN17" s="97" t="s">
        <v>94</v>
      </c>
      <c r="AO17" s="97" t="s">
        <v>94</v>
      </c>
      <c r="AP17" s="30">
        <f>AP19+AP20</f>
        <v>0</v>
      </c>
      <c r="AQ17" s="97" t="s">
        <v>47</v>
      </c>
      <c r="AR17" s="97" t="s">
        <v>47</v>
      </c>
      <c r="AS17" s="97" t="s">
        <v>47</v>
      </c>
      <c r="AT17" s="30">
        <f>AT19+AT20</f>
        <v>48971</v>
      </c>
      <c r="AU17" s="97" t="s">
        <v>47</v>
      </c>
      <c r="AV17" s="97" t="s">
        <v>47</v>
      </c>
      <c r="AW17" s="30">
        <f>AW19+AW20</f>
        <v>48971</v>
      </c>
      <c r="AX17" s="97" t="s">
        <v>47</v>
      </c>
      <c r="AY17" s="97" t="s">
        <v>47</v>
      </c>
      <c r="AZ17" s="97" t="s">
        <v>47</v>
      </c>
      <c r="BA17" s="30">
        <f>BA19+BA20</f>
        <v>48971</v>
      </c>
      <c r="BB17" s="97" t="s">
        <v>47</v>
      </c>
      <c r="BC17" s="97" t="s">
        <v>47</v>
      </c>
      <c r="BD17" s="97" t="s">
        <v>47</v>
      </c>
      <c r="BE17" s="30">
        <f>BE19+BE20</f>
        <v>48971</v>
      </c>
      <c r="BF17" s="30">
        <f>BF19+BF20</f>
        <v>48971</v>
      </c>
      <c r="BG17" s="113">
        <f>BG19+BG20</f>
        <v>48971</v>
      </c>
      <c r="BH17" s="30">
        <f>BH19+BH20</f>
        <v>48971</v>
      </c>
      <c r="BI17" s="50">
        <f t="shared" si="16"/>
        <v>3.493187816534703</v>
      </c>
      <c r="BJ17" s="97" t="s">
        <v>47</v>
      </c>
      <c r="BK17" s="97" t="s">
        <v>47</v>
      </c>
      <c r="BL17" s="30">
        <f>BL19+BL20</f>
        <v>51799</v>
      </c>
      <c r="BM17" s="97" t="s">
        <v>55</v>
      </c>
      <c r="BN17" s="97" t="s">
        <v>47</v>
      </c>
    </row>
    <row r="18" spans="1:66" ht="14.25" customHeight="1">
      <c r="A18" s="60"/>
      <c r="B18" s="5" t="s">
        <v>12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75"/>
      <c r="R18" s="75"/>
      <c r="S18" s="27"/>
      <c r="T18" s="75"/>
      <c r="U18" s="75"/>
      <c r="V18" s="75"/>
      <c r="W18" s="27"/>
      <c r="X18" s="75"/>
      <c r="Y18" s="75"/>
      <c r="Z18" s="75"/>
      <c r="AA18" s="27"/>
      <c r="AB18" s="75"/>
      <c r="AC18" s="75"/>
      <c r="AD18" s="75"/>
      <c r="AE18" s="27"/>
      <c r="AF18" s="75"/>
      <c r="AG18" s="75"/>
      <c r="AH18" s="75"/>
      <c r="AI18" s="27"/>
      <c r="AJ18" s="27"/>
      <c r="AK18" s="75"/>
      <c r="AL18" s="75"/>
      <c r="AM18" s="51"/>
      <c r="AN18" s="51"/>
      <c r="AO18" s="51"/>
      <c r="AP18" s="27"/>
      <c r="AQ18" s="51"/>
      <c r="AR18" s="51"/>
      <c r="AS18" s="51"/>
      <c r="AT18" s="27"/>
      <c r="AU18" s="51"/>
      <c r="AV18" s="51"/>
      <c r="AW18" s="27"/>
      <c r="AX18" s="51"/>
      <c r="AY18" s="51"/>
      <c r="AZ18" s="51"/>
      <c r="BA18" s="27"/>
      <c r="BB18" s="51"/>
      <c r="BC18" s="51"/>
      <c r="BD18" s="51"/>
      <c r="BE18" s="27"/>
      <c r="BF18" s="27"/>
      <c r="BG18" s="107"/>
      <c r="BH18" s="27"/>
      <c r="BI18" s="51"/>
      <c r="BJ18" s="51"/>
      <c r="BK18" s="51"/>
      <c r="BL18" s="27"/>
      <c r="BM18" s="75"/>
      <c r="BN18" s="75"/>
    </row>
    <row r="19" spans="1:66" ht="16.5" customHeight="1">
      <c r="A19" s="60"/>
      <c r="B19" s="61" t="s">
        <v>30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14019</v>
      </c>
      <c r="O19" s="36">
        <v>0</v>
      </c>
      <c r="P19" s="36">
        <v>0</v>
      </c>
      <c r="Q19" s="73" t="s">
        <v>47</v>
      </c>
      <c r="R19" s="73" t="s">
        <v>47</v>
      </c>
      <c r="S19" s="36">
        <v>0</v>
      </c>
      <c r="T19" s="73" t="s">
        <v>47</v>
      </c>
      <c r="U19" s="73" t="s">
        <v>47</v>
      </c>
      <c r="V19" s="73" t="s">
        <v>47</v>
      </c>
      <c r="W19" s="36">
        <v>0</v>
      </c>
      <c r="X19" s="73" t="s">
        <v>47</v>
      </c>
      <c r="Y19" s="73" t="s">
        <v>47</v>
      </c>
      <c r="Z19" s="75" t="s">
        <v>47</v>
      </c>
      <c r="AA19" s="36">
        <v>0</v>
      </c>
      <c r="AB19" s="73" t="s">
        <v>47</v>
      </c>
      <c r="AC19" s="73" t="s">
        <v>47</v>
      </c>
      <c r="AD19" s="73" t="s">
        <v>47</v>
      </c>
      <c r="AE19" s="36">
        <v>0</v>
      </c>
      <c r="AF19" s="73" t="s">
        <v>47</v>
      </c>
      <c r="AG19" s="73" t="s">
        <v>47</v>
      </c>
      <c r="AH19" s="73" t="s">
        <v>47</v>
      </c>
      <c r="AI19" s="36">
        <v>0</v>
      </c>
      <c r="AJ19" s="36">
        <v>0</v>
      </c>
      <c r="AK19" s="73" t="s">
        <v>47</v>
      </c>
      <c r="AL19" s="73" t="s">
        <v>47</v>
      </c>
      <c r="AM19" s="73" t="s">
        <v>94</v>
      </c>
      <c r="AN19" s="73" t="s">
        <v>94</v>
      </c>
      <c r="AO19" s="73" t="s">
        <v>94</v>
      </c>
      <c r="AP19" s="36">
        <v>0</v>
      </c>
      <c r="AQ19" s="73" t="s">
        <v>47</v>
      </c>
      <c r="AR19" s="73" t="s">
        <v>47</v>
      </c>
      <c r="AS19" s="73" t="s">
        <v>47</v>
      </c>
      <c r="AT19" s="36">
        <v>48971</v>
      </c>
      <c r="AU19" s="73" t="s">
        <v>47</v>
      </c>
      <c r="AV19" s="73" t="s">
        <v>47</v>
      </c>
      <c r="AW19" s="36">
        <v>48971</v>
      </c>
      <c r="AX19" s="73" t="s">
        <v>47</v>
      </c>
      <c r="AY19" s="73" t="s">
        <v>47</v>
      </c>
      <c r="AZ19" s="73" t="s">
        <v>47</v>
      </c>
      <c r="BA19" s="36">
        <v>48971</v>
      </c>
      <c r="BB19" s="73" t="s">
        <v>47</v>
      </c>
      <c r="BC19" s="73" t="s">
        <v>47</v>
      </c>
      <c r="BD19" s="73" t="s">
        <v>47</v>
      </c>
      <c r="BE19" s="36">
        <v>48971</v>
      </c>
      <c r="BF19" s="36">
        <v>48971</v>
      </c>
      <c r="BG19" s="108">
        <v>48971</v>
      </c>
      <c r="BH19" s="36">
        <v>48971</v>
      </c>
      <c r="BI19" s="52">
        <f t="shared" si="16"/>
        <v>3.493187816534703</v>
      </c>
      <c r="BJ19" s="73" t="s">
        <v>47</v>
      </c>
      <c r="BK19" s="73" t="s">
        <v>47</v>
      </c>
      <c r="BL19" s="36">
        <v>48971</v>
      </c>
      <c r="BM19" s="73" t="s">
        <v>55</v>
      </c>
      <c r="BN19" s="73" t="s">
        <v>47</v>
      </c>
    </row>
    <row r="20" spans="1:66" ht="16.5" customHeight="1" thickBot="1">
      <c r="A20" s="59"/>
      <c r="B20" s="49" t="s">
        <v>18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76" t="s">
        <v>47</v>
      </c>
      <c r="R20" s="76" t="s">
        <v>47</v>
      </c>
      <c r="S20" s="33">
        <v>0</v>
      </c>
      <c r="T20" s="76" t="s">
        <v>47</v>
      </c>
      <c r="U20" s="76" t="s">
        <v>47</v>
      </c>
      <c r="V20" s="76" t="s">
        <v>47</v>
      </c>
      <c r="W20" s="33">
        <v>0</v>
      </c>
      <c r="X20" s="76" t="s">
        <v>47</v>
      </c>
      <c r="Y20" s="76" t="s">
        <v>47</v>
      </c>
      <c r="Z20" s="101" t="s">
        <v>47</v>
      </c>
      <c r="AA20" s="33">
        <v>0</v>
      </c>
      <c r="AB20" s="76" t="s">
        <v>47</v>
      </c>
      <c r="AC20" s="76" t="s">
        <v>47</v>
      </c>
      <c r="AD20" s="76" t="s">
        <v>47</v>
      </c>
      <c r="AE20" s="33">
        <v>0</v>
      </c>
      <c r="AF20" s="76" t="s">
        <v>47</v>
      </c>
      <c r="AG20" s="76" t="s">
        <v>47</v>
      </c>
      <c r="AH20" s="76" t="s">
        <v>47</v>
      </c>
      <c r="AI20" s="33">
        <v>0</v>
      </c>
      <c r="AJ20" s="33">
        <v>0</v>
      </c>
      <c r="AK20" s="76" t="s">
        <v>47</v>
      </c>
      <c r="AL20" s="76" t="s">
        <v>47</v>
      </c>
      <c r="AM20" s="76" t="s">
        <v>94</v>
      </c>
      <c r="AN20" s="76" t="s">
        <v>94</v>
      </c>
      <c r="AO20" s="76" t="s">
        <v>94</v>
      </c>
      <c r="AP20" s="33">
        <v>0</v>
      </c>
      <c r="AQ20" s="76" t="s">
        <v>47</v>
      </c>
      <c r="AR20" s="76" t="s">
        <v>47</v>
      </c>
      <c r="AS20" s="76" t="s">
        <v>47</v>
      </c>
      <c r="AT20" s="33">
        <v>0</v>
      </c>
      <c r="AU20" s="76" t="s">
        <v>47</v>
      </c>
      <c r="AV20" s="76" t="s">
        <v>47</v>
      </c>
      <c r="AW20" s="33">
        <v>0</v>
      </c>
      <c r="AX20" s="76" t="s">
        <v>47</v>
      </c>
      <c r="AY20" s="76" t="s">
        <v>47</v>
      </c>
      <c r="AZ20" s="76" t="s">
        <v>47</v>
      </c>
      <c r="BA20" s="33">
        <v>0</v>
      </c>
      <c r="BB20" s="76" t="s">
        <v>47</v>
      </c>
      <c r="BC20" s="76" t="s">
        <v>47</v>
      </c>
      <c r="BD20" s="76" t="s">
        <v>47</v>
      </c>
      <c r="BE20" s="33">
        <v>0</v>
      </c>
      <c r="BF20" s="33">
        <v>0</v>
      </c>
      <c r="BG20" s="109">
        <v>0</v>
      </c>
      <c r="BH20" s="33">
        <v>0</v>
      </c>
      <c r="BI20" s="76" t="s">
        <v>47</v>
      </c>
      <c r="BJ20" s="76" t="s">
        <v>47</v>
      </c>
      <c r="BK20" s="76" t="s">
        <v>47</v>
      </c>
      <c r="BL20" s="33">
        <v>2828</v>
      </c>
      <c r="BM20" s="76" t="s">
        <v>47</v>
      </c>
      <c r="BN20" s="76" t="s">
        <v>47</v>
      </c>
    </row>
    <row r="21" spans="1:66" ht="16.5" customHeight="1" thickBot="1">
      <c r="A21" s="40" t="s">
        <v>7</v>
      </c>
      <c r="B21" s="15" t="s">
        <v>32</v>
      </c>
      <c r="C21" s="25">
        <v>414</v>
      </c>
      <c r="D21" s="25" t="e">
        <f>#REF!</f>
        <v>#REF!</v>
      </c>
      <c r="E21" s="25" t="e">
        <f>#REF!</f>
        <v>#REF!</v>
      </c>
      <c r="F21" s="25">
        <v>8107</v>
      </c>
      <c r="G21" s="25">
        <v>8228</v>
      </c>
      <c r="H21" s="25">
        <v>8233</v>
      </c>
      <c r="I21" s="25">
        <v>8388</v>
      </c>
      <c r="J21" s="25">
        <v>8529</v>
      </c>
      <c r="K21" s="25" t="e">
        <f>#REF!</f>
        <v>#REF!</v>
      </c>
      <c r="L21" s="25">
        <v>8582</v>
      </c>
      <c r="M21" s="25">
        <v>8738</v>
      </c>
      <c r="N21" s="25">
        <v>9861</v>
      </c>
      <c r="O21" s="25">
        <v>3880</v>
      </c>
      <c r="P21" s="25" t="e">
        <f>#REF!</f>
        <v>#REF!</v>
      </c>
      <c r="Q21" s="62" t="e">
        <f t="shared" si="0"/>
        <v>#REF!</v>
      </c>
      <c r="R21" s="62" t="e">
        <f>P21/C21</f>
        <v>#REF!</v>
      </c>
      <c r="S21" s="25" t="e">
        <f>#REF!</f>
        <v>#REF!</v>
      </c>
      <c r="T21" s="62" t="e">
        <f t="shared" si="1"/>
        <v>#REF!</v>
      </c>
      <c r="U21" s="62" t="e">
        <f t="shared" si="2"/>
        <v>#REF!</v>
      </c>
      <c r="V21" s="62" t="e">
        <f>S21/D21</f>
        <v>#REF!</v>
      </c>
      <c r="W21" s="25" t="e">
        <f>#REF!</f>
        <v>#REF!</v>
      </c>
      <c r="X21" s="62" t="e">
        <f>W21/O21</f>
        <v>#REF!</v>
      </c>
      <c r="Y21" s="62" t="e">
        <f>(W21-S21)/O21</f>
        <v>#REF!</v>
      </c>
      <c r="Z21" s="62" t="e">
        <f>W21/E21</f>
        <v>#REF!</v>
      </c>
      <c r="AA21" s="25" t="e">
        <f>#REF!</f>
        <v>#REF!</v>
      </c>
      <c r="AB21" s="62" t="e">
        <f t="shared" si="3"/>
        <v>#REF!</v>
      </c>
      <c r="AC21" s="62" t="e">
        <f t="shared" si="4"/>
        <v>#REF!</v>
      </c>
      <c r="AD21" s="62" t="e">
        <f>AA21/F21</f>
        <v>#REF!</v>
      </c>
      <c r="AE21" s="25" t="e">
        <f>#REF!</f>
        <v>#REF!</v>
      </c>
      <c r="AF21" s="62" t="e">
        <f t="shared" si="5"/>
        <v>#REF!</v>
      </c>
      <c r="AG21" s="62" t="e">
        <f t="shared" si="6"/>
        <v>#REF!</v>
      </c>
      <c r="AH21" s="62" t="e">
        <f>AE21/G21</f>
        <v>#REF!</v>
      </c>
      <c r="AI21" s="25" t="e">
        <f>#REF!</f>
        <v>#REF!</v>
      </c>
      <c r="AJ21" s="25">
        <v>2318</v>
      </c>
      <c r="AK21" s="62" t="e">
        <f t="shared" si="7"/>
        <v>#REF!</v>
      </c>
      <c r="AL21" s="62" t="e">
        <f>AI21/H21</f>
        <v>#REF!</v>
      </c>
      <c r="AM21" s="62">
        <f t="shared" si="8"/>
        <v>0.5974226804123711</v>
      </c>
      <c r="AN21" s="62" t="e">
        <f t="shared" si="9"/>
        <v>#REF!</v>
      </c>
      <c r="AO21" s="62">
        <f>AJ21/I21</f>
        <v>0.27634716261325704</v>
      </c>
      <c r="AP21" s="25" t="e">
        <f>#REF!</f>
        <v>#REF!</v>
      </c>
      <c r="AQ21" s="62" t="e">
        <f>AP21/O21</f>
        <v>#REF!</v>
      </c>
      <c r="AR21" s="62" t="e">
        <f t="shared" si="10"/>
        <v>#REF!</v>
      </c>
      <c r="AS21" s="62" t="e">
        <f>AP21/J21</f>
        <v>#REF!</v>
      </c>
      <c r="AT21" s="25" t="e">
        <f>#REF!</f>
        <v>#REF!</v>
      </c>
      <c r="AU21" s="62" t="e">
        <f>AT21/K21</f>
        <v>#REF!</v>
      </c>
      <c r="AV21" s="62" t="e">
        <f t="shared" si="11"/>
        <v>#REF!</v>
      </c>
      <c r="AW21" s="25" t="e">
        <f>#REF!</f>
        <v>#REF!</v>
      </c>
      <c r="AX21" s="62" t="e">
        <f>AW21/L21</f>
        <v>#REF!</v>
      </c>
      <c r="AY21" s="62" t="e">
        <f t="shared" si="12"/>
        <v>#REF!</v>
      </c>
      <c r="AZ21" s="62" t="e">
        <f t="shared" si="13"/>
        <v>#REF!</v>
      </c>
      <c r="BA21" s="25">
        <v>4010</v>
      </c>
      <c r="BB21" s="62">
        <f>BA21/M21</f>
        <v>0.45891508354314486</v>
      </c>
      <c r="BC21" s="62" t="e">
        <f t="shared" si="14"/>
        <v>#REF!</v>
      </c>
      <c r="BD21" s="62">
        <f t="shared" si="15"/>
        <v>1.0335051546391754</v>
      </c>
      <c r="BE21" s="25" t="e">
        <f>#REF!</f>
        <v>#REF!</v>
      </c>
      <c r="BF21" s="25" t="e">
        <f>#REF!</f>
        <v>#REF!</v>
      </c>
      <c r="BG21" s="106">
        <v>4100</v>
      </c>
      <c r="BH21" s="25">
        <v>4193</v>
      </c>
      <c r="BI21" s="62" t="e">
        <f t="shared" si="16"/>
        <v>#REF!</v>
      </c>
      <c r="BJ21" s="62" t="e">
        <f t="shared" si="17"/>
        <v>#REF!</v>
      </c>
      <c r="BK21" s="62" t="e">
        <f t="shared" si="18"/>
        <v>#REF!</v>
      </c>
      <c r="BL21" s="25">
        <v>4020</v>
      </c>
      <c r="BM21" s="62">
        <f t="shared" si="19"/>
        <v>0.40766656525707334</v>
      </c>
      <c r="BN21" s="62">
        <f t="shared" si="20"/>
        <v>1.0360824742268042</v>
      </c>
    </row>
    <row r="22" spans="1:66" ht="16.5" customHeight="1" thickBot="1">
      <c r="A22" s="43" t="s">
        <v>8</v>
      </c>
      <c r="B22" s="10" t="s">
        <v>19</v>
      </c>
      <c r="C22" s="26">
        <v>0</v>
      </c>
      <c r="D22" s="26">
        <v>7</v>
      </c>
      <c r="E22" s="26">
        <v>11</v>
      </c>
      <c r="F22" s="26">
        <v>13</v>
      </c>
      <c r="G22" s="26">
        <v>13</v>
      </c>
      <c r="H22" s="26">
        <v>201</v>
      </c>
      <c r="I22" s="26">
        <v>201</v>
      </c>
      <c r="J22" s="26">
        <v>201</v>
      </c>
      <c r="K22" s="26">
        <v>201</v>
      </c>
      <c r="L22" s="26">
        <v>201</v>
      </c>
      <c r="M22" s="26">
        <v>201</v>
      </c>
      <c r="N22" s="26">
        <v>201</v>
      </c>
      <c r="O22" s="26">
        <v>5000</v>
      </c>
      <c r="P22" s="26">
        <v>0</v>
      </c>
      <c r="Q22" s="58">
        <f t="shared" si="0"/>
        <v>0</v>
      </c>
      <c r="R22" s="102" t="s">
        <v>47</v>
      </c>
      <c r="S22" s="26">
        <v>0</v>
      </c>
      <c r="T22" s="58">
        <f t="shared" si="1"/>
        <v>0</v>
      </c>
      <c r="U22" s="58">
        <f t="shared" si="2"/>
        <v>0</v>
      </c>
      <c r="V22" s="58">
        <f>S22/D22</f>
        <v>0</v>
      </c>
      <c r="W22" s="26">
        <v>0</v>
      </c>
      <c r="X22" s="58">
        <f>W22/O22</f>
        <v>0</v>
      </c>
      <c r="Y22" s="62">
        <f>(W22-S22)/O22</f>
        <v>0</v>
      </c>
      <c r="Z22" s="58">
        <f>W22/E22</f>
        <v>0</v>
      </c>
      <c r="AA22" s="26">
        <v>0</v>
      </c>
      <c r="AB22" s="62">
        <f t="shared" si="3"/>
        <v>0</v>
      </c>
      <c r="AC22" s="62">
        <f t="shared" si="4"/>
        <v>0</v>
      </c>
      <c r="AD22" s="62">
        <f>AA22/F22</f>
        <v>0</v>
      </c>
      <c r="AE22" s="26">
        <v>0</v>
      </c>
      <c r="AF22" s="62">
        <f t="shared" si="5"/>
        <v>0</v>
      </c>
      <c r="AG22" s="62">
        <f t="shared" si="6"/>
        <v>0</v>
      </c>
      <c r="AH22" s="62">
        <f>AE22/G22</f>
        <v>0</v>
      </c>
      <c r="AI22" s="26">
        <v>0</v>
      </c>
      <c r="AJ22" s="26">
        <v>0</v>
      </c>
      <c r="AK22" s="62">
        <f t="shared" si="7"/>
        <v>0</v>
      </c>
      <c r="AL22" s="62">
        <f>AI22/H22</f>
        <v>0</v>
      </c>
      <c r="AM22" s="58">
        <f t="shared" si="8"/>
        <v>0</v>
      </c>
      <c r="AN22" s="58">
        <f t="shared" si="9"/>
        <v>0</v>
      </c>
      <c r="AO22" s="58">
        <f>AJ22/I22</f>
        <v>0</v>
      </c>
      <c r="AP22" s="26">
        <v>0</v>
      </c>
      <c r="AQ22" s="58">
        <f>AP22/O22</f>
        <v>0</v>
      </c>
      <c r="AR22" s="58">
        <f t="shared" si="10"/>
        <v>0</v>
      </c>
      <c r="AS22" s="58">
        <f>AP22/J22</f>
        <v>0</v>
      </c>
      <c r="AT22" s="26">
        <v>0</v>
      </c>
      <c r="AU22" s="58">
        <f>AT22/K22</f>
        <v>0</v>
      </c>
      <c r="AV22" s="58">
        <f t="shared" si="11"/>
        <v>0</v>
      </c>
      <c r="AW22" s="26">
        <v>0</v>
      </c>
      <c r="AX22" s="58">
        <f>AW22/L22</f>
        <v>0</v>
      </c>
      <c r="AY22" s="58">
        <f t="shared" si="12"/>
        <v>0</v>
      </c>
      <c r="AZ22" s="58">
        <f t="shared" si="13"/>
        <v>0</v>
      </c>
      <c r="BA22" s="26">
        <v>0</v>
      </c>
      <c r="BB22" s="58">
        <f>BA22/M22</f>
        <v>0</v>
      </c>
      <c r="BC22" s="58">
        <f t="shared" si="14"/>
        <v>0</v>
      </c>
      <c r="BD22" s="58">
        <f t="shared" si="15"/>
        <v>0</v>
      </c>
      <c r="BE22" s="26">
        <v>0</v>
      </c>
      <c r="BF22" s="26">
        <v>0</v>
      </c>
      <c r="BG22" s="8">
        <v>0</v>
      </c>
      <c r="BH22" s="26">
        <v>0</v>
      </c>
      <c r="BI22" s="58">
        <f t="shared" si="16"/>
        <v>0</v>
      </c>
      <c r="BJ22" s="58">
        <f t="shared" si="17"/>
        <v>0</v>
      </c>
      <c r="BK22" s="58">
        <f t="shared" si="18"/>
        <v>0</v>
      </c>
      <c r="BL22" s="26">
        <v>0</v>
      </c>
      <c r="BM22" s="58">
        <f t="shared" si="19"/>
        <v>0</v>
      </c>
      <c r="BN22" s="58">
        <f t="shared" si="20"/>
        <v>0</v>
      </c>
    </row>
    <row r="23" spans="1:66" ht="16.5" customHeight="1" thickBot="1">
      <c r="A23" s="44" t="s">
        <v>9</v>
      </c>
      <c r="B23" s="35" t="s">
        <v>39</v>
      </c>
      <c r="C23" s="8">
        <f>C6+C7+C8+C9+C13+C17+C21+C22</f>
        <v>108651</v>
      </c>
      <c r="D23" s="8" t="e">
        <f>D6+D7+D8+D9+D13+D17+D21+D22</f>
        <v>#REF!</v>
      </c>
      <c r="E23" s="8" t="e">
        <f>E6+E7+E8+E9+E13+E17+E21+E22</f>
        <v>#REF!</v>
      </c>
      <c r="F23" s="8">
        <f>F6+F7+F8+F9+F13+F17+F21+F22</f>
        <v>163511</v>
      </c>
      <c r="G23" s="8">
        <f>G6+G7+G8+G9+G13+G17+G21+G22</f>
        <v>179593</v>
      </c>
      <c r="H23" s="8">
        <f>H6+H7+H8+H9+H13+H17+H21+H22</f>
        <v>192888</v>
      </c>
      <c r="I23" s="8">
        <f>I6+I7+I8+I9+I13+I17+I21+I22</f>
        <v>216379</v>
      </c>
      <c r="J23" s="8">
        <f>J6+J7+J8+J9+J13+J17+J21+J22</f>
        <v>226826</v>
      </c>
      <c r="K23" s="8" t="e">
        <f>K6+K7+K8+K9+K13+K17+K21+K22</f>
        <v>#REF!</v>
      </c>
      <c r="L23" s="8">
        <f>L6+L7+L8+L9+L13+L17+L21+L22</f>
        <v>267785</v>
      </c>
      <c r="M23" s="8">
        <f>M6+M7+M8+M9+M13+M17+M21+M22</f>
        <v>282683</v>
      </c>
      <c r="N23" s="8">
        <f>N6+N7+N8+N9+N13+N17+N21+N22</f>
        <v>488828</v>
      </c>
      <c r="O23" s="8">
        <f>O6+O7+O8+O9+O13+O17+O21+O22</f>
        <v>524180</v>
      </c>
      <c r="P23" s="8" t="e">
        <f>P6+P7+P8+P9+P13+P17+P21+P22</f>
        <v>#REF!</v>
      </c>
      <c r="Q23" s="63" t="e">
        <f t="shared" si="0"/>
        <v>#REF!</v>
      </c>
      <c r="R23" s="63" t="e">
        <f>P23/C23</f>
        <v>#REF!</v>
      </c>
      <c r="S23" s="8" t="e">
        <f>S6+S7+S8+S9+S13+S17+S21+S22</f>
        <v>#REF!</v>
      </c>
      <c r="T23" s="63" t="e">
        <f t="shared" si="1"/>
        <v>#REF!</v>
      </c>
      <c r="U23" s="63" t="e">
        <f t="shared" si="2"/>
        <v>#REF!</v>
      </c>
      <c r="V23" s="63" t="e">
        <f>S23/D23</f>
        <v>#REF!</v>
      </c>
      <c r="W23" s="8" t="e">
        <f>W6+W7+W8+W9+W13+W17+W21+W22</f>
        <v>#REF!</v>
      </c>
      <c r="X23" s="63" t="e">
        <f>W23/O23</f>
        <v>#REF!</v>
      </c>
      <c r="Y23" s="63" t="e">
        <f>(W23-S23)/O23</f>
        <v>#REF!</v>
      </c>
      <c r="Z23" s="63" t="e">
        <f>W23/E23</f>
        <v>#REF!</v>
      </c>
      <c r="AA23" s="8" t="e">
        <f>AA6+AA7+AA8+AA9+AA13+AA17+AA21+AA22</f>
        <v>#REF!</v>
      </c>
      <c r="AB23" s="63" t="e">
        <f t="shared" si="3"/>
        <v>#REF!</v>
      </c>
      <c r="AC23" s="63" t="e">
        <f t="shared" si="4"/>
        <v>#REF!</v>
      </c>
      <c r="AD23" s="63" t="e">
        <f>AA23/F23</f>
        <v>#REF!</v>
      </c>
      <c r="AE23" s="8" t="e">
        <f>AE6+AE7+AE8+AE9+AE13+AE17+AE21+AE22</f>
        <v>#REF!</v>
      </c>
      <c r="AF23" s="63" t="e">
        <f t="shared" si="5"/>
        <v>#REF!</v>
      </c>
      <c r="AG23" s="63" t="e">
        <f t="shared" si="6"/>
        <v>#REF!</v>
      </c>
      <c r="AH23" s="63" t="e">
        <f>AE23/G23</f>
        <v>#REF!</v>
      </c>
      <c r="AI23" s="8" t="e">
        <f>AI6+AI7+AI8+AI9+AI13+AI17+AI21+AI22</f>
        <v>#REF!</v>
      </c>
      <c r="AJ23" s="8">
        <f>AJ6+AJ7+AJ8+AJ9+AJ13+AJ17+AJ21+AJ22</f>
        <v>200597</v>
      </c>
      <c r="AK23" s="63" t="e">
        <f t="shared" si="7"/>
        <v>#REF!</v>
      </c>
      <c r="AL23" s="63" t="e">
        <f>AI23/H23</f>
        <v>#REF!</v>
      </c>
      <c r="AM23" s="63">
        <f t="shared" si="8"/>
        <v>0.3826872448395589</v>
      </c>
      <c r="AN23" s="63" t="e">
        <f t="shared" si="9"/>
        <v>#REF!</v>
      </c>
      <c r="AO23" s="63">
        <f>AJ23/I23</f>
        <v>0.9270631623216671</v>
      </c>
      <c r="AP23" s="8" t="e">
        <f>AP6+AP7+AP8+AP9+AP13+AP17+AP21+AP22</f>
        <v>#REF!</v>
      </c>
      <c r="AQ23" s="63" t="e">
        <f>AP23/O23</f>
        <v>#REF!</v>
      </c>
      <c r="AR23" s="63" t="e">
        <f t="shared" si="10"/>
        <v>#REF!</v>
      </c>
      <c r="AS23" s="63" t="e">
        <f>AP23/J23</f>
        <v>#REF!</v>
      </c>
      <c r="AT23" s="8" t="e">
        <f>AT6+AT7+AT8+AT9+AT13+AT17+AT21+AT22</f>
        <v>#REF!</v>
      </c>
      <c r="AU23" s="63" t="e">
        <f>AT23/K23</f>
        <v>#REF!</v>
      </c>
      <c r="AV23" s="63" t="e">
        <f t="shared" si="11"/>
        <v>#REF!</v>
      </c>
      <c r="AW23" s="8" t="e">
        <f>AW6+AW7+AW8+AW9+AW13+AW17+AW21+AW22</f>
        <v>#REF!</v>
      </c>
      <c r="AX23" s="63" t="e">
        <f>AW23/L23</f>
        <v>#REF!</v>
      </c>
      <c r="AY23" s="63" t="e">
        <f t="shared" si="12"/>
        <v>#REF!</v>
      </c>
      <c r="AZ23" s="63" t="e">
        <f t="shared" si="13"/>
        <v>#REF!</v>
      </c>
      <c r="BA23" s="8">
        <f>BA6+BA7+BA8+BA9+BA13+BA17+BA21+BA22</f>
        <v>429652</v>
      </c>
      <c r="BB23" s="63">
        <f>BA23/M23</f>
        <v>1.5199074581775345</v>
      </c>
      <c r="BC23" s="63" t="e">
        <f t="shared" si="14"/>
        <v>#REF!</v>
      </c>
      <c r="BD23" s="63">
        <f t="shared" si="15"/>
        <v>0.8196650005723225</v>
      </c>
      <c r="BE23" s="8" t="e">
        <f>BE6+BE7+BE8+BE9+BE13+BE17+BE21+BE22</f>
        <v>#REF!</v>
      </c>
      <c r="BF23" s="8" t="e">
        <f>BF6+BF7+BF8+BF9+BF13+BF17+BF21+BF22</f>
        <v>#REF!</v>
      </c>
      <c r="BG23" s="8">
        <f>BG6+BG7+BG8+BG9+BG13+BG17+BG21+BG22</f>
        <v>486572</v>
      </c>
      <c r="BH23" s="8">
        <f>BH6+BH7+BH8+BH9+BH13+BH17+BH21+BH22</f>
        <v>495379</v>
      </c>
      <c r="BI23" s="63" t="e">
        <f t="shared" si="16"/>
        <v>#REF!</v>
      </c>
      <c r="BJ23" s="63" t="e">
        <f t="shared" si="17"/>
        <v>#REF!</v>
      </c>
      <c r="BK23" s="63" t="e">
        <f t="shared" si="18"/>
        <v>#REF!</v>
      </c>
      <c r="BL23" s="8">
        <f>BL6+BL7+BL8+BL9+BL13+BL17+BL21+BL22</f>
        <v>501793</v>
      </c>
      <c r="BM23" s="63">
        <f t="shared" si="19"/>
        <v>1.0265226214537628</v>
      </c>
      <c r="BN23" s="63">
        <f t="shared" si="20"/>
        <v>0.9572913884543477</v>
      </c>
    </row>
    <row r="24" spans="1:66" ht="16.5" customHeight="1" thickBot="1">
      <c r="A24" s="9" t="s">
        <v>10</v>
      </c>
      <c r="B24" s="10" t="s">
        <v>56</v>
      </c>
      <c r="C24" s="26">
        <f>C51-C23</f>
        <v>28863</v>
      </c>
      <c r="D24" s="26" t="e">
        <f>D51-D23</f>
        <v>#REF!</v>
      </c>
      <c r="E24" s="26" t="e">
        <f>E51-E23</f>
        <v>#REF!</v>
      </c>
      <c r="F24" s="26">
        <f>F51-F23</f>
        <v>100319</v>
      </c>
      <c r="G24" s="26">
        <f>G51-G23</f>
        <v>127315</v>
      </c>
      <c r="H24" s="26">
        <f>H51-H23</f>
        <v>147700</v>
      </c>
      <c r="I24" s="26">
        <f>I51-I23</f>
        <v>168603</v>
      </c>
      <c r="J24" s="26">
        <f>J51-J23</f>
        <v>198474</v>
      </c>
      <c r="K24" s="26" t="e">
        <f>K51-K23</f>
        <v>#REF!</v>
      </c>
      <c r="L24" s="26">
        <f>L51-L23</f>
        <v>250720</v>
      </c>
      <c r="M24" s="26">
        <f>M51-M23</f>
        <v>273748</v>
      </c>
      <c r="N24" s="26">
        <f>N51-N23</f>
        <v>170627</v>
      </c>
      <c r="O24" s="26">
        <f>O51-O23</f>
        <v>134740</v>
      </c>
      <c r="P24" s="26" t="e">
        <f>P51-P23</f>
        <v>#REF!</v>
      </c>
      <c r="Q24" s="58" t="e">
        <f t="shared" si="0"/>
        <v>#REF!</v>
      </c>
      <c r="R24" s="58" t="e">
        <f>P24/C24</f>
        <v>#REF!</v>
      </c>
      <c r="S24" s="26" t="e">
        <f>S51-S23</f>
        <v>#REF!</v>
      </c>
      <c r="T24" s="58" t="e">
        <f t="shared" si="1"/>
        <v>#REF!</v>
      </c>
      <c r="U24" s="58" t="e">
        <f t="shared" si="2"/>
        <v>#REF!</v>
      </c>
      <c r="V24" s="58" t="e">
        <f>S24/D24</f>
        <v>#REF!</v>
      </c>
      <c r="W24" s="26" t="e">
        <f>W51-W23</f>
        <v>#REF!</v>
      </c>
      <c r="X24" s="58" t="e">
        <f>W24/O24</f>
        <v>#REF!</v>
      </c>
      <c r="Y24" s="62" t="e">
        <f>(W24-S24)/O24</f>
        <v>#REF!</v>
      </c>
      <c r="Z24" s="58" t="e">
        <f>W24/E24</f>
        <v>#REF!</v>
      </c>
      <c r="AA24" s="26" t="e">
        <f>AA51-AA23</f>
        <v>#REF!</v>
      </c>
      <c r="AB24" s="62" t="e">
        <f t="shared" si="3"/>
        <v>#REF!</v>
      </c>
      <c r="AC24" s="62" t="e">
        <f t="shared" si="4"/>
        <v>#REF!</v>
      </c>
      <c r="AD24" s="62" t="e">
        <f>AA24/F24</f>
        <v>#REF!</v>
      </c>
      <c r="AE24" s="26" t="e">
        <f>AE51-AE23</f>
        <v>#REF!</v>
      </c>
      <c r="AF24" s="62" t="e">
        <f t="shared" si="5"/>
        <v>#REF!</v>
      </c>
      <c r="AG24" s="62" t="e">
        <f t="shared" si="6"/>
        <v>#REF!</v>
      </c>
      <c r="AH24" s="62" t="e">
        <f>AE24/G24</f>
        <v>#REF!</v>
      </c>
      <c r="AI24" s="26" t="e">
        <f>AI51-AI23</f>
        <v>#REF!</v>
      </c>
      <c r="AJ24" s="26">
        <f>AJ51-AJ23</f>
        <v>170361</v>
      </c>
      <c r="AK24" s="62" t="e">
        <f t="shared" si="7"/>
        <v>#REF!</v>
      </c>
      <c r="AL24" s="62" t="e">
        <f>AI24/H24</f>
        <v>#REF!</v>
      </c>
      <c r="AM24" s="58">
        <f t="shared" si="8"/>
        <v>1.2643684132403146</v>
      </c>
      <c r="AN24" s="58" t="e">
        <f t="shared" si="9"/>
        <v>#REF!</v>
      </c>
      <c r="AO24" s="58">
        <f>AJ24/I24</f>
        <v>1.0104268607320155</v>
      </c>
      <c r="AP24" s="26" t="e">
        <f>AP51-AP23</f>
        <v>#REF!</v>
      </c>
      <c r="AQ24" s="58" t="e">
        <f>AP24/O24</f>
        <v>#REF!</v>
      </c>
      <c r="AR24" s="102" t="s">
        <v>55</v>
      </c>
      <c r="AS24" s="58" t="e">
        <f>AP24/J24</f>
        <v>#REF!</v>
      </c>
      <c r="AT24" s="26" t="e">
        <f>AT51-AT23</f>
        <v>#REF!</v>
      </c>
      <c r="AU24" s="58" t="e">
        <f>AT24/K24</f>
        <v>#REF!</v>
      </c>
      <c r="AV24" s="58" t="e">
        <f t="shared" si="11"/>
        <v>#REF!</v>
      </c>
      <c r="AW24" s="26" t="e">
        <f>AW51-AW23</f>
        <v>#REF!</v>
      </c>
      <c r="AX24" s="58" t="e">
        <f>AW24/L24</f>
        <v>#REF!</v>
      </c>
      <c r="AY24" s="58" t="e">
        <f t="shared" si="12"/>
        <v>#REF!</v>
      </c>
      <c r="AZ24" s="58" t="e">
        <f t="shared" si="13"/>
        <v>#REF!</v>
      </c>
      <c r="BA24" s="26">
        <f>BA51-BA23</f>
        <v>147244</v>
      </c>
      <c r="BB24" s="58">
        <f>BA24/M24</f>
        <v>0.5378815552990341</v>
      </c>
      <c r="BC24" s="58" t="e">
        <f t="shared" si="14"/>
        <v>#REF!</v>
      </c>
      <c r="BD24" s="58">
        <f t="shared" si="15"/>
        <v>1.092800949977735</v>
      </c>
      <c r="BE24" s="26" t="e">
        <f>BE51-BE23</f>
        <v>#REF!</v>
      </c>
      <c r="BF24" s="26" t="e">
        <f>BF51-BF23</f>
        <v>#REF!</v>
      </c>
      <c r="BG24" s="8">
        <f>BG51-BG23</f>
        <v>154826</v>
      </c>
      <c r="BH24" s="26">
        <f>BH51-BH23</f>
        <v>125366</v>
      </c>
      <c r="BI24" s="58" t="e">
        <f t="shared" si="16"/>
        <v>#REF!</v>
      </c>
      <c r="BJ24" s="58" t="e">
        <f t="shared" si="17"/>
        <v>#REF!</v>
      </c>
      <c r="BK24" s="58" t="e">
        <f t="shared" si="18"/>
        <v>#REF!</v>
      </c>
      <c r="BL24" s="26">
        <f>BL51-BL23</f>
        <v>144769</v>
      </c>
      <c r="BM24" s="58">
        <f t="shared" si="19"/>
        <v>0.8484530584256887</v>
      </c>
      <c r="BN24" s="58">
        <f t="shared" si="20"/>
        <v>1.074432239869378</v>
      </c>
    </row>
    <row r="25" spans="1:66" ht="16.5" customHeight="1" thickBot="1">
      <c r="A25" s="43" t="s">
        <v>13</v>
      </c>
      <c r="B25" s="10" t="s">
        <v>35</v>
      </c>
      <c r="C25" s="84" t="s">
        <v>47</v>
      </c>
      <c r="D25" s="84" t="s">
        <v>47</v>
      </c>
      <c r="E25" s="84"/>
      <c r="F25" s="84" t="s">
        <v>47</v>
      </c>
      <c r="G25" s="84" t="s">
        <v>47</v>
      </c>
      <c r="H25" s="84" t="s">
        <v>47</v>
      </c>
      <c r="I25" s="84" t="s">
        <v>47</v>
      </c>
      <c r="J25" s="84" t="s">
        <v>47</v>
      </c>
      <c r="K25" s="84" t="s">
        <v>47</v>
      </c>
      <c r="L25" s="84" t="s">
        <v>47</v>
      </c>
      <c r="M25" s="84" t="s">
        <v>47</v>
      </c>
      <c r="N25" s="88">
        <v>32450</v>
      </c>
      <c r="O25" s="88">
        <v>41470</v>
      </c>
      <c r="P25" s="84" t="s">
        <v>47</v>
      </c>
      <c r="Q25" s="93" t="s">
        <v>47</v>
      </c>
      <c r="R25" s="93" t="s">
        <v>47</v>
      </c>
      <c r="S25" s="84" t="s">
        <v>47</v>
      </c>
      <c r="T25" s="93" t="s">
        <v>47</v>
      </c>
      <c r="U25" s="93" t="s">
        <v>47</v>
      </c>
      <c r="V25" s="93" t="s">
        <v>47</v>
      </c>
      <c r="W25" s="84" t="s">
        <v>47</v>
      </c>
      <c r="X25" s="93" t="s">
        <v>47</v>
      </c>
      <c r="Y25" s="93" t="s">
        <v>47</v>
      </c>
      <c r="Z25" s="93" t="s">
        <v>47</v>
      </c>
      <c r="AA25" s="84" t="s">
        <v>47</v>
      </c>
      <c r="AB25" s="93" t="s">
        <v>47</v>
      </c>
      <c r="AC25" s="93" t="s">
        <v>47</v>
      </c>
      <c r="AD25" s="93" t="s">
        <v>47</v>
      </c>
      <c r="AE25" s="84" t="s">
        <v>47</v>
      </c>
      <c r="AF25" s="93" t="s">
        <v>47</v>
      </c>
      <c r="AG25" s="93" t="s">
        <v>47</v>
      </c>
      <c r="AH25" s="93" t="s">
        <v>47</v>
      </c>
      <c r="AI25" s="84" t="s">
        <v>47</v>
      </c>
      <c r="AJ25" s="84" t="s">
        <v>47</v>
      </c>
      <c r="AK25" s="93" t="s">
        <v>47</v>
      </c>
      <c r="AL25" s="93" t="s">
        <v>47</v>
      </c>
      <c r="AM25" s="93" t="s">
        <v>47</v>
      </c>
      <c r="AN25" s="93" t="s">
        <v>47</v>
      </c>
      <c r="AO25" s="93" t="s">
        <v>47</v>
      </c>
      <c r="AP25" s="84" t="s">
        <v>47</v>
      </c>
      <c r="AQ25" s="93" t="s">
        <v>47</v>
      </c>
      <c r="AR25" s="93" t="s">
        <v>47</v>
      </c>
      <c r="AS25" s="93" t="s">
        <v>47</v>
      </c>
      <c r="AT25" s="84" t="s">
        <v>47</v>
      </c>
      <c r="AU25" s="93" t="s">
        <v>47</v>
      </c>
      <c r="AV25" s="93" t="s">
        <v>47</v>
      </c>
      <c r="AW25" s="84" t="s">
        <v>47</v>
      </c>
      <c r="AX25" s="93" t="s">
        <v>47</v>
      </c>
      <c r="AY25" s="93" t="s">
        <v>47</v>
      </c>
      <c r="AZ25" s="93" t="s">
        <v>47</v>
      </c>
      <c r="BA25" s="84" t="s">
        <v>47</v>
      </c>
      <c r="BB25" s="93" t="s">
        <v>47</v>
      </c>
      <c r="BC25" s="93" t="s">
        <v>47</v>
      </c>
      <c r="BD25" s="93" t="s">
        <v>47</v>
      </c>
      <c r="BE25" s="88">
        <v>53193</v>
      </c>
      <c r="BF25" s="84" t="s">
        <v>47</v>
      </c>
      <c r="BG25" s="115">
        <v>38700</v>
      </c>
      <c r="BH25" s="88">
        <v>42000</v>
      </c>
      <c r="BI25" s="93" t="s">
        <v>47</v>
      </c>
      <c r="BJ25" s="93" t="s">
        <v>47</v>
      </c>
      <c r="BK25" s="93" t="s">
        <v>47</v>
      </c>
      <c r="BL25" s="88">
        <v>49028</v>
      </c>
      <c r="BM25" s="119">
        <f t="shared" si="19"/>
        <v>1.5108782742681048</v>
      </c>
      <c r="BN25" s="119">
        <f t="shared" si="20"/>
        <v>1.1822522305280927</v>
      </c>
    </row>
    <row r="26" spans="1:66" ht="16.5" customHeight="1" thickBot="1">
      <c r="A26" s="43" t="s">
        <v>14</v>
      </c>
      <c r="B26" s="10" t="s">
        <v>57</v>
      </c>
      <c r="C26" s="83" t="s">
        <v>47</v>
      </c>
      <c r="D26" s="83" t="s">
        <v>47</v>
      </c>
      <c r="E26" s="83"/>
      <c r="F26" s="83" t="s">
        <v>47</v>
      </c>
      <c r="G26" s="83" t="s">
        <v>47</v>
      </c>
      <c r="H26" s="83" t="s">
        <v>47</v>
      </c>
      <c r="I26" s="83" t="s">
        <v>47</v>
      </c>
      <c r="J26" s="83" t="s">
        <v>47</v>
      </c>
      <c r="K26" s="83" t="s">
        <v>47</v>
      </c>
      <c r="L26" s="83" t="s">
        <v>47</v>
      </c>
      <c r="M26" s="83" t="s">
        <v>47</v>
      </c>
      <c r="N26" s="89">
        <f>N24-N25</f>
        <v>138177</v>
      </c>
      <c r="O26" s="89">
        <f>O24-O25</f>
        <v>93270</v>
      </c>
      <c r="P26" s="83" t="s">
        <v>47</v>
      </c>
      <c r="Q26" s="94" t="s">
        <v>47</v>
      </c>
      <c r="R26" s="94" t="s">
        <v>47</v>
      </c>
      <c r="S26" s="83" t="s">
        <v>47</v>
      </c>
      <c r="T26" s="94" t="s">
        <v>47</v>
      </c>
      <c r="U26" s="94" t="s">
        <v>47</v>
      </c>
      <c r="V26" s="94" t="s">
        <v>47</v>
      </c>
      <c r="W26" s="83" t="s">
        <v>47</v>
      </c>
      <c r="X26" s="94" t="s">
        <v>47</v>
      </c>
      <c r="Y26" s="94" t="s">
        <v>47</v>
      </c>
      <c r="Z26" s="94" t="s">
        <v>47</v>
      </c>
      <c r="AA26" s="83" t="s">
        <v>47</v>
      </c>
      <c r="AB26" s="94" t="s">
        <v>47</v>
      </c>
      <c r="AC26" s="94" t="s">
        <v>47</v>
      </c>
      <c r="AD26" s="94" t="s">
        <v>47</v>
      </c>
      <c r="AE26" s="83" t="s">
        <v>47</v>
      </c>
      <c r="AF26" s="94" t="s">
        <v>47</v>
      </c>
      <c r="AG26" s="94" t="s">
        <v>47</v>
      </c>
      <c r="AH26" s="94" t="s">
        <v>47</v>
      </c>
      <c r="AI26" s="83" t="s">
        <v>47</v>
      </c>
      <c r="AJ26" s="83" t="s">
        <v>47</v>
      </c>
      <c r="AK26" s="94" t="s">
        <v>47</v>
      </c>
      <c r="AL26" s="94" t="s">
        <v>47</v>
      </c>
      <c r="AM26" s="93" t="s">
        <v>47</v>
      </c>
      <c r="AN26" s="93" t="s">
        <v>47</v>
      </c>
      <c r="AO26" s="93" t="s">
        <v>47</v>
      </c>
      <c r="AP26" s="83" t="s">
        <v>47</v>
      </c>
      <c r="AQ26" s="93" t="s">
        <v>47</v>
      </c>
      <c r="AR26" s="93" t="s">
        <v>47</v>
      </c>
      <c r="AS26" s="93" t="s">
        <v>47</v>
      </c>
      <c r="AT26" s="83" t="s">
        <v>47</v>
      </c>
      <c r="AU26" s="93" t="s">
        <v>47</v>
      </c>
      <c r="AV26" s="93" t="s">
        <v>47</v>
      </c>
      <c r="AW26" s="83" t="s">
        <v>47</v>
      </c>
      <c r="AX26" s="93" t="s">
        <v>47</v>
      </c>
      <c r="AY26" s="93" t="s">
        <v>47</v>
      </c>
      <c r="AZ26" s="93" t="s">
        <v>47</v>
      </c>
      <c r="BA26" s="83" t="s">
        <v>47</v>
      </c>
      <c r="BB26" s="104" t="s">
        <v>47</v>
      </c>
      <c r="BC26" s="104" t="s">
        <v>47</v>
      </c>
      <c r="BD26" s="104" t="s">
        <v>47</v>
      </c>
      <c r="BE26" s="89" t="e">
        <f>BE24-BE25</f>
        <v>#REF!</v>
      </c>
      <c r="BF26" s="83" t="s">
        <v>47</v>
      </c>
      <c r="BG26" s="118">
        <f>BG24-BG25</f>
        <v>116126</v>
      </c>
      <c r="BH26" s="89">
        <f>BH24-BH25</f>
        <v>83366</v>
      </c>
      <c r="BI26" s="104" t="s">
        <v>47</v>
      </c>
      <c r="BJ26" s="104" t="s">
        <v>47</v>
      </c>
      <c r="BK26" s="104" t="s">
        <v>47</v>
      </c>
      <c r="BL26" s="89">
        <f>BL24-BL25</f>
        <v>95741</v>
      </c>
      <c r="BM26" s="120">
        <f t="shared" si="19"/>
        <v>0.6928866598637979</v>
      </c>
      <c r="BN26" s="120">
        <f t="shared" si="20"/>
        <v>1.0264929773775062</v>
      </c>
    </row>
    <row r="27" spans="1:66" ht="22.5" customHeight="1" thickBot="1">
      <c r="A27" s="44" t="s">
        <v>34</v>
      </c>
      <c r="B27" s="35" t="s">
        <v>20</v>
      </c>
      <c r="C27" s="37" t="s">
        <v>47</v>
      </c>
      <c r="D27" s="37" t="s">
        <v>47</v>
      </c>
      <c r="E27" s="37"/>
      <c r="F27" s="37" t="s">
        <v>47</v>
      </c>
      <c r="G27" s="37" t="s">
        <v>47</v>
      </c>
      <c r="H27" s="37" t="s">
        <v>47</v>
      </c>
      <c r="I27" s="37" t="s">
        <v>47</v>
      </c>
      <c r="J27" s="37" t="s">
        <v>47</v>
      </c>
      <c r="K27" s="37" t="s">
        <v>47</v>
      </c>
      <c r="L27" s="37" t="s">
        <v>47</v>
      </c>
      <c r="M27" s="37" t="s">
        <v>47</v>
      </c>
      <c r="N27" s="90">
        <f>N23+N25</f>
        <v>521278</v>
      </c>
      <c r="O27" s="90">
        <f>O23+O25</f>
        <v>565650</v>
      </c>
      <c r="P27" s="37" t="s">
        <v>47</v>
      </c>
      <c r="Q27" s="95" t="s">
        <v>47</v>
      </c>
      <c r="R27" s="95" t="s">
        <v>47</v>
      </c>
      <c r="S27" s="37" t="s">
        <v>47</v>
      </c>
      <c r="T27" s="95" t="s">
        <v>47</v>
      </c>
      <c r="U27" s="95" t="s">
        <v>47</v>
      </c>
      <c r="V27" s="95" t="s">
        <v>47</v>
      </c>
      <c r="W27" s="37" t="s">
        <v>47</v>
      </c>
      <c r="X27" s="95" t="s">
        <v>47</v>
      </c>
      <c r="Y27" s="95" t="s">
        <v>47</v>
      </c>
      <c r="Z27" s="95" t="s">
        <v>47</v>
      </c>
      <c r="AA27" s="37" t="s">
        <v>47</v>
      </c>
      <c r="AB27" s="95" t="s">
        <v>47</v>
      </c>
      <c r="AC27" s="95" t="s">
        <v>47</v>
      </c>
      <c r="AD27" s="95" t="s">
        <v>47</v>
      </c>
      <c r="AE27" s="37" t="s">
        <v>47</v>
      </c>
      <c r="AF27" s="95" t="s">
        <v>47</v>
      </c>
      <c r="AG27" s="95" t="s">
        <v>47</v>
      </c>
      <c r="AH27" s="95" t="s">
        <v>47</v>
      </c>
      <c r="AI27" s="37" t="s">
        <v>47</v>
      </c>
      <c r="AJ27" s="37" t="s">
        <v>47</v>
      </c>
      <c r="AK27" s="95" t="s">
        <v>47</v>
      </c>
      <c r="AL27" s="95" t="s">
        <v>47</v>
      </c>
      <c r="AM27" s="95" t="s">
        <v>47</v>
      </c>
      <c r="AN27" s="95" t="s">
        <v>47</v>
      </c>
      <c r="AO27" s="95" t="s">
        <v>47</v>
      </c>
      <c r="AP27" s="37" t="s">
        <v>47</v>
      </c>
      <c r="AQ27" s="95" t="s">
        <v>47</v>
      </c>
      <c r="AR27" s="95" t="s">
        <v>47</v>
      </c>
      <c r="AS27" s="95" t="s">
        <v>47</v>
      </c>
      <c r="AT27" s="37" t="s">
        <v>47</v>
      </c>
      <c r="AU27" s="95" t="s">
        <v>47</v>
      </c>
      <c r="AV27" s="95" t="s">
        <v>47</v>
      </c>
      <c r="AW27" s="37" t="s">
        <v>47</v>
      </c>
      <c r="AX27" s="95" t="s">
        <v>47</v>
      </c>
      <c r="AY27" s="95" t="s">
        <v>47</v>
      </c>
      <c r="AZ27" s="95" t="s">
        <v>47</v>
      </c>
      <c r="BA27" s="37" t="s">
        <v>47</v>
      </c>
      <c r="BB27" s="95" t="s">
        <v>47</v>
      </c>
      <c r="BC27" s="95" t="s">
        <v>47</v>
      </c>
      <c r="BD27" s="95" t="s">
        <v>47</v>
      </c>
      <c r="BE27" s="90" t="e">
        <f>BE23+BE25</f>
        <v>#REF!</v>
      </c>
      <c r="BF27" s="37" t="s">
        <v>47</v>
      </c>
      <c r="BG27" s="90">
        <f>BG23+BG25</f>
        <v>525272</v>
      </c>
      <c r="BH27" s="90">
        <f>BH23+BH25</f>
        <v>537379</v>
      </c>
      <c r="BI27" s="95" t="s">
        <v>47</v>
      </c>
      <c r="BJ27" s="95" t="s">
        <v>47</v>
      </c>
      <c r="BK27" s="95" t="s">
        <v>47</v>
      </c>
      <c r="BL27" s="90">
        <f>BL23+BL25</f>
        <v>550821</v>
      </c>
      <c r="BM27" s="121">
        <f t="shared" si="19"/>
        <v>1.0566741738573275</v>
      </c>
      <c r="BN27" s="121">
        <f t="shared" si="20"/>
        <v>0.9737841421373641</v>
      </c>
    </row>
    <row r="28" spans="1:66" ht="24.75" customHeight="1" thickBot="1">
      <c r="A28" s="46" t="s">
        <v>11</v>
      </c>
      <c r="B28" s="47" t="s">
        <v>37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96"/>
      <c r="R28" s="96"/>
      <c r="S28" s="80"/>
      <c r="T28" s="96"/>
      <c r="U28" s="96"/>
      <c r="V28" s="96"/>
      <c r="W28" s="80"/>
      <c r="X28" s="96"/>
      <c r="Y28" s="96"/>
      <c r="Z28" s="96"/>
      <c r="AA28" s="80"/>
      <c r="AB28" s="96"/>
      <c r="AC28" s="96"/>
      <c r="AD28" s="96"/>
      <c r="AE28" s="80"/>
      <c r="AF28" s="96"/>
      <c r="AG28" s="96"/>
      <c r="AH28" s="96"/>
      <c r="AI28" s="80"/>
      <c r="AJ28" s="80"/>
      <c r="AK28" s="96"/>
      <c r="AL28" s="96"/>
      <c r="AM28" s="96"/>
      <c r="AN28" s="96"/>
      <c r="AO28" s="96"/>
      <c r="AP28" s="80"/>
      <c r="AQ28" s="96"/>
      <c r="AR28" s="96"/>
      <c r="AS28" s="96"/>
      <c r="AT28" s="80"/>
      <c r="AU28" s="96"/>
      <c r="AV28" s="96"/>
      <c r="AW28" s="80"/>
      <c r="AX28" s="96"/>
      <c r="AY28" s="96"/>
      <c r="AZ28" s="96"/>
      <c r="BA28" s="80"/>
      <c r="BB28" s="96"/>
      <c r="BC28" s="96"/>
      <c r="BD28" s="96"/>
      <c r="BE28" s="80"/>
      <c r="BF28" s="80"/>
      <c r="BG28" s="80"/>
      <c r="BH28" s="80"/>
      <c r="BI28" s="96"/>
      <c r="BJ28" s="96"/>
      <c r="BK28" s="96"/>
      <c r="BL28" s="80"/>
      <c r="BM28" s="96"/>
      <c r="BN28" s="96"/>
    </row>
    <row r="29" spans="1:66" ht="16.5" customHeight="1">
      <c r="A29" s="14" t="s">
        <v>0</v>
      </c>
      <c r="B29" s="34" t="s">
        <v>21</v>
      </c>
      <c r="C29" s="30">
        <f aca="true" t="shared" si="24" ref="C29:P29">C31+C33+C34+C35</f>
        <v>34199</v>
      </c>
      <c r="D29" s="30">
        <f t="shared" si="24"/>
        <v>70315</v>
      </c>
      <c r="E29" s="30">
        <f t="shared" si="24"/>
        <v>106681</v>
      </c>
      <c r="F29" s="30">
        <f t="shared" si="24"/>
        <v>140060</v>
      </c>
      <c r="G29" s="30">
        <f t="shared" si="24"/>
        <v>177655</v>
      </c>
      <c r="H29" s="30">
        <f>H31+H33+H34+H35</f>
        <v>211974</v>
      </c>
      <c r="I29" s="30">
        <f>I31+I33+I34+I35</f>
        <v>250339</v>
      </c>
      <c r="J29" s="30">
        <f t="shared" si="24"/>
        <v>285930</v>
      </c>
      <c r="K29" s="30">
        <f t="shared" si="24"/>
        <v>319774</v>
      </c>
      <c r="L29" s="30">
        <f t="shared" si="24"/>
        <v>357814</v>
      </c>
      <c r="M29" s="30">
        <f t="shared" si="24"/>
        <v>390760</v>
      </c>
      <c r="N29" s="30">
        <f t="shared" si="24"/>
        <v>427046</v>
      </c>
      <c r="O29" s="30">
        <f t="shared" si="24"/>
        <v>400450</v>
      </c>
      <c r="P29" s="30">
        <f t="shared" si="24"/>
        <v>39912</v>
      </c>
      <c r="Q29" s="50">
        <f t="shared" si="0"/>
        <v>0.09966787364215259</v>
      </c>
      <c r="R29" s="50">
        <f>P29/C29</f>
        <v>1.1670516681774321</v>
      </c>
      <c r="S29" s="30">
        <f>S31+S33+S34+S35</f>
        <v>74363</v>
      </c>
      <c r="T29" s="50">
        <f t="shared" si="1"/>
        <v>0.18569858908727682</v>
      </c>
      <c r="U29" s="50">
        <f t="shared" si="2"/>
        <v>0.08603071544512424</v>
      </c>
      <c r="V29" s="50">
        <f>S29/D29</f>
        <v>1.0575695086396928</v>
      </c>
      <c r="W29" s="30">
        <f>W31+W33+W34+W35</f>
        <v>105714</v>
      </c>
      <c r="X29" s="50">
        <f>W29/O29</f>
        <v>0.2639880134848296</v>
      </c>
      <c r="Y29" s="50">
        <f>(W29-S29)/O29</f>
        <v>0.07828942439755275</v>
      </c>
      <c r="Z29" s="50">
        <f>W29/E29</f>
        <v>0.9909355930296866</v>
      </c>
      <c r="AA29" s="30">
        <f>AA31+AA33+AA34+AA35</f>
        <v>136063</v>
      </c>
      <c r="AB29" s="50">
        <f t="shared" si="3"/>
        <v>0.3397752528405544</v>
      </c>
      <c r="AC29" s="50">
        <f t="shared" si="4"/>
        <v>0.0757872393557248</v>
      </c>
      <c r="AD29" s="50">
        <f>AA29/F29</f>
        <v>0.9714622304726546</v>
      </c>
      <c r="AE29" s="30">
        <f>AE31+AE33+AE34+AE35</f>
        <v>166820</v>
      </c>
      <c r="AF29" s="50">
        <f t="shared" si="5"/>
        <v>0.416581345985766</v>
      </c>
      <c r="AG29" s="50">
        <f t="shared" si="6"/>
        <v>0.07680609314521164</v>
      </c>
      <c r="AH29" s="50">
        <f>AE29/G29</f>
        <v>0.9390110044749655</v>
      </c>
      <c r="AI29" s="30">
        <f>AI31+AI33+AI34+AI35</f>
        <v>195079</v>
      </c>
      <c r="AJ29" s="30">
        <f>AJ31+AJ33+AJ34+AJ35</f>
        <v>228514</v>
      </c>
      <c r="AK29" s="50">
        <f t="shared" si="7"/>
        <v>0.48714945686103134</v>
      </c>
      <c r="AL29" s="50">
        <f>AI29/H29</f>
        <v>0.9202968288563692</v>
      </c>
      <c r="AM29" s="50">
        <f t="shared" si="8"/>
        <v>0.5706430265950805</v>
      </c>
      <c r="AN29" s="50">
        <f t="shared" si="9"/>
        <v>0.0834935697340492</v>
      </c>
      <c r="AO29" s="50">
        <f>AJ29/I29</f>
        <v>0.9128182184957198</v>
      </c>
      <c r="AP29" s="30">
        <f>AP31+AP33+AP34+AP35</f>
        <v>257713</v>
      </c>
      <c r="AQ29" s="50">
        <f>AP29/O29</f>
        <v>0.6435584966912223</v>
      </c>
      <c r="AR29" s="50">
        <f t="shared" si="10"/>
        <v>0.07291547009614184</v>
      </c>
      <c r="AS29" s="50">
        <f>AP29/J29</f>
        <v>0.901315007169587</v>
      </c>
      <c r="AT29" s="30">
        <f>AT31+AT33+AT34+AT35</f>
        <v>285661</v>
      </c>
      <c r="AU29" s="50">
        <f>AT29/K29</f>
        <v>0.8933215333329164</v>
      </c>
      <c r="AV29" s="50">
        <f t="shared" si="11"/>
        <v>0.7133499812710701</v>
      </c>
      <c r="AW29" s="30">
        <f>AW31+AW33+AW34+AW35</f>
        <v>315134</v>
      </c>
      <c r="AX29" s="50">
        <f>AW29/L29</f>
        <v>0.8807201506928181</v>
      </c>
      <c r="AY29" s="50">
        <f t="shared" si="12"/>
        <v>0.07359970033712074</v>
      </c>
      <c r="AZ29" s="50">
        <f t="shared" si="13"/>
        <v>0.7869496816081908</v>
      </c>
      <c r="BA29" s="30">
        <f>BA31+BA33+BA34+BA35</f>
        <v>348892</v>
      </c>
      <c r="BB29" s="50">
        <f>BA29/M29</f>
        <v>0.8928549493295117</v>
      </c>
      <c r="BC29" s="50">
        <f t="shared" si="14"/>
        <v>0.08430016231739293</v>
      </c>
      <c r="BD29" s="50">
        <f t="shared" si="15"/>
        <v>0.8712498439255837</v>
      </c>
      <c r="BE29" s="30">
        <f>BE31+BE33+BE34+BE35</f>
        <v>367800</v>
      </c>
      <c r="BF29" s="30">
        <f>BF31+BF33+BF34+BF35</f>
        <v>379822</v>
      </c>
      <c r="BG29" s="113">
        <f>BG31+BG33+BG34+BG35</f>
        <v>375800</v>
      </c>
      <c r="BH29" s="30">
        <f>BH31+BH33+BH34+BH35</f>
        <v>379637</v>
      </c>
      <c r="BI29" s="50">
        <f t="shared" si="16"/>
        <v>0.8894170651405235</v>
      </c>
      <c r="BJ29" s="50">
        <f t="shared" si="17"/>
        <v>0.07723810712947933</v>
      </c>
      <c r="BK29" s="50">
        <f t="shared" si="18"/>
        <v>0.948487951055063</v>
      </c>
      <c r="BL29" s="30">
        <f>BL31+BL33+BL34+BL35</f>
        <v>385180</v>
      </c>
      <c r="BM29" s="50">
        <f t="shared" si="19"/>
        <v>0.9019637228776292</v>
      </c>
      <c r="BN29" s="50">
        <f t="shared" si="20"/>
        <v>0.9618678986140592</v>
      </c>
    </row>
    <row r="30" spans="1:66" ht="14.25" customHeight="1">
      <c r="A30" s="64"/>
      <c r="B30" s="18" t="s">
        <v>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1"/>
      <c r="R30" s="51"/>
      <c r="S30" s="27"/>
      <c r="T30" s="51"/>
      <c r="U30" s="51"/>
      <c r="V30" s="51"/>
      <c r="W30" s="27"/>
      <c r="X30" s="51"/>
      <c r="Y30" s="51"/>
      <c r="Z30" s="51"/>
      <c r="AA30" s="27"/>
      <c r="AB30" s="51"/>
      <c r="AC30" s="51"/>
      <c r="AD30" s="51"/>
      <c r="AE30" s="27"/>
      <c r="AF30" s="51"/>
      <c r="AG30" s="51"/>
      <c r="AH30" s="51"/>
      <c r="AI30" s="27"/>
      <c r="AJ30" s="27"/>
      <c r="AK30" s="51"/>
      <c r="AL30" s="51"/>
      <c r="AM30" s="51"/>
      <c r="AN30" s="51"/>
      <c r="AO30" s="51"/>
      <c r="AP30" s="27"/>
      <c r="AQ30" s="51"/>
      <c r="AR30" s="51"/>
      <c r="AS30" s="51"/>
      <c r="AT30" s="27"/>
      <c r="AU30" s="51"/>
      <c r="AV30" s="51"/>
      <c r="AW30" s="27"/>
      <c r="AX30" s="51"/>
      <c r="AY30" s="51"/>
      <c r="AZ30" s="51"/>
      <c r="BA30" s="27"/>
      <c r="BB30" s="51"/>
      <c r="BC30" s="51"/>
      <c r="BD30" s="51"/>
      <c r="BE30" s="27"/>
      <c r="BF30" s="27"/>
      <c r="BG30" s="107"/>
      <c r="BH30" s="27"/>
      <c r="BI30" s="51"/>
      <c r="BJ30" s="51"/>
      <c r="BK30" s="51"/>
      <c r="BL30" s="27"/>
      <c r="BM30" s="51"/>
      <c r="BN30" s="51"/>
    </row>
    <row r="31" spans="1:66" ht="16.5" customHeight="1">
      <c r="A31" s="64"/>
      <c r="B31" s="5" t="s">
        <v>48</v>
      </c>
      <c r="C31" s="27">
        <f>17786+522</f>
        <v>18308</v>
      </c>
      <c r="D31" s="27">
        <v>38378</v>
      </c>
      <c r="E31" s="27">
        <v>54967</v>
      </c>
      <c r="F31" s="27">
        <v>74484</v>
      </c>
      <c r="G31" s="27">
        <v>91892</v>
      </c>
      <c r="H31" s="27">
        <v>109396</v>
      </c>
      <c r="I31" s="27">
        <v>129841</v>
      </c>
      <c r="J31" s="27">
        <v>148077</v>
      </c>
      <c r="K31" s="27">
        <v>166580</v>
      </c>
      <c r="L31" s="27">
        <v>190280</v>
      </c>
      <c r="M31" s="27">
        <v>209867</v>
      </c>
      <c r="N31" s="27">
        <v>230723</v>
      </c>
      <c r="O31" s="27">
        <v>281140</v>
      </c>
      <c r="P31" s="27">
        <f>P32+357+85+1320+75+106+2831+10+6409</f>
        <v>26543</v>
      </c>
      <c r="Q31" s="51">
        <f t="shared" si="0"/>
        <v>0.09441203670769012</v>
      </c>
      <c r="R31" s="51">
        <f aca="true" t="shared" si="25" ref="R31:R36">P31/C31</f>
        <v>1.4498033646493336</v>
      </c>
      <c r="S31" s="27">
        <f>S32+680+134+2870+210+133+5395+154+7703</f>
        <v>45171</v>
      </c>
      <c r="T31" s="51">
        <f t="shared" si="1"/>
        <v>0.16067084015081454</v>
      </c>
      <c r="U31" s="51">
        <f t="shared" si="2"/>
        <v>0.06625880344312442</v>
      </c>
      <c r="V31" s="51">
        <f>S31/D31</f>
        <v>1.177002449319923</v>
      </c>
      <c r="W31" s="27">
        <f>63801+1</f>
        <v>63802</v>
      </c>
      <c r="X31" s="51">
        <f aca="true" t="shared" si="26" ref="X31:X36">W31/O31</f>
        <v>0.22694031443408977</v>
      </c>
      <c r="Y31" s="51">
        <f aca="true" t="shared" si="27" ref="Y31:Y36">(W31-S31)/O31</f>
        <v>0.06626947428327523</v>
      </c>
      <c r="Z31" s="51">
        <f aca="true" t="shared" si="28" ref="Z31:Z36">W31/E31</f>
        <v>1.1607328033183546</v>
      </c>
      <c r="AA31" s="27">
        <v>84165</v>
      </c>
      <c r="AB31" s="51">
        <f t="shared" si="3"/>
        <v>0.29937042043110196</v>
      </c>
      <c r="AC31" s="51">
        <f t="shared" si="4"/>
        <v>0.07243010599701216</v>
      </c>
      <c r="AD31" s="51">
        <f aca="true" t="shared" si="29" ref="AD31:AD36">AA31/F31</f>
        <v>1.1299742226518448</v>
      </c>
      <c r="AE31" s="27">
        <f>AE32+1053+295+8298+996+221+8789+404+12026</f>
        <v>102859</v>
      </c>
      <c r="AF31" s="51">
        <f t="shared" si="5"/>
        <v>0.3658639823575443</v>
      </c>
      <c r="AG31" s="51">
        <f t="shared" si="6"/>
        <v>0.06649356192644235</v>
      </c>
      <c r="AH31" s="51">
        <f aca="true" t="shared" si="30" ref="AH31:AH36">AE31/G31</f>
        <v>1.119346624298089</v>
      </c>
      <c r="AI31" s="27">
        <f>AI32+1109+347+10424+1466+221+10284+84+390+13210</f>
        <v>122029</v>
      </c>
      <c r="AJ31" s="27">
        <f>AJ32+1174+394+12568+1897+221+12082+594+15916</f>
        <v>144295</v>
      </c>
      <c r="AK31" s="51">
        <f t="shared" si="7"/>
        <v>0.4340506509212492</v>
      </c>
      <c r="AL31" s="51">
        <f aca="true" t="shared" si="31" ref="AL31:AL36">AI31/H31</f>
        <v>1.1154795422136092</v>
      </c>
      <c r="AM31" s="51">
        <f t="shared" si="8"/>
        <v>0.5132496265205947</v>
      </c>
      <c r="AN31" s="51">
        <f t="shared" si="9"/>
        <v>0.07919897559934552</v>
      </c>
      <c r="AO31" s="51">
        <f aca="true" t="shared" si="32" ref="AO31:AO36">AJ31/I31</f>
        <v>1.1113207692485425</v>
      </c>
      <c r="AP31" s="27">
        <v>160265</v>
      </c>
      <c r="AQ31" s="51">
        <f aca="true" t="shared" si="33" ref="AQ31:AQ36">AP31/O31</f>
        <v>0.5700540655900974</v>
      </c>
      <c r="AR31" s="51">
        <f t="shared" si="10"/>
        <v>0.05680443906950274</v>
      </c>
      <c r="AS31" s="51">
        <f aca="true" t="shared" si="34" ref="AS31:AS36">AP31/J31</f>
        <v>1.0823085286708942</v>
      </c>
      <c r="AT31" s="27">
        <f>AT32+1338+432+16229+2660+221+14998+84+940+17525</f>
        <v>177194</v>
      </c>
      <c r="AU31" s="51">
        <f>AT31/K31</f>
        <v>1.0637171329091126</v>
      </c>
      <c r="AV31" s="51">
        <f t="shared" si="11"/>
        <v>0.6302696165611439</v>
      </c>
      <c r="AW31" s="27">
        <v>195473</v>
      </c>
      <c r="AX31" s="51">
        <f>AW31/L31</f>
        <v>1.027291360100904</v>
      </c>
      <c r="AY31" s="51">
        <f t="shared" si="12"/>
        <v>0.065017429038913</v>
      </c>
      <c r="AZ31" s="51">
        <f t="shared" si="13"/>
        <v>0.6952870456000569</v>
      </c>
      <c r="BA31" s="27">
        <v>212807</v>
      </c>
      <c r="BB31" s="51">
        <f>BA31/M31</f>
        <v>1.014008872285781</v>
      </c>
      <c r="BC31" s="51">
        <f t="shared" si="14"/>
        <v>0.06165611439140642</v>
      </c>
      <c r="BD31" s="51">
        <f t="shared" si="15"/>
        <v>0.7569431599914633</v>
      </c>
      <c r="BE31" s="27">
        <v>235000</v>
      </c>
      <c r="BF31" s="27">
        <v>232237</v>
      </c>
      <c r="BG31" s="107">
        <v>235000</v>
      </c>
      <c r="BH31" s="27">
        <v>232052</v>
      </c>
      <c r="BI31" s="51">
        <f t="shared" si="16"/>
        <v>1.0065619812502438</v>
      </c>
      <c r="BJ31" s="51">
        <f t="shared" si="17"/>
        <v>0.06911147471010884</v>
      </c>
      <c r="BK31" s="51">
        <f t="shared" si="18"/>
        <v>0.8260546347015721</v>
      </c>
      <c r="BL31" s="27">
        <f>162450+1532+489+17055+4075+2970+22103+2053+19366</f>
        <v>232093</v>
      </c>
      <c r="BM31" s="51">
        <f t="shared" si="19"/>
        <v>1.0059378562171954</v>
      </c>
      <c r="BN31" s="51">
        <f t="shared" si="20"/>
        <v>0.8255424343743331</v>
      </c>
    </row>
    <row r="32" spans="1:66" ht="16.5" customHeight="1">
      <c r="A32" s="64"/>
      <c r="B32" s="61" t="s">
        <v>42</v>
      </c>
      <c r="C32" s="36">
        <v>13842</v>
      </c>
      <c r="D32" s="36">
        <v>26309</v>
      </c>
      <c r="E32" s="36">
        <v>39906</v>
      </c>
      <c r="F32" s="36">
        <v>52430</v>
      </c>
      <c r="G32" s="36">
        <v>65133</v>
      </c>
      <c r="H32" s="36">
        <v>78110</v>
      </c>
      <c r="I32" s="36">
        <v>92035</v>
      </c>
      <c r="J32" s="36">
        <v>106225</v>
      </c>
      <c r="K32" s="36">
        <v>120683</v>
      </c>
      <c r="L32" s="36">
        <v>136769</v>
      </c>
      <c r="M32" s="36">
        <v>152363</v>
      </c>
      <c r="N32" s="36">
        <v>167868</v>
      </c>
      <c r="O32" s="36">
        <v>200000</v>
      </c>
      <c r="P32" s="36">
        <v>15350</v>
      </c>
      <c r="Q32" s="52">
        <f t="shared" si="0"/>
        <v>0.07675</v>
      </c>
      <c r="R32" s="52">
        <f t="shared" si="25"/>
        <v>1.1089437942493858</v>
      </c>
      <c r="S32" s="36">
        <v>27892</v>
      </c>
      <c r="T32" s="52">
        <f t="shared" si="1"/>
        <v>0.13946</v>
      </c>
      <c r="U32" s="52">
        <f t="shared" si="2"/>
        <v>0.06271</v>
      </c>
      <c r="V32" s="52">
        <f>S32/D32</f>
        <v>1.0601695237371243</v>
      </c>
      <c r="W32" s="36">
        <v>42318</v>
      </c>
      <c r="X32" s="52">
        <f t="shared" si="26"/>
        <v>0.21159</v>
      </c>
      <c r="Y32" s="51">
        <f t="shared" si="27"/>
        <v>0.07213</v>
      </c>
      <c r="Z32" s="52">
        <f t="shared" si="28"/>
        <v>1.0604420387911593</v>
      </c>
      <c r="AA32" s="36">
        <v>56335</v>
      </c>
      <c r="AB32" s="52">
        <f t="shared" si="3"/>
        <v>0.281675</v>
      </c>
      <c r="AC32" s="52">
        <f t="shared" si="4"/>
        <v>0.070085</v>
      </c>
      <c r="AD32" s="52">
        <f t="shared" si="29"/>
        <v>1.074480259393477</v>
      </c>
      <c r="AE32" s="36">
        <v>70777</v>
      </c>
      <c r="AF32" s="52">
        <f t="shared" si="5"/>
        <v>0.353885</v>
      </c>
      <c r="AG32" s="52">
        <f t="shared" si="6"/>
        <v>0.07221</v>
      </c>
      <c r="AH32" s="52">
        <f t="shared" si="30"/>
        <v>1.0866534629143445</v>
      </c>
      <c r="AI32" s="36">
        <v>84494</v>
      </c>
      <c r="AJ32" s="36">
        <v>99449</v>
      </c>
      <c r="AK32" s="52">
        <f t="shared" si="7"/>
        <v>0.42247</v>
      </c>
      <c r="AL32" s="52">
        <f t="shared" si="31"/>
        <v>1.0817308923313276</v>
      </c>
      <c r="AM32" s="52">
        <f t="shared" si="8"/>
        <v>0.497245</v>
      </c>
      <c r="AN32" s="52">
        <f t="shared" si="9"/>
        <v>0.074775</v>
      </c>
      <c r="AO32" s="52">
        <f t="shared" si="32"/>
        <v>1.0805563100994187</v>
      </c>
      <c r="AP32" s="36">
        <v>111196</v>
      </c>
      <c r="AQ32" s="52">
        <f t="shared" si="33"/>
        <v>0.55598</v>
      </c>
      <c r="AR32" s="52">
        <f t="shared" si="10"/>
        <v>0.058735</v>
      </c>
      <c r="AS32" s="52">
        <f t="shared" si="34"/>
        <v>1.0467968933866791</v>
      </c>
      <c r="AT32" s="36">
        <v>122767</v>
      </c>
      <c r="AU32" s="52">
        <f>AT32/K32</f>
        <v>1.0172683807992842</v>
      </c>
      <c r="AV32" s="52">
        <f t="shared" si="11"/>
        <v>0.613835</v>
      </c>
      <c r="AW32" s="36">
        <v>135529</v>
      </c>
      <c r="AX32" s="52">
        <f>AW32/L32</f>
        <v>0.9909336179982305</v>
      </c>
      <c r="AY32" s="52">
        <f t="shared" si="12"/>
        <v>0.06381</v>
      </c>
      <c r="AZ32" s="52">
        <f t="shared" si="13"/>
        <v>0.677645</v>
      </c>
      <c r="BA32" s="36">
        <v>148419</v>
      </c>
      <c r="BB32" s="52">
        <f>BA32/M32</f>
        <v>0.9741144503586829</v>
      </c>
      <c r="BC32" s="52">
        <f t="shared" si="14"/>
        <v>0.06445</v>
      </c>
      <c r="BD32" s="52">
        <f t="shared" si="15"/>
        <v>0.742095</v>
      </c>
      <c r="BE32" s="36">
        <v>162000</v>
      </c>
      <c r="BF32" s="36">
        <v>162450</v>
      </c>
      <c r="BG32" s="108">
        <v>162000</v>
      </c>
      <c r="BH32" s="36">
        <v>162450</v>
      </c>
      <c r="BI32" s="52">
        <f t="shared" si="16"/>
        <v>0.9677246407891915</v>
      </c>
      <c r="BJ32" s="52">
        <f t="shared" si="17"/>
        <v>0.070155</v>
      </c>
      <c r="BK32" s="52">
        <f t="shared" si="18"/>
        <v>0.81225</v>
      </c>
      <c r="BL32" s="36">
        <v>162450</v>
      </c>
      <c r="BM32" s="52">
        <f t="shared" si="19"/>
        <v>0.9677246407891915</v>
      </c>
      <c r="BN32" s="52">
        <f t="shared" si="20"/>
        <v>0.81225</v>
      </c>
    </row>
    <row r="33" spans="1:66" ht="16.5" customHeight="1">
      <c r="A33" s="64"/>
      <c r="B33" s="65" t="s">
        <v>46</v>
      </c>
      <c r="C33" s="32">
        <v>8635</v>
      </c>
      <c r="D33" s="32">
        <v>16510</v>
      </c>
      <c r="E33" s="32">
        <v>26108</v>
      </c>
      <c r="F33" s="32">
        <v>36088</v>
      </c>
      <c r="G33" s="32">
        <v>47490</v>
      </c>
      <c r="H33" s="32">
        <v>58308</v>
      </c>
      <c r="I33" s="32">
        <v>69245</v>
      </c>
      <c r="J33" s="32">
        <v>83500</v>
      </c>
      <c r="K33" s="32">
        <v>94925</v>
      </c>
      <c r="L33" s="32">
        <v>104451</v>
      </c>
      <c r="M33" s="32">
        <v>112569</v>
      </c>
      <c r="N33" s="32">
        <v>120391</v>
      </c>
      <c r="O33" s="32">
        <v>64150</v>
      </c>
      <c r="P33" s="32">
        <f>19+7868</f>
        <v>7887</v>
      </c>
      <c r="Q33" s="55">
        <f t="shared" si="0"/>
        <v>0.12294621979734996</v>
      </c>
      <c r="R33" s="55">
        <f t="shared" si="25"/>
        <v>0.913375796178344</v>
      </c>
      <c r="S33" s="32">
        <f>14544</f>
        <v>14544</v>
      </c>
      <c r="T33" s="55">
        <f t="shared" si="1"/>
        <v>0.22671862821512082</v>
      </c>
      <c r="U33" s="55">
        <f t="shared" si="2"/>
        <v>0.10377240841777086</v>
      </c>
      <c r="V33" s="55">
        <f>S33/D33</f>
        <v>0.8809206541490006</v>
      </c>
      <c r="W33" s="32">
        <v>21398</v>
      </c>
      <c r="X33" s="55">
        <f t="shared" si="26"/>
        <v>0.33356196414653155</v>
      </c>
      <c r="Y33" s="51">
        <f t="shared" si="27"/>
        <v>0.10684333593141075</v>
      </c>
      <c r="Z33" s="55">
        <f t="shared" si="28"/>
        <v>0.8195955262754712</v>
      </c>
      <c r="AA33" s="32">
        <v>28272</v>
      </c>
      <c r="AB33" s="55">
        <f t="shared" si="3"/>
        <v>0.44071706936866717</v>
      </c>
      <c r="AC33" s="55">
        <f t="shared" si="4"/>
        <v>0.10715510522213562</v>
      </c>
      <c r="AD33" s="55">
        <f t="shared" si="29"/>
        <v>0.7834183107958325</v>
      </c>
      <c r="AE33" s="32">
        <f>94+34050</f>
        <v>34144</v>
      </c>
      <c r="AF33" s="55">
        <f t="shared" si="5"/>
        <v>0.5322525331254871</v>
      </c>
      <c r="AG33" s="55">
        <f t="shared" si="6"/>
        <v>0.09153546375681995</v>
      </c>
      <c r="AH33" s="55">
        <f t="shared" si="30"/>
        <v>0.7189724152453149</v>
      </c>
      <c r="AI33" s="32">
        <f>206+40183</f>
        <v>40389</v>
      </c>
      <c r="AJ33" s="32">
        <f>220+46578</f>
        <v>46798</v>
      </c>
      <c r="AK33" s="55">
        <f t="shared" si="7"/>
        <v>0.6296024941543258</v>
      </c>
      <c r="AL33" s="55">
        <f t="shared" si="31"/>
        <v>0.6926836797694998</v>
      </c>
      <c r="AM33" s="55">
        <f t="shared" si="8"/>
        <v>0.7295089633671084</v>
      </c>
      <c r="AN33" s="55">
        <f t="shared" si="9"/>
        <v>0.09990646921278254</v>
      </c>
      <c r="AO33" s="55">
        <f t="shared" si="32"/>
        <v>0.6758321900498231</v>
      </c>
      <c r="AP33" s="32">
        <v>56155</v>
      </c>
      <c r="AQ33" s="55">
        <f t="shared" si="33"/>
        <v>0.8753702260327357</v>
      </c>
      <c r="AR33" s="55">
        <f t="shared" si="10"/>
        <v>0.14586126266562743</v>
      </c>
      <c r="AS33" s="55">
        <f t="shared" si="34"/>
        <v>0.6725149700598803</v>
      </c>
      <c r="AT33" s="32">
        <f>298+64213</f>
        <v>64511</v>
      </c>
      <c r="AU33" s="55">
        <f>AT33/K33</f>
        <v>0.6795996839610219</v>
      </c>
      <c r="AV33" s="55">
        <f t="shared" si="11"/>
        <v>1.0056274356975838</v>
      </c>
      <c r="AW33" s="32">
        <v>70680</v>
      </c>
      <c r="AX33" s="55">
        <f>AW33/L33</f>
        <v>0.6766809317287532</v>
      </c>
      <c r="AY33" s="55">
        <f t="shared" si="12"/>
        <v>0.09616523772408418</v>
      </c>
      <c r="AZ33" s="55">
        <f t="shared" si="13"/>
        <v>1.1017926734216679</v>
      </c>
      <c r="BA33" s="32">
        <v>76129</v>
      </c>
      <c r="BB33" s="55">
        <f>BA33/M33</f>
        <v>0.6762874325968962</v>
      </c>
      <c r="BC33" s="55">
        <f t="shared" si="14"/>
        <v>0.08494154325798908</v>
      </c>
      <c r="BD33" s="55">
        <f t="shared" si="15"/>
        <v>1.186734216679657</v>
      </c>
      <c r="BE33" s="32">
        <v>78200</v>
      </c>
      <c r="BF33" s="32">
        <v>80187</v>
      </c>
      <c r="BG33" s="116">
        <v>80000</v>
      </c>
      <c r="BH33" s="32">
        <v>80187</v>
      </c>
      <c r="BI33" s="55">
        <f t="shared" si="16"/>
        <v>0.6660547715360783</v>
      </c>
      <c r="BJ33" s="55">
        <f t="shared" si="17"/>
        <v>0.06325798908807483</v>
      </c>
      <c r="BK33" s="55">
        <f t="shared" si="18"/>
        <v>1.249992205767732</v>
      </c>
      <c r="BL33" s="32">
        <f>371+79816</f>
        <v>80187</v>
      </c>
      <c r="BM33" s="55">
        <f t="shared" si="19"/>
        <v>0.6660547715360783</v>
      </c>
      <c r="BN33" s="55">
        <f t="shared" si="20"/>
        <v>1.249992205767732</v>
      </c>
    </row>
    <row r="34" spans="1:66" ht="23.25" customHeight="1">
      <c r="A34" s="64"/>
      <c r="B34" s="65" t="s">
        <v>45</v>
      </c>
      <c r="C34" s="32">
        <v>7252</v>
      </c>
      <c r="D34" s="32">
        <v>14124</v>
      </c>
      <c r="E34" s="32">
        <v>21376</v>
      </c>
      <c r="F34" s="32">
        <v>25040</v>
      </c>
      <c r="G34" s="32">
        <v>30210</v>
      </c>
      <c r="H34" s="32">
        <v>35263</v>
      </c>
      <c r="I34" s="32">
        <v>41383</v>
      </c>
      <c r="J34" s="32">
        <v>44482</v>
      </c>
      <c r="K34" s="32">
        <v>48383</v>
      </c>
      <c r="L34" s="32">
        <v>53191</v>
      </c>
      <c r="M34" s="32">
        <v>58387</v>
      </c>
      <c r="N34" s="32">
        <v>63870</v>
      </c>
      <c r="O34" s="32">
        <v>42660</v>
      </c>
      <c r="P34" s="32">
        <v>5482</v>
      </c>
      <c r="Q34" s="55">
        <f t="shared" si="0"/>
        <v>0.12850445382090953</v>
      </c>
      <c r="R34" s="55">
        <f t="shared" si="25"/>
        <v>0.7559293987865416</v>
      </c>
      <c r="S34" s="32">
        <f>10693</f>
        <v>10693</v>
      </c>
      <c r="T34" s="55">
        <f t="shared" si="1"/>
        <v>0.2506563525550867</v>
      </c>
      <c r="U34" s="55">
        <f t="shared" si="2"/>
        <v>0.12215189873417721</v>
      </c>
      <c r="V34" s="55">
        <f>S34/D34</f>
        <v>0.7570801472670632</v>
      </c>
      <c r="W34" s="32">
        <v>16175</v>
      </c>
      <c r="X34" s="55">
        <f t="shared" si="26"/>
        <v>0.37916080637599625</v>
      </c>
      <c r="Y34" s="51">
        <f t="shared" si="27"/>
        <v>0.12850445382090953</v>
      </c>
      <c r="Z34" s="55">
        <f t="shared" si="28"/>
        <v>0.756689745508982</v>
      </c>
      <c r="AA34" s="32">
        <v>19286</v>
      </c>
      <c r="AB34" s="55">
        <f t="shared" si="3"/>
        <v>0.45208626347866854</v>
      </c>
      <c r="AC34" s="55">
        <f t="shared" si="4"/>
        <v>0.07292545710267229</v>
      </c>
      <c r="AD34" s="55">
        <f t="shared" si="29"/>
        <v>0.7702076677316294</v>
      </c>
      <c r="AE34" s="32">
        <v>25316</v>
      </c>
      <c r="AF34" s="55">
        <f t="shared" si="5"/>
        <v>0.5934364744491327</v>
      </c>
      <c r="AG34" s="55">
        <f t="shared" si="6"/>
        <v>0.14135021097046413</v>
      </c>
      <c r="AH34" s="55">
        <f t="shared" si="30"/>
        <v>0.8380006620324396</v>
      </c>
      <c r="AI34" s="32">
        <v>28108</v>
      </c>
      <c r="AJ34" s="32">
        <v>32746</v>
      </c>
      <c r="AK34" s="55">
        <f t="shared" si="7"/>
        <v>0.6588842006563526</v>
      </c>
      <c r="AL34" s="55">
        <f t="shared" si="31"/>
        <v>0.7970961064004765</v>
      </c>
      <c r="AM34" s="55">
        <f t="shared" si="8"/>
        <v>0.7676043131739334</v>
      </c>
      <c r="AN34" s="55">
        <f t="shared" si="9"/>
        <v>0.10872011251758087</v>
      </c>
      <c r="AO34" s="55">
        <f t="shared" si="32"/>
        <v>0.791291109876036</v>
      </c>
      <c r="AP34" s="32">
        <v>36079</v>
      </c>
      <c r="AQ34" s="55">
        <f t="shared" si="33"/>
        <v>0.8457337083919363</v>
      </c>
      <c r="AR34" s="55">
        <f t="shared" si="10"/>
        <v>0.07812939521800281</v>
      </c>
      <c r="AS34" s="55">
        <f t="shared" si="34"/>
        <v>0.8110921271525561</v>
      </c>
      <c r="AT34" s="32">
        <v>38638</v>
      </c>
      <c r="AU34" s="55">
        <f>AT34/K34</f>
        <v>0.7985862803050658</v>
      </c>
      <c r="AV34" s="55">
        <f t="shared" si="11"/>
        <v>0.9057196436943272</v>
      </c>
      <c r="AW34" s="32">
        <v>43636</v>
      </c>
      <c r="AX34" s="55">
        <f>AW34/L34</f>
        <v>0.8203643473519956</v>
      </c>
      <c r="AY34" s="55">
        <f t="shared" si="12"/>
        <v>0.11715893108298171</v>
      </c>
      <c r="AZ34" s="55">
        <f t="shared" si="13"/>
        <v>1.022878574777309</v>
      </c>
      <c r="BA34" s="32">
        <v>47493</v>
      </c>
      <c r="BB34" s="55">
        <f>BA34/M34</f>
        <v>0.8134173703050337</v>
      </c>
      <c r="BC34" s="55">
        <f t="shared" si="14"/>
        <v>0.09041256446319737</v>
      </c>
      <c r="BD34" s="55">
        <f t="shared" si="15"/>
        <v>1.1132911392405063</v>
      </c>
      <c r="BE34" s="32">
        <v>47600</v>
      </c>
      <c r="BF34" s="32">
        <v>54924</v>
      </c>
      <c r="BG34" s="116">
        <v>47800</v>
      </c>
      <c r="BH34" s="32">
        <v>54924</v>
      </c>
      <c r="BI34" s="55">
        <f t="shared" si="16"/>
        <v>0.8599342414279004</v>
      </c>
      <c r="BJ34" s="55">
        <f t="shared" si="17"/>
        <v>0.17419127988748243</v>
      </c>
      <c r="BK34" s="55">
        <f t="shared" si="18"/>
        <v>1.2874824191279888</v>
      </c>
      <c r="BL34" s="32">
        <v>54924</v>
      </c>
      <c r="BM34" s="55">
        <f t="shared" si="19"/>
        <v>0.8599342414279004</v>
      </c>
      <c r="BN34" s="55">
        <f t="shared" si="20"/>
        <v>1.2874824191279888</v>
      </c>
    </row>
    <row r="35" spans="1:66" ht="16.5" customHeight="1" thickBot="1">
      <c r="A35" s="13"/>
      <c r="B35" s="66" t="s">
        <v>43</v>
      </c>
      <c r="C35" s="29">
        <v>4</v>
      </c>
      <c r="D35" s="29">
        <v>1303</v>
      </c>
      <c r="E35" s="29">
        <v>4230</v>
      </c>
      <c r="F35" s="29">
        <v>4448</v>
      </c>
      <c r="G35" s="29">
        <v>8063</v>
      </c>
      <c r="H35" s="29">
        <v>9007</v>
      </c>
      <c r="I35" s="29">
        <v>9870</v>
      </c>
      <c r="J35" s="29">
        <v>9871</v>
      </c>
      <c r="K35" s="29">
        <v>9886</v>
      </c>
      <c r="L35" s="29">
        <v>9892</v>
      </c>
      <c r="M35" s="29">
        <v>9937</v>
      </c>
      <c r="N35" s="29">
        <v>12062</v>
      </c>
      <c r="O35" s="29">
        <v>12500</v>
      </c>
      <c r="P35" s="29">
        <v>0</v>
      </c>
      <c r="Q35" s="57">
        <f t="shared" si="0"/>
        <v>0</v>
      </c>
      <c r="R35" s="57">
        <f t="shared" si="25"/>
        <v>0</v>
      </c>
      <c r="S35" s="29">
        <v>3955</v>
      </c>
      <c r="T35" s="57">
        <f t="shared" si="1"/>
        <v>0.3164</v>
      </c>
      <c r="U35" s="57">
        <f t="shared" si="2"/>
        <v>0.3164</v>
      </c>
      <c r="V35" s="101" t="s">
        <v>55</v>
      </c>
      <c r="W35" s="29">
        <v>4339</v>
      </c>
      <c r="X35" s="57">
        <f t="shared" si="26"/>
        <v>0.34712</v>
      </c>
      <c r="Y35" s="57">
        <f t="shared" si="27"/>
        <v>0.03072</v>
      </c>
      <c r="Z35" s="57">
        <f t="shared" si="28"/>
        <v>1.0257683215130025</v>
      </c>
      <c r="AA35" s="29">
        <v>4340</v>
      </c>
      <c r="AB35" s="57">
        <f t="shared" si="3"/>
        <v>0.3472</v>
      </c>
      <c r="AC35" s="57">
        <f t="shared" si="4"/>
        <v>8E-05</v>
      </c>
      <c r="AD35" s="57">
        <f t="shared" si="29"/>
        <v>0.9757194244604317</v>
      </c>
      <c r="AE35" s="29">
        <v>4501</v>
      </c>
      <c r="AF35" s="57">
        <f t="shared" si="5"/>
        <v>0.36008</v>
      </c>
      <c r="AG35" s="57">
        <f t="shared" si="6"/>
        <v>0.01288</v>
      </c>
      <c r="AH35" s="57">
        <f t="shared" si="30"/>
        <v>0.558228947042044</v>
      </c>
      <c r="AI35" s="29">
        <v>4553</v>
      </c>
      <c r="AJ35" s="29">
        <v>4675</v>
      </c>
      <c r="AK35" s="57">
        <f t="shared" si="7"/>
        <v>0.36424</v>
      </c>
      <c r="AL35" s="57">
        <f t="shared" si="31"/>
        <v>0.5054957255467969</v>
      </c>
      <c r="AM35" s="57">
        <f t="shared" si="8"/>
        <v>0.374</v>
      </c>
      <c r="AN35" s="57">
        <f t="shared" si="9"/>
        <v>0.00976</v>
      </c>
      <c r="AO35" s="57">
        <f t="shared" si="32"/>
        <v>0.4736575481256332</v>
      </c>
      <c r="AP35" s="29">
        <v>5214</v>
      </c>
      <c r="AQ35" s="57">
        <f t="shared" si="33"/>
        <v>0.41712</v>
      </c>
      <c r="AR35" s="57">
        <f t="shared" si="10"/>
        <v>0.04312</v>
      </c>
      <c r="AS35" s="57">
        <f t="shared" si="34"/>
        <v>0.5282139600850978</v>
      </c>
      <c r="AT35" s="29">
        <v>5318</v>
      </c>
      <c r="AU35" s="57">
        <f>AT35/K35</f>
        <v>0.5379324296985636</v>
      </c>
      <c r="AV35" s="57">
        <f t="shared" si="11"/>
        <v>0.42544</v>
      </c>
      <c r="AW35" s="29">
        <v>5345</v>
      </c>
      <c r="AX35" s="57">
        <f>AW35/L35</f>
        <v>0.5403356247472705</v>
      </c>
      <c r="AY35" s="57">
        <f t="shared" si="12"/>
        <v>0.00216</v>
      </c>
      <c r="AZ35" s="57">
        <f t="shared" si="13"/>
        <v>0.4276</v>
      </c>
      <c r="BA35" s="29">
        <v>12463</v>
      </c>
      <c r="BB35" s="57">
        <f>BA35/M35</f>
        <v>1.2542014692563148</v>
      </c>
      <c r="BC35" s="57">
        <f t="shared" si="14"/>
        <v>0.56944</v>
      </c>
      <c r="BD35" s="57">
        <f t="shared" si="15"/>
        <v>0.99704</v>
      </c>
      <c r="BE35" s="29">
        <v>7000</v>
      </c>
      <c r="BF35" s="29">
        <v>12474</v>
      </c>
      <c r="BG35" s="114">
        <v>13000</v>
      </c>
      <c r="BH35" s="29">
        <v>12474</v>
      </c>
      <c r="BI35" s="57">
        <f t="shared" si="16"/>
        <v>1.034156856242746</v>
      </c>
      <c r="BJ35" s="57">
        <f t="shared" si="17"/>
        <v>0.00088</v>
      </c>
      <c r="BK35" s="57">
        <f t="shared" si="18"/>
        <v>0.99792</v>
      </c>
      <c r="BL35" s="29">
        <v>17976</v>
      </c>
      <c r="BM35" s="57">
        <f t="shared" si="19"/>
        <v>1.4903001160669873</v>
      </c>
      <c r="BN35" s="57">
        <f t="shared" si="20"/>
        <v>1.43808</v>
      </c>
    </row>
    <row r="36" spans="1:66" ht="26.25" thickBot="1">
      <c r="A36" s="43" t="s">
        <v>2</v>
      </c>
      <c r="B36" s="10" t="s">
        <v>63</v>
      </c>
      <c r="C36" s="26">
        <v>102101</v>
      </c>
      <c r="D36" s="26">
        <v>106526</v>
      </c>
      <c r="E36" s="26">
        <v>104957</v>
      </c>
      <c r="F36" s="26">
        <v>109043</v>
      </c>
      <c r="G36" s="26">
        <v>113052</v>
      </c>
      <c r="H36" s="26">
        <v>111423</v>
      </c>
      <c r="I36" s="26">
        <v>116294</v>
      </c>
      <c r="J36" s="26">
        <v>120009</v>
      </c>
      <c r="K36" s="26">
        <v>121069</v>
      </c>
      <c r="L36" s="26">
        <v>126720</v>
      </c>
      <c r="M36" s="26">
        <v>131240</v>
      </c>
      <c r="N36" s="26">
        <v>184476</v>
      </c>
      <c r="O36" s="26">
        <v>193600</v>
      </c>
      <c r="P36" s="26">
        <v>3484</v>
      </c>
      <c r="Q36" s="58">
        <f t="shared" si="0"/>
        <v>0.01799586776859504</v>
      </c>
      <c r="R36" s="58">
        <f t="shared" si="25"/>
        <v>0.034123074210830454</v>
      </c>
      <c r="S36" s="26">
        <v>7783</v>
      </c>
      <c r="T36" s="58">
        <f t="shared" si="1"/>
        <v>0.04020144628099174</v>
      </c>
      <c r="U36" s="58">
        <f t="shared" si="2"/>
        <v>0.022205578512396695</v>
      </c>
      <c r="V36" s="58">
        <f>S36/D36</f>
        <v>0.07306197548016446</v>
      </c>
      <c r="W36" s="26">
        <v>8436</v>
      </c>
      <c r="X36" s="58">
        <f t="shared" si="26"/>
        <v>0.04357438016528926</v>
      </c>
      <c r="Y36" s="62">
        <f t="shared" si="27"/>
        <v>0.0033729338842975205</v>
      </c>
      <c r="Z36" s="58">
        <f t="shared" si="28"/>
        <v>0.08037577293558314</v>
      </c>
      <c r="AA36" s="26">
        <v>17865</v>
      </c>
      <c r="AB36" s="62">
        <f t="shared" si="3"/>
        <v>0.09227789256198347</v>
      </c>
      <c r="AC36" s="62">
        <f t="shared" si="4"/>
        <v>0.04870351239669422</v>
      </c>
      <c r="AD36" s="62">
        <f t="shared" si="29"/>
        <v>0.16383445062956814</v>
      </c>
      <c r="AE36" s="26">
        <v>23997</v>
      </c>
      <c r="AF36" s="62">
        <f t="shared" si="5"/>
        <v>0.12395144628099174</v>
      </c>
      <c r="AG36" s="62">
        <f t="shared" si="6"/>
        <v>0.03167355371900826</v>
      </c>
      <c r="AH36" s="62">
        <f t="shared" si="30"/>
        <v>0.2122651523192867</v>
      </c>
      <c r="AI36" s="26">
        <v>23417</v>
      </c>
      <c r="AJ36" s="26">
        <v>28742</v>
      </c>
      <c r="AK36" s="62">
        <f t="shared" si="7"/>
        <v>0.12095557851239669</v>
      </c>
      <c r="AL36" s="62">
        <f t="shared" si="31"/>
        <v>0.21016307225617692</v>
      </c>
      <c r="AM36" s="58">
        <f t="shared" si="8"/>
        <v>0.1484607438016529</v>
      </c>
      <c r="AN36" s="58">
        <f t="shared" si="9"/>
        <v>0.027505165289256197</v>
      </c>
      <c r="AO36" s="58">
        <f t="shared" si="32"/>
        <v>0.2471494660085645</v>
      </c>
      <c r="AP36" s="26">
        <v>34166</v>
      </c>
      <c r="AQ36" s="58">
        <f t="shared" si="33"/>
        <v>0.17647727272727273</v>
      </c>
      <c r="AR36" s="58">
        <f t="shared" si="10"/>
        <v>0.028016528925619833</v>
      </c>
      <c r="AS36" s="58">
        <f t="shared" si="34"/>
        <v>0.28469531451807784</v>
      </c>
      <c r="AT36" s="26">
        <v>33213</v>
      </c>
      <c r="AU36" s="58">
        <f>AT36/K36</f>
        <v>0.27433116652487427</v>
      </c>
      <c r="AV36" s="58">
        <f t="shared" si="11"/>
        <v>0.1715547520661157</v>
      </c>
      <c r="AW36" s="26">
        <v>39874</v>
      </c>
      <c r="AX36" s="58">
        <f>AW36/L36</f>
        <v>0.31466224747474747</v>
      </c>
      <c r="AY36" s="58">
        <f t="shared" si="12"/>
        <v>0.03440599173553719</v>
      </c>
      <c r="AZ36" s="58">
        <f t="shared" si="13"/>
        <v>0.20596074380165288</v>
      </c>
      <c r="BA36" s="26">
        <v>42655</v>
      </c>
      <c r="BB36" s="58">
        <f>BA36/M36</f>
        <v>0.3250152392563243</v>
      </c>
      <c r="BC36" s="58">
        <f t="shared" si="14"/>
        <v>0.014364669421487604</v>
      </c>
      <c r="BD36" s="58">
        <f t="shared" si="15"/>
        <v>0.2203254132231405</v>
      </c>
      <c r="BE36" s="26">
        <v>156740</v>
      </c>
      <c r="BF36" s="26">
        <v>47806</v>
      </c>
      <c r="BG36" s="8">
        <v>39000</v>
      </c>
      <c r="BH36" s="26">
        <v>41441</v>
      </c>
      <c r="BI36" s="58">
        <f t="shared" si="16"/>
        <v>0.2591448210065266</v>
      </c>
      <c r="BJ36" s="58">
        <f t="shared" si="17"/>
        <v>0.026606404958677686</v>
      </c>
      <c r="BK36" s="58">
        <f t="shared" si="18"/>
        <v>0.24693181818181817</v>
      </c>
      <c r="BL36" s="26">
        <v>41441</v>
      </c>
      <c r="BM36" s="58">
        <f t="shared" si="19"/>
        <v>0.22464168780762808</v>
      </c>
      <c r="BN36" s="58">
        <f t="shared" si="20"/>
        <v>0.2140547520661157</v>
      </c>
    </row>
    <row r="37" spans="1:66" ht="24.75" customHeight="1">
      <c r="A37" s="41" t="s">
        <v>3</v>
      </c>
      <c r="B37" s="6" t="s">
        <v>22</v>
      </c>
      <c r="C37" s="30">
        <f aca="true" t="shared" si="35" ref="C37:P37">C39+C40</f>
        <v>0</v>
      </c>
      <c r="D37" s="30">
        <f t="shared" si="35"/>
        <v>7135</v>
      </c>
      <c r="E37" s="30">
        <f t="shared" si="35"/>
        <v>7235</v>
      </c>
      <c r="F37" s="30">
        <f t="shared" si="35"/>
        <v>7235</v>
      </c>
      <c r="G37" s="30">
        <f t="shared" si="35"/>
        <v>7335</v>
      </c>
      <c r="H37" s="30">
        <f>H39+H40</f>
        <v>7335</v>
      </c>
      <c r="I37" s="30">
        <f>I39+I40</f>
        <v>7335</v>
      </c>
      <c r="J37" s="30">
        <f t="shared" si="35"/>
        <v>7335</v>
      </c>
      <c r="K37" s="30">
        <f t="shared" si="35"/>
        <v>7435</v>
      </c>
      <c r="L37" s="30">
        <f t="shared" si="35"/>
        <v>7435</v>
      </c>
      <c r="M37" s="30">
        <f t="shared" si="35"/>
        <v>7435</v>
      </c>
      <c r="N37" s="30">
        <f t="shared" si="35"/>
        <v>7695</v>
      </c>
      <c r="O37" s="30">
        <f t="shared" si="35"/>
        <v>5000</v>
      </c>
      <c r="P37" s="30">
        <f t="shared" si="35"/>
        <v>0</v>
      </c>
      <c r="Q37" s="50">
        <f t="shared" si="0"/>
        <v>0</v>
      </c>
      <c r="R37" s="97" t="s">
        <v>47</v>
      </c>
      <c r="S37" s="30">
        <f>S39+S40</f>
        <v>85220</v>
      </c>
      <c r="T37" s="97" t="s">
        <v>55</v>
      </c>
      <c r="U37" s="97" t="s">
        <v>55</v>
      </c>
      <c r="V37" s="97" t="s">
        <v>55</v>
      </c>
      <c r="W37" s="30">
        <f>W39+W40</f>
        <v>87698</v>
      </c>
      <c r="X37" s="97" t="s">
        <v>47</v>
      </c>
      <c r="Y37" s="54">
        <f>(W37-S37)/O37</f>
        <v>0.4956</v>
      </c>
      <c r="Z37" s="97" t="s">
        <v>47</v>
      </c>
      <c r="AA37" s="30">
        <f>AA39+AA40</f>
        <v>87698</v>
      </c>
      <c r="AB37" s="74" t="s">
        <v>55</v>
      </c>
      <c r="AC37" s="54">
        <f t="shared" si="4"/>
        <v>0</v>
      </c>
      <c r="AD37" s="74" t="s">
        <v>55</v>
      </c>
      <c r="AE37" s="30">
        <f>AE39+AE40</f>
        <v>87698</v>
      </c>
      <c r="AF37" s="74" t="s">
        <v>55</v>
      </c>
      <c r="AG37" s="54">
        <f t="shared" si="6"/>
        <v>0</v>
      </c>
      <c r="AH37" s="74" t="s">
        <v>55</v>
      </c>
      <c r="AI37" s="30">
        <f>AI39+AI40</f>
        <v>87698</v>
      </c>
      <c r="AJ37" s="30">
        <f>AJ39+AJ40</f>
        <v>87698</v>
      </c>
      <c r="AK37" s="74" t="s">
        <v>55</v>
      </c>
      <c r="AL37" s="74" t="s">
        <v>55</v>
      </c>
      <c r="AM37" s="97" t="s">
        <v>55</v>
      </c>
      <c r="AN37" s="50">
        <f t="shared" si="9"/>
        <v>0</v>
      </c>
      <c r="AO37" s="97" t="s">
        <v>55</v>
      </c>
      <c r="AP37" s="30">
        <f>AP39+AP40</f>
        <v>87698</v>
      </c>
      <c r="AQ37" s="97" t="s">
        <v>55</v>
      </c>
      <c r="AR37" s="50">
        <f t="shared" si="10"/>
        <v>0</v>
      </c>
      <c r="AS37" s="97" t="s">
        <v>55</v>
      </c>
      <c r="AT37" s="30">
        <f>AT39+AT40</f>
        <v>125072</v>
      </c>
      <c r="AU37" s="97" t="s">
        <v>55</v>
      </c>
      <c r="AV37" s="97" t="s">
        <v>55</v>
      </c>
      <c r="AW37" s="30">
        <f>AW39+AW40</f>
        <v>141374</v>
      </c>
      <c r="AX37" s="97" t="s">
        <v>55</v>
      </c>
      <c r="AY37" s="97" t="s">
        <v>55</v>
      </c>
      <c r="AZ37" s="97" t="s">
        <v>55</v>
      </c>
      <c r="BA37" s="30">
        <f>BA39+BA40</f>
        <v>141374</v>
      </c>
      <c r="BB37" s="97" t="s">
        <v>55</v>
      </c>
      <c r="BC37" s="50">
        <f t="shared" si="14"/>
        <v>0</v>
      </c>
      <c r="BD37" s="97" t="s">
        <v>55</v>
      </c>
      <c r="BE37" s="30">
        <f>BE39+BE40</f>
        <v>195609</v>
      </c>
      <c r="BF37" s="30">
        <f>BF39+BF40</f>
        <v>141374</v>
      </c>
      <c r="BG37" s="113">
        <f>BG39+BG40</f>
        <v>166925</v>
      </c>
      <c r="BH37" s="30">
        <f>BH39+BH40</f>
        <v>145810</v>
      </c>
      <c r="BI37" s="97" t="s">
        <v>55</v>
      </c>
      <c r="BJ37" s="50">
        <f t="shared" si="17"/>
        <v>0</v>
      </c>
      <c r="BK37" s="97" t="s">
        <v>55</v>
      </c>
      <c r="BL37" s="30">
        <f>BL39+BL40</f>
        <v>165820</v>
      </c>
      <c r="BM37" s="97" t="s">
        <v>55</v>
      </c>
      <c r="BN37" s="97" t="s">
        <v>55</v>
      </c>
    </row>
    <row r="38" spans="1:66" ht="14.25" customHeight="1">
      <c r="A38" s="11"/>
      <c r="B38" s="5" t="s">
        <v>12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54"/>
      <c r="R38" s="74"/>
      <c r="S38" s="31"/>
      <c r="T38" s="74"/>
      <c r="U38" s="74"/>
      <c r="V38" s="74"/>
      <c r="W38" s="31"/>
      <c r="X38" s="74"/>
      <c r="Y38" s="74"/>
      <c r="Z38" s="74"/>
      <c r="AA38" s="31"/>
      <c r="AB38" s="74"/>
      <c r="AC38" s="74"/>
      <c r="AD38" s="74"/>
      <c r="AE38" s="31"/>
      <c r="AF38" s="74"/>
      <c r="AG38" s="74"/>
      <c r="AH38" s="74"/>
      <c r="AI38" s="31"/>
      <c r="AJ38" s="31"/>
      <c r="AK38" s="74"/>
      <c r="AL38" s="74"/>
      <c r="AM38" s="54"/>
      <c r="AN38" s="54"/>
      <c r="AO38" s="54"/>
      <c r="AP38" s="31"/>
      <c r="AQ38" s="54"/>
      <c r="AR38" s="54"/>
      <c r="AS38" s="54"/>
      <c r="AT38" s="31"/>
      <c r="AU38" s="74"/>
      <c r="AV38" s="74"/>
      <c r="AW38" s="31"/>
      <c r="AX38" s="74"/>
      <c r="AY38" s="74"/>
      <c r="AZ38" s="74"/>
      <c r="BA38" s="31"/>
      <c r="BB38" s="74"/>
      <c r="BC38" s="74"/>
      <c r="BD38" s="74"/>
      <c r="BE38" s="31"/>
      <c r="BF38" s="31"/>
      <c r="BG38" s="117"/>
      <c r="BH38" s="31"/>
      <c r="BI38" s="74"/>
      <c r="BJ38" s="74"/>
      <c r="BK38" s="74"/>
      <c r="BL38" s="31"/>
      <c r="BM38" s="74"/>
      <c r="BN38" s="74"/>
    </row>
    <row r="39" spans="1:66" ht="16.5" customHeight="1">
      <c r="A39" s="11"/>
      <c r="B39" s="16" t="s">
        <v>29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160</v>
      </c>
      <c r="O39" s="27">
        <v>0</v>
      </c>
      <c r="P39" s="27"/>
      <c r="Q39" s="75" t="s">
        <v>47</v>
      </c>
      <c r="R39" s="75" t="s">
        <v>47</v>
      </c>
      <c r="S39" s="27">
        <v>0</v>
      </c>
      <c r="T39" s="75" t="s">
        <v>47</v>
      </c>
      <c r="U39" s="75" t="s">
        <v>47</v>
      </c>
      <c r="V39" s="75" t="s">
        <v>47</v>
      </c>
      <c r="W39" s="27">
        <v>0</v>
      </c>
      <c r="X39" s="75" t="s">
        <v>47</v>
      </c>
      <c r="Y39" s="73" t="s">
        <v>47</v>
      </c>
      <c r="Z39" s="75" t="s">
        <v>47</v>
      </c>
      <c r="AA39" s="27">
        <v>0</v>
      </c>
      <c r="AB39" s="73" t="s">
        <v>47</v>
      </c>
      <c r="AC39" s="73" t="s">
        <v>47</v>
      </c>
      <c r="AD39" s="73" t="s">
        <v>47</v>
      </c>
      <c r="AE39" s="27"/>
      <c r="AF39" s="73" t="s">
        <v>47</v>
      </c>
      <c r="AG39" s="73" t="s">
        <v>47</v>
      </c>
      <c r="AH39" s="73" t="s">
        <v>47</v>
      </c>
      <c r="AI39" s="27">
        <v>0</v>
      </c>
      <c r="AJ39" s="27">
        <v>0</v>
      </c>
      <c r="AK39" s="73" t="s">
        <v>47</v>
      </c>
      <c r="AL39" s="73" t="s">
        <v>47</v>
      </c>
      <c r="AM39" s="73" t="s">
        <v>94</v>
      </c>
      <c r="AN39" s="73" t="s">
        <v>94</v>
      </c>
      <c r="AO39" s="73" t="s">
        <v>94</v>
      </c>
      <c r="AP39" s="27">
        <v>0</v>
      </c>
      <c r="AQ39" s="73" t="s">
        <v>47</v>
      </c>
      <c r="AR39" s="73" t="s">
        <v>47</v>
      </c>
      <c r="AS39" s="73" t="s">
        <v>47</v>
      </c>
      <c r="AT39" s="27">
        <v>0</v>
      </c>
      <c r="AU39" s="73" t="s">
        <v>47</v>
      </c>
      <c r="AV39" s="73" t="s">
        <v>47</v>
      </c>
      <c r="AW39" s="27">
        <v>7343</v>
      </c>
      <c r="AX39" s="73" t="s">
        <v>47</v>
      </c>
      <c r="AY39" s="73" t="s">
        <v>47</v>
      </c>
      <c r="AZ39" s="73" t="s">
        <v>47</v>
      </c>
      <c r="BA39" s="27">
        <v>7343</v>
      </c>
      <c r="BB39" s="75" t="s">
        <v>47</v>
      </c>
      <c r="BC39" s="75" t="s">
        <v>47</v>
      </c>
      <c r="BD39" s="75" t="s">
        <v>47</v>
      </c>
      <c r="BE39" s="27">
        <v>38737</v>
      </c>
      <c r="BF39" s="27">
        <v>7343</v>
      </c>
      <c r="BG39" s="107">
        <v>10053</v>
      </c>
      <c r="BH39" s="27">
        <v>7343</v>
      </c>
      <c r="BI39" s="75" t="s">
        <v>55</v>
      </c>
      <c r="BJ39" s="75" t="s">
        <v>47</v>
      </c>
      <c r="BK39" s="75" t="s">
        <v>47</v>
      </c>
      <c r="BL39" s="27">
        <v>27354</v>
      </c>
      <c r="BM39" s="75" t="s">
        <v>55</v>
      </c>
      <c r="BN39" s="75" t="s">
        <v>47</v>
      </c>
    </row>
    <row r="40" spans="1:66" ht="16.5" customHeight="1" thickBot="1">
      <c r="A40" s="11"/>
      <c r="B40" s="12" t="s">
        <v>23</v>
      </c>
      <c r="C40" s="29">
        <v>0</v>
      </c>
      <c r="D40" s="29">
        <v>7135</v>
      </c>
      <c r="E40" s="29">
        <v>7235</v>
      </c>
      <c r="F40" s="29">
        <v>7235</v>
      </c>
      <c r="G40" s="29">
        <v>7335</v>
      </c>
      <c r="H40" s="29">
        <v>7335</v>
      </c>
      <c r="I40" s="29">
        <v>7335</v>
      </c>
      <c r="J40" s="29">
        <v>7335</v>
      </c>
      <c r="K40" s="29">
        <v>7435</v>
      </c>
      <c r="L40" s="29">
        <v>7435</v>
      </c>
      <c r="M40" s="29">
        <v>7435</v>
      </c>
      <c r="N40" s="29">
        <v>7535</v>
      </c>
      <c r="O40" s="29">
        <v>5000</v>
      </c>
      <c r="P40" s="29"/>
      <c r="Q40" s="57">
        <f t="shared" si="0"/>
        <v>0</v>
      </c>
      <c r="R40" s="101" t="s">
        <v>47</v>
      </c>
      <c r="S40" s="29">
        <v>85220</v>
      </c>
      <c r="T40" s="101" t="s">
        <v>55</v>
      </c>
      <c r="U40" s="101" t="s">
        <v>55</v>
      </c>
      <c r="V40" s="101" t="s">
        <v>55</v>
      </c>
      <c r="W40" s="29">
        <v>87698</v>
      </c>
      <c r="X40" s="101" t="s">
        <v>47</v>
      </c>
      <c r="Y40" s="76">
        <f>(W40-S40)/O40</f>
        <v>0.4956</v>
      </c>
      <c r="Z40" s="103" t="s">
        <v>47</v>
      </c>
      <c r="AA40" s="29">
        <v>87698</v>
      </c>
      <c r="AB40" s="76" t="s">
        <v>55</v>
      </c>
      <c r="AC40" s="53">
        <f t="shared" si="4"/>
        <v>0</v>
      </c>
      <c r="AD40" s="76" t="s">
        <v>55</v>
      </c>
      <c r="AE40" s="29">
        <v>87698</v>
      </c>
      <c r="AF40" s="76" t="s">
        <v>55</v>
      </c>
      <c r="AG40" s="53">
        <f t="shared" si="6"/>
        <v>0</v>
      </c>
      <c r="AH40" s="76" t="s">
        <v>55</v>
      </c>
      <c r="AI40" s="29">
        <v>87698</v>
      </c>
      <c r="AJ40" s="29">
        <v>87698</v>
      </c>
      <c r="AK40" s="76" t="s">
        <v>55</v>
      </c>
      <c r="AL40" s="76" t="s">
        <v>55</v>
      </c>
      <c r="AM40" s="101" t="s">
        <v>55</v>
      </c>
      <c r="AN40" s="57">
        <f t="shared" si="9"/>
        <v>0</v>
      </c>
      <c r="AO40" s="101" t="s">
        <v>55</v>
      </c>
      <c r="AP40" s="29">
        <v>87698</v>
      </c>
      <c r="AQ40" s="101" t="s">
        <v>55</v>
      </c>
      <c r="AR40" s="57">
        <f t="shared" si="10"/>
        <v>0</v>
      </c>
      <c r="AS40" s="101" t="s">
        <v>55</v>
      </c>
      <c r="AT40" s="29">
        <v>125072</v>
      </c>
      <c r="AU40" s="101" t="s">
        <v>55</v>
      </c>
      <c r="AV40" s="101" t="s">
        <v>55</v>
      </c>
      <c r="AW40" s="29">
        <v>134031</v>
      </c>
      <c r="AX40" s="101" t="s">
        <v>55</v>
      </c>
      <c r="AY40" s="101" t="s">
        <v>55</v>
      </c>
      <c r="AZ40" s="101" t="s">
        <v>55</v>
      </c>
      <c r="BA40" s="29">
        <v>134031</v>
      </c>
      <c r="BB40" s="101" t="s">
        <v>55</v>
      </c>
      <c r="BC40" s="57">
        <f t="shared" si="14"/>
        <v>0</v>
      </c>
      <c r="BD40" s="101" t="s">
        <v>55</v>
      </c>
      <c r="BE40" s="29">
        <v>156872</v>
      </c>
      <c r="BF40" s="29">
        <v>134031</v>
      </c>
      <c r="BG40" s="114">
        <v>156872</v>
      </c>
      <c r="BH40" s="29">
        <v>138467</v>
      </c>
      <c r="BI40" s="101" t="s">
        <v>55</v>
      </c>
      <c r="BJ40" s="57">
        <f t="shared" si="17"/>
        <v>0</v>
      </c>
      <c r="BK40" s="101" t="s">
        <v>55</v>
      </c>
      <c r="BL40" s="29">
        <v>138466</v>
      </c>
      <c r="BM40" s="101" t="s">
        <v>55</v>
      </c>
      <c r="BN40" s="101" t="s">
        <v>55</v>
      </c>
    </row>
    <row r="41" spans="1:66" ht="24" customHeight="1">
      <c r="A41" s="24" t="s">
        <v>4</v>
      </c>
      <c r="B41" s="1" t="s">
        <v>24</v>
      </c>
      <c r="C41" s="31">
        <f aca="true" t="shared" si="36" ref="C41:P41">C43+C44</f>
        <v>1051</v>
      </c>
      <c r="D41" s="31">
        <f t="shared" si="36"/>
        <v>2032</v>
      </c>
      <c r="E41" s="31">
        <f t="shared" si="36"/>
        <v>5871</v>
      </c>
      <c r="F41" s="31">
        <f t="shared" si="36"/>
        <v>6920</v>
      </c>
      <c r="G41" s="31">
        <f t="shared" si="36"/>
        <v>8081</v>
      </c>
      <c r="H41" s="31">
        <f>H43+H44</f>
        <v>9058</v>
      </c>
      <c r="I41" s="31">
        <f>I43+I44</f>
        <v>10203</v>
      </c>
      <c r="J41" s="31">
        <f t="shared" si="36"/>
        <v>11213</v>
      </c>
      <c r="K41" s="31">
        <f t="shared" si="36"/>
        <v>23947</v>
      </c>
      <c r="L41" s="31">
        <f t="shared" si="36"/>
        <v>25667</v>
      </c>
      <c r="M41" s="31">
        <f t="shared" si="36"/>
        <v>26099</v>
      </c>
      <c r="N41" s="31">
        <f t="shared" si="36"/>
        <v>39137</v>
      </c>
      <c r="O41" s="31">
        <f t="shared" si="36"/>
        <v>58000</v>
      </c>
      <c r="P41" s="31">
        <f t="shared" si="36"/>
        <v>6214</v>
      </c>
      <c r="Q41" s="54">
        <f t="shared" si="0"/>
        <v>0.10713793103448276</v>
      </c>
      <c r="R41" s="74" t="s">
        <v>55</v>
      </c>
      <c r="S41" s="31">
        <f>S43+S44</f>
        <v>10148</v>
      </c>
      <c r="T41" s="54">
        <f t="shared" si="1"/>
        <v>0.17496551724137932</v>
      </c>
      <c r="U41" s="54">
        <f t="shared" si="2"/>
        <v>0.06782758620689655</v>
      </c>
      <c r="V41" s="74" t="s">
        <v>55</v>
      </c>
      <c r="W41" s="31">
        <f>W43+W44</f>
        <v>12715</v>
      </c>
      <c r="X41" s="54">
        <f>W41/O41</f>
        <v>0.21922413793103449</v>
      </c>
      <c r="Y41" s="50">
        <f>(W41-S41)/O41</f>
        <v>0.04425862068965517</v>
      </c>
      <c r="Z41" s="50">
        <f>W41/E41</f>
        <v>2.1657298586271505</v>
      </c>
      <c r="AA41" s="31">
        <f>AA43+AA44</f>
        <v>18291</v>
      </c>
      <c r="AB41" s="50">
        <f t="shared" si="3"/>
        <v>0.3153620689655172</v>
      </c>
      <c r="AC41" s="50">
        <f t="shared" si="4"/>
        <v>0.09613793103448276</v>
      </c>
      <c r="AD41" s="50">
        <f>AA41/F41</f>
        <v>2.643208092485549</v>
      </c>
      <c r="AE41" s="31">
        <f>AE43+AE44</f>
        <v>20951</v>
      </c>
      <c r="AF41" s="50">
        <f t="shared" si="5"/>
        <v>0.3612241379310345</v>
      </c>
      <c r="AG41" s="50">
        <f t="shared" si="6"/>
        <v>0.04586206896551724</v>
      </c>
      <c r="AH41" s="50">
        <f>AE41/G41</f>
        <v>2.592624675163965</v>
      </c>
      <c r="AI41" s="31">
        <f>AI43+AI44</f>
        <v>23293</v>
      </c>
      <c r="AJ41" s="31">
        <f>AJ43+AJ44</f>
        <v>25743</v>
      </c>
      <c r="AK41" s="50">
        <f t="shared" si="7"/>
        <v>0.4016034482758621</v>
      </c>
      <c r="AL41" s="50">
        <f>AI41/H41</f>
        <v>2.5715389710752925</v>
      </c>
      <c r="AM41" s="54">
        <f t="shared" si="8"/>
        <v>0.4438448275862069</v>
      </c>
      <c r="AN41" s="54">
        <f t="shared" si="9"/>
        <v>0.04224137931034483</v>
      </c>
      <c r="AO41" s="54">
        <f>AJ41/I41</f>
        <v>2.523081446633343</v>
      </c>
      <c r="AP41" s="31">
        <f>AP43+AP44</f>
        <v>28019</v>
      </c>
      <c r="AQ41" s="54">
        <f>AP41/O41</f>
        <v>0.48308620689655174</v>
      </c>
      <c r="AR41" s="54">
        <f t="shared" si="10"/>
        <v>0.039241379310344826</v>
      </c>
      <c r="AS41" s="54">
        <f>AP41/J41</f>
        <v>2.498796040310354</v>
      </c>
      <c r="AT41" s="31">
        <f>AT43+AT44</f>
        <v>30255</v>
      </c>
      <c r="AU41" s="54">
        <f>AT41/K41</f>
        <v>1.2634150415500898</v>
      </c>
      <c r="AV41" s="54">
        <f t="shared" si="11"/>
        <v>0.5216379310344827</v>
      </c>
      <c r="AW41" s="31">
        <f>AW43+AW44</f>
        <v>32531</v>
      </c>
      <c r="AX41" s="54">
        <f>AW41/L41</f>
        <v>1.2674250983753457</v>
      </c>
      <c r="AY41" s="54">
        <f t="shared" si="12"/>
        <v>0.039241379310344826</v>
      </c>
      <c r="AZ41" s="54">
        <f t="shared" si="13"/>
        <v>0.5608793103448276</v>
      </c>
      <c r="BA41" s="31">
        <f>BA43+BA44</f>
        <v>34838</v>
      </c>
      <c r="BB41" s="54">
        <f>BA41/M41</f>
        <v>1.334840415341584</v>
      </c>
      <c r="BC41" s="54">
        <f t="shared" si="14"/>
        <v>0.039775862068965516</v>
      </c>
      <c r="BD41" s="54">
        <f t="shared" si="15"/>
        <v>0.6006551724137931</v>
      </c>
      <c r="BE41" s="31">
        <f>BE43+BE44</f>
        <v>61000</v>
      </c>
      <c r="BF41" s="31">
        <f>BF43+BF44</f>
        <v>44656</v>
      </c>
      <c r="BG41" s="117">
        <f>BG43+BG44</f>
        <v>50500</v>
      </c>
      <c r="BH41" s="31">
        <f>BH43+BH44</f>
        <v>44720</v>
      </c>
      <c r="BI41" s="54">
        <f t="shared" si="16"/>
        <v>1.1410174515164677</v>
      </c>
      <c r="BJ41" s="54">
        <f t="shared" si="17"/>
        <v>0.16927586206896553</v>
      </c>
      <c r="BK41" s="54">
        <f t="shared" si="18"/>
        <v>0.7699310344827586</v>
      </c>
      <c r="BL41" s="31">
        <f>BL43+BL44</f>
        <v>44983</v>
      </c>
      <c r="BM41" s="54">
        <f t="shared" si="19"/>
        <v>1.149372716355367</v>
      </c>
      <c r="BN41" s="54">
        <f t="shared" si="20"/>
        <v>0.7755689655172414</v>
      </c>
    </row>
    <row r="42" spans="1:66" ht="14.25" customHeight="1">
      <c r="A42" s="11"/>
      <c r="B42" s="2" t="s">
        <v>12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54"/>
      <c r="R42" s="54"/>
      <c r="S42" s="31"/>
      <c r="T42" s="54"/>
      <c r="U42" s="54"/>
      <c r="V42" s="54"/>
      <c r="W42" s="31"/>
      <c r="X42" s="54"/>
      <c r="Y42" s="54"/>
      <c r="Z42" s="54"/>
      <c r="AA42" s="31"/>
      <c r="AB42" s="54"/>
      <c r="AC42" s="54"/>
      <c r="AD42" s="54"/>
      <c r="AE42" s="31"/>
      <c r="AF42" s="54"/>
      <c r="AG42" s="54"/>
      <c r="AH42" s="54"/>
      <c r="AI42" s="31"/>
      <c r="AJ42" s="31"/>
      <c r="AK42" s="54"/>
      <c r="AL42" s="54"/>
      <c r="AM42" s="54"/>
      <c r="AN42" s="54"/>
      <c r="AO42" s="54"/>
      <c r="AP42" s="31"/>
      <c r="AQ42" s="54"/>
      <c r="AR42" s="54"/>
      <c r="AS42" s="54"/>
      <c r="AT42" s="31"/>
      <c r="AU42" s="54"/>
      <c r="AV42" s="54"/>
      <c r="AW42" s="31"/>
      <c r="AX42" s="54"/>
      <c r="AY42" s="54"/>
      <c r="AZ42" s="54"/>
      <c r="BA42" s="31"/>
      <c r="BB42" s="54"/>
      <c r="BC42" s="54"/>
      <c r="BD42" s="54"/>
      <c r="BE42" s="31"/>
      <c r="BF42" s="31"/>
      <c r="BG42" s="117"/>
      <c r="BH42" s="31"/>
      <c r="BI42" s="54"/>
      <c r="BJ42" s="54"/>
      <c r="BK42" s="54"/>
      <c r="BL42" s="31"/>
      <c r="BM42" s="54"/>
      <c r="BN42" s="54"/>
    </row>
    <row r="43" spans="1:66" ht="16.5" customHeight="1">
      <c r="A43" s="11"/>
      <c r="B43" s="67" t="s">
        <v>29</v>
      </c>
      <c r="C43" s="27">
        <f>494+530</f>
        <v>1024</v>
      </c>
      <c r="D43" s="27">
        <v>1950</v>
      </c>
      <c r="E43" s="27">
        <v>5786</v>
      </c>
      <c r="F43" s="27">
        <v>6835</v>
      </c>
      <c r="G43" s="27">
        <v>7996</v>
      </c>
      <c r="H43" s="27">
        <v>8973</v>
      </c>
      <c r="I43" s="27">
        <v>10118</v>
      </c>
      <c r="J43" s="27">
        <v>11128</v>
      </c>
      <c r="K43" s="27">
        <v>23819</v>
      </c>
      <c r="L43" s="27">
        <v>25539</v>
      </c>
      <c r="M43" s="27">
        <v>25970</v>
      </c>
      <c r="N43" s="27">
        <v>38953</v>
      </c>
      <c r="O43" s="27">
        <v>57000</v>
      </c>
      <c r="P43" s="27">
        <f>3793+2416</f>
        <v>6209</v>
      </c>
      <c r="Q43" s="51">
        <f t="shared" si="0"/>
        <v>0.10892982456140352</v>
      </c>
      <c r="R43" s="75" t="s">
        <v>55</v>
      </c>
      <c r="S43" s="27">
        <v>10077</v>
      </c>
      <c r="T43" s="51">
        <f t="shared" si="1"/>
        <v>0.17678947368421052</v>
      </c>
      <c r="U43" s="51">
        <f t="shared" si="2"/>
        <v>0.06785964912280702</v>
      </c>
      <c r="V43" s="75" t="s">
        <v>55</v>
      </c>
      <c r="W43" s="27">
        <v>12644</v>
      </c>
      <c r="X43" s="51">
        <f>W43/O43</f>
        <v>0.22182456140350879</v>
      </c>
      <c r="Y43" s="51">
        <f>(W43-S43)/O43</f>
        <v>0.04503508771929825</v>
      </c>
      <c r="Z43" s="51">
        <f>W43/E43</f>
        <v>2.185274801244383</v>
      </c>
      <c r="AA43" s="27">
        <v>18220</v>
      </c>
      <c r="AB43" s="51">
        <f t="shared" si="3"/>
        <v>0.3196491228070175</v>
      </c>
      <c r="AC43" s="51">
        <f t="shared" si="4"/>
        <v>0.09782456140350877</v>
      </c>
      <c r="AD43" s="51">
        <f>AA43/F43</f>
        <v>2.6656912948061446</v>
      </c>
      <c r="AE43" s="27">
        <v>20880</v>
      </c>
      <c r="AF43" s="51">
        <f t="shared" si="5"/>
        <v>0.3663157894736842</v>
      </c>
      <c r="AG43" s="51">
        <f t="shared" si="6"/>
        <v>0.04666666666666667</v>
      </c>
      <c r="AH43" s="51">
        <f>AE43/G43</f>
        <v>2.611305652826413</v>
      </c>
      <c r="AI43" s="27">
        <v>23193</v>
      </c>
      <c r="AJ43" s="27">
        <f>21943+3643</f>
        <v>25586</v>
      </c>
      <c r="AK43" s="51">
        <f t="shared" si="7"/>
        <v>0.40689473684210525</v>
      </c>
      <c r="AL43" s="51">
        <f>AI43/H43</f>
        <v>2.584754262788365</v>
      </c>
      <c r="AM43" s="51">
        <f t="shared" si="8"/>
        <v>0.44887719298245615</v>
      </c>
      <c r="AN43" s="51">
        <f t="shared" si="9"/>
        <v>0.04198245614035088</v>
      </c>
      <c r="AO43" s="51">
        <f>AJ43/I43</f>
        <v>2.5287606246293732</v>
      </c>
      <c r="AP43" s="27">
        <v>27862</v>
      </c>
      <c r="AQ43" s="51">
        <f>AP43/O43</f>
        <v>0.48880701754385963</v>
      </c>
      <c r="AR43" s="51">
        <f t="shared" si="10"/>
        <v>0.03992982456140351</v>
      </c>
      <c r="AS43" s="51">
        <f>AP43/J43</f>
        <v>2.5037742631200577</v>
      </c>
      <c r="AT43" s="27">
        <v>30098</v>
      </c>
      <c r="AU43" s="51">
        <f>AT43/K43</f>
        <v>1.2636130819933666</v>
      </c>
      <c r="AV43" s="51">
        <f t="shared" si="11"/>
        <v>0.5280350877192982</v>
      </c>
      <c r="AW43" s="27">
        <v>32374</v>
      </c>
      <c r="AX43" s="51">
        <f>AW43/L43</f>
        <v>1.2676298993695916</v>
      </c>
      <c r="AY43" s="51">
        <f t="shared" si="12"/>
        <v>0.03992982456140351</v>
      </c>
      <c r="AZ43" s="51">
        <f t="shared" si="13"/>
        <v>0.5679649122807018</v>
      </c>
      <c r="BA43" s="27">
        <v>34681</v>
      </c>
      <c r="BB43" s="51">
        <f>BA43/M43</f>
        <v>1.3354254909510974</v>
      </c>
      <c r="BC43" s="51">
        <f t="shared" si="14"/>
        <v>0.040473684210526314</v>
      </c>
      <c r="BD43" s="51">
        <f t="shared" si="15"/>
        <v>0.6084385964912281</v>
      </c>
      <c r="BE43" s="27">
        <v>60000</v>
      </c>
      <c r="BF43" s="27">
        <v>44467</v>
      </c>
      <c r="BG43" s="107">
        <v>49500</v>
      </c>
      <c r="BH43" s="27">
        <v>44531</v>
      </c>
      <c r="BI43" s="51">
        <f t="shared" si="16"/>
        <v>1.1415552075578261</v>
      </c>
      <c r="BJ43" s="51">
        <f t="shared" si="17"/>
        <v>0.1716842105263158</v>
      </c>
      <c r="BK43" s="51">
        <f t="shared" si="18"/>
        <v>0.7801228070175439</v>
      </c>
      <c r="BL43" s="27">
        <v>44794</v>
      </c>
      <c r="BM43" s="51">
        <f t="shared" si="19"/>
        <v>1.1499499396708854</v>
      </c>
      <c r="BN43" s="51">
        <f t="shared" si="20"/>
        <v>0.785859649122807</v>
      </c>
    </row>
    <row r="44" spans="1:66" ht="16.5" customHeight="1" thickBot="1">
      <c r="A44" s="21"/>
      <c r="B44" s="69" t="s">
        <v>25</v>
      </c>
      <c r="C44" s="29">
        <v>27</v>
      </c>
      <c r="D44" s="29">
        <v>82</v>
      </c>
      <c r="E44" s="29">
        <v>85</v>
      </c>
      <c r="F44" s="29">
        <v>85</v>
      </c>
      <c r="G44" s="29">
        <v>85</v>
      </c>
      <c r="H44" s="29">
        <v>85</v>
      </c>
      <c r="I44" s="29">
        <v>85</v>
      </c>
      <c r="J44" s="29">
        <v>85</v>
      </c>
      <c r="K44" s="29">
        <v>128</v>
      </c>
      <c r="L44" s="29">
        <v>128</v>
      </c>
      <c r="M44" s="29">
        <v>129</v>
      </c>
      <c r="N44" s="29">
        <v>184</v>
      </c>
      <c r="O44" s="29">
        <v>1000</v>
      </c>
      <c r="P44" s="29">
        <v>5</v>
      </c>
      <c r="Q44" s="57">
        <f t="shared" si="0"/>
        <v>0.005</v>
      </c>
      <c r="R44" s="57">
        <f>P44/C44</f>
        <v>0.18518518518518517</v>
      </c>
      <c r="S44" s="29">
        <v>71</v>
      </c>
      <c r="T44" s="57">
        <f t="shared" si="1"/>
        <v>0.071</v>
      </c>
      <c r="U44" s="57">
        <f t="shared" si="2"/>
        <v>0.066</v>
      </c>
      <c r="V44" s="57">
        <f>S44/D44</f>
        <v>0.8658536585365854</v>
      </c>
      <c r="W44" s="29">
        <v>71</v>
      </c>
      <c r="X44" s="57">
        <f>W44/O44</f>
        <v>0.071</v>
      </c>
      <c r="Y44" s="57">
        <f>(W44-S44)/O44</f>
        <v>0</v>
      </c>
      <c r="Z44" s="57">
        <f>W44/E44</f>
        <v>0.8352941176470589</v>
      </c>
      <c r="AA44" s="29">
        <v>71</v>
      </c>
      <c r="AB44" s="57">
        <f t="shared" si="3"/>
        <v>0.071</v>
      </c>
      <c r="AC44" s="57">
        <f t="shared" si="4"/>
        <v>0</v>
      </c>
      <c r="AD44" s="57">
        <f>AA44/F44</f>
        <v>0.8352941176470589</v>
      </c>
      <c r="AE44" s="29">
        <v>71</v>
      </c>
      <c r="AF44" s="57">
        <f t="shared" si="5"/>
        <v>0.071</v>
      </c>
      <c r="AG44" s="57">
        <f t="shared" si="6"/>
        <v>0</v>
      </c>
      <c r="AH44" s="57">
        <f>AE44/G44</f>
        <v>0.8352941176470589</v>
      </c>
      <c r="AI44" s="29">
        <v>100</v>
      </c>
      <c r="AJ44" s="29">
        <v>157</v>
      </c>
      <c r="AK44" s="57">
        <f t="shared" si="7"/>
        <v>0.1</v>
      </c>
      <c r="AL44" s="57">
        <f>AI44/H44</f>
        <v>1.1764705882352942</v>
      </c>
      <c r="AM44" s="57">
        <f t="shared" si="8"/>
        <v>0.157</v>
      </c>
      <c r="AN44" s="57">
        <f t="shared" si="9"/>
        <v>0.057</v>
      </c>
      <c r="AO44" s="57">
        <f>AJ44/I44</f>
        <v>1.8470588235294119</v>
      </c>
      <c r="AP44" s="29">
        <v>157</v>
      </c>
      <c r="AQ44" s="57">
        <f>AP44/O44</f>
        <v>0.157</v>
      </c>
      <c r="AR44" s="57">
        <f t="shared" si="10"/>
        <v>0</v>
      </c>
      <c r="AS44" s="57">
        <f>AP44/J44</f>
        <v>1.8470588235294119</v>
      </c>
      <c r="AT44" s="29">
        <v>157</v>
      </c>
      <c r="AU44" s="57">
        <f>AT44/K44</f>
        <v>1.2265625</v>
      </c>
      <c r="AV44" s="57">
        <f t="shared" si="11"/>
        <v>0.157</v>
      </c>
      <c r="AW44" s="29">
        <v>157</v>
      </c>
      <c r="AX44" s="57">
        <f>AW44/L44</f>
        <v>1.2265625</v>
      </c>
      <c r="AY44" s="57">
        <f t="shared" si="12"/>
        <v>0</v>
      </c>
      <c r="AZ44" s="57">
        <f t="shared" si="13"/>
        <v>0.157</v>
      </c>
      <c r="BA44" s="29">
        <v>157</v>
      </c>
      <c r="BB44" s="57">
        <f>BA44/M44</f>
        <v>1.2170542635658914</v>
      </c>
      <c r="BC44" s="57">
        <f t="shared" si="14"/>
        <v>0</v>
      </c>
      <c r="BD44" s="57">
        <f t="shared" si="15"/>
        <v>0.157</v>
      </c>
      <c r="BE44" s="29">
        <v>1000</v>
      </c>
      <c r="BF44" s="29">
        <v>189</v>
      </c>
      <c r="BG44" s="114">
        <v>1000</v>
      </c>
      <c r="BH44" s="29">
        <v>189</v>
      </c>
      <c r="BI44" s="57">
        <f t="shared" si="16"/>
        <v>1.0271739130434783</v>
      </c>
      <c r="BJ44" s="57">
        <f t="shared" si="17"/>
        <v>0.032</v>
      </c>
      <c r="BK44" s="57">
        <f t="shared" si="18"/>
        <v>0.189</v>
      </c>
      <c r="BL44" s="29">
        <v>189</v>
      </c>
      <c r="BM44" s="57">
        <f t="shared" si="19"/>
        <v>1.0271739130434783</v>
      </c>
      <c r="BN44" s="57">
        <f t="shared" si="20"/>
        <v>0.189</v>
      </c>
    </row>
    <row r="45" spans="1:66" ht="25.5" customHeight="1">
      <c r="A45" s="41" t="s">
        <v>5</v>
      </c>
      <c r="B45" s="1" t="s">
        <v>40</v>
      </c>
      <c r="C45" s="31">
        <f aca="true" t="shared" si="37" ref="C45:P45">C47+C48</f>
        <v>0</v>
      </c>
      <c r="D45" s="31">
        <f t="shared" si="37"/>
        <v>0</v>
      </c>
      <c r="E45" s="31">
        <f t="shared" si="37"/>
        <v>0</v>
      </c>
      <c r="F45" s="31">
        <f t="shared" si="37"/>
        <v>0</v>
      </c>
      <c r="G45" s="31">
        <f t="shared" si="37"/>
        <v>0</v>
      </c>
      <c r="H45" s="31">
        <f>H47+H48</f>
        <v>0</v>
      </c>
      <c r="I45" s="31">
        <f>I47+I48</f>
        <v>0</v>
      </c>
      <c r="J45" s="31">
        <f t="shared" si="37"/>
        <v>0</v>
      </c>
      <c r="K45" s="31">
        <f t="shared" si="37"/>
        <v>0</v>
      </c>
      <c r="L45" s="31">
        <f t="shared" si="37"/>
        <v>0</v>
      </c>
      <c r="M45" s="31">
        <f t="shared" si="37"/>
        <v>0</v>
      </c>
      <c r="N45" s="31">
        <f t="shared" si="37"/>
        <v>0</v>
      </c>
      <c r="O45" s="31">
        <f t="shared" si="37"/>
        <v>0</v>
      </c>
      <c r="P45" s="31">
        <f t="shared" si="37"/>
        <v>0</v>
      </c>
      <c r="Q45" s="74" t="s">
        <v>47</v>
      </c>
      <c r="R45" s="74" t="s">
        <v>47</v>
      </c>
      <c r="S45" s="31">
        <f>S47+S48</f>
        <v>0</v>
      </c>
      <c r="T45" s="74" t="s">
        <v>47</v>
      </c>
      <c r="U45" s="74" t="s">
        <v>47</v>
      </c>
      <c r="V45" s="74" t="s">
        <v>47</v>
      </c>
      <c r="W45" s="31">
        <f>W47+W48</f>
        <v>0</v>
      </c>
      <c r="X45" s="74" t="s">
        <v>47</v>
      </c>
      <c r="Y45" s="97" t="s">
        <v>47</v>
      </c>
      <c r="Z45" s="97" t="s">
        <v>47</v>
      </c>
      <c r="AA45" s="31">
        <f>AA47+AA48</f>
        <v>0</v>
      </c>
      <c r="AB45" s="97" t="s">
        <v>47</v>
      </c>
      <c r="AC45" s="97" t="s">
        <v>47</v>
      </c>
      <c r="AD45" s="97" t="s">
        <v>47</v>
      </c>
      <c r="AE45" s="31">
        <f>AE47+AE48</f>
        <v>0</v>
      </c>
      <c r="AF45" s="97" t="s">
        <v>47</v>
      </c>
      <c r="AG45" s="97" t="s">
        <v>47</v>
      </c>
      <c r="AH45" s="97" t="s">
        <v>47</v>
      </c>
      <c r="AI45" s="31">
        <f>AI47+AI48</f>
        <v>0</v>
      </c>
      <c r="AJ45" s="31">
        <f>AJ47+AJ48</f>
        <v>0</v>
      </c>
      <c r="AK45" s="97" t="s">
        <v>47</v>
      </c>
      <c r="AL45" s="97" t="s">
        <v>47</v>
      </c>
      <c r="AM45" s="74" t="s">
        <v>94</v>
      </c>
      <c r="AN45" s="74" t="s">
        <v>94</v>
      </c>
      <c r="AO45" s="74" t="s">
        <v>94</v>
      </c>
      <c r="AP45" s="31">
        <f>AP47+AP48</f>
        <v>0</v>
      </c>
      <c r="AQ45" s="74" t="s">
        <v>47</v>
      </c>
      <c r="AR45" s="74" t="s">
        <v>47</v>
      </c>
      <c r="AS45" s="74" t="s">
        <v>47</v>
      </c>
      <c r="AT45" s="31">
        <f>AT47+AT48</f>
        <v>0</v>
      </c>
      <c r="AU45" s="74" t="s">
        <v>47</v>
      </c>
      <c r="AV45" s="74" t="s">
        <v>47</v>
      </c>
      <c r="AW45" s="31">
        <f>AW47+AW48</f>
        <v>8875</v>
      </c>
      <c r="AX45" s="74" t="s">
        <v>47</v>
      </c>
      <c r="AY45" s="74" t="s">
        <v>47</v>
      </c>
      <c r="AZ45" s="74" t="s">
        <v>47</v>
      </c>
      <c r="BA45" s="31">
        <f>BA47+BA48</f>
        <v>8875</v>
      </c>
      <c r="BB45" s="74" t="s">
        <v>47</v>
      </c>
      <c r="BC45" s="74" t="s">
        <v>47</v>
      </c>
      <c r="BD45" s="74" t="s">
        <v>47</v>
      </c>
      <c r="BE45" s="31">
        <f>BE47+BE48</f>
        <v>8875</v>
      </c>
      <c r="BF45" s="31">
        <f>BF47+BF48</f>
        <v>8875</v>
      </c>
      <c r="BG45" s="117">
        <f>BG47+BG48</f>
        <v>8875</v>
      </c>
      <c r="BH45" s="31">
        <f>BH47+BH48</f>
        <v>8875</v>
      </c>
      <c r="BI45" s="74" t="s">
        <v>47</v>
      </c>
      <c r="BJ45" s="74" t="s">
        <v>47</v>
      </c>
      <c r="BK45" s="74" t="s">
        <v>47</v>
      </c>
      <c r="BL45" s="31">
        <f>BL47+BL48</f>
        <v>8875</v>
      </c>
      <c r="BM45" s="74" t="s">
        <v>47</v>
      </c>
      <c r="BN45" s="74" t="s">
        <v>47</v>
      </c>
    </row>
    <row r="46" spans="1:66" ht="14.25" customHeight="1">
      <c r="A46" s="11"/>
      <c r="B46" s="68" t="s">
        <v>12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51"/>
      <c r="R46" s="51"/>
      <c r="S46" s="27"/>
      <c r="T46" s="51"/>
      <c r="U46" s="51"/>
      <c r="V46" s="51"/>
      <c r="W46" s="27"/>
      <c r="X46" s="51"/>
      <c r="Y46" s="51"/>
      <c r="Z46" s="51"/>
      <c r="AA46" s="27"/>
      <c r="AB46" s="51"/>
      <c r="AC46" s="51"/>
      <c r="AD46" s="51"/>
      <c r="AE46" s="27"/>
      <c r="AF46" s="51"/>
      <c r="AG46" s="51"/>
      <c r="AH46" s="51"/>
      <c r="AI46" s="27"/>
      <c r="AJ46" s="27"/>
      <c r="AK46" s="51"/>
      <c r="AL46" s="51"/>
      <c r="AM46" s="51"/>
      <c r="AN46" s="51"/>
      <c r="AO46" s="51"/>
      <c r="AP46" s="27"/>
      <c r="AQ46" s="51"/>
      <c r="AR46" s="51"/>
      <c r="AS46" s="51"/>
      <c r="AT46" s="27"/>
      <c r="AU46" s="51"/>
      <c r="AV46" s="51"/>
      <c r="AW46" s="27"/>
      <c r="AX46" s="51"/>
      <c r="AY46" s="51"/>
      <c r="AZ46" s="51"/>
      <c r="BA46" s="27"/>
      <c r="BB46" s="51"/>
      <c r="BC46" s="51"/>
      <c r="BD46" s="51"/>
      <c r="BE46" s="27"/>
      <c r="BF46" s="27"/>
      <c r="BG46" s="107"/>
      <c r="BH46" s="27"/>
      <c r="BI46" s="51"/>
      <c r="BJ46" s="51"/>
      <c r="BK46" s="51"/>
      <c r="BL46" s="27"/>
      <c r="BM46" s="51"/>
      <c r="BN46" s="51"/>
    </row>
    <row r="47" spans="1:66" ht="16.5" customHeight="1">
      <c r="A47" s="11"/>
      <c r="B47" s="70" t="s">
        <v>44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73" t="s">
        <v>47</v>
      </c>
      <c r="R47" s="73" t="s">
        <v>47</v>
      </c>
      <c r="S47" s="36">
        <v>0</v>
      </c>
      <c r="T47" s="73" t="s">
        <v>47</v>
      </c>
      <c r="U47" s="73" t="s">
        <v>47</v>
      </c>
      <c r="V47" s="73" t="s">
        <v>47</v>
      </c>
      <c r="W47" s="36">
        <v>0</v>
      </c>
      <c r="X47" s="73" t="s">
        <v>47</v>
      </c>
      <c r="Y47" s="75" t="s">
        <v>47</v>
      </c>
      <c r="Z47" s="75" t="s">
        <v>47</v>
      </c>
      <c r="AA47" s="36">
        <v>0</v>
      </c>
      <c r="AB47" s="75" t="s">
        <v>47</v>
      </c>
      <c r="AC47" s="75" t="s">
        <v>47</v>
      </c>
      <c r="AD47" s="75" t="s">
        <v>47</v>
      </c>
      <c r="AE47" s="36">
        <v>0</v>
      </c>
      <c r="AF47" s="75" t="s">
        <v>47</v>
      </c>
      <c r="AG47" s="75" t="s">
        <v>47</v>
      </c>
      <c r="AH47" s="75" t="s">
        <v>47</v>
      </c>
      <c r="AI47" s="36">
        <v>0</v>
      </c>
      <c r="AJ47" s="36">
        <v>0</v>
      </c>
      <c r="AK47" s="75" t="s">
        <v>47</v>
      </c>
      <c r="AL47" s="75" t="s">
        <v>47</v>
      </c>
      <c r="AM47" s="73" t="s">
        <v>47</v>
      </c>
      <c r="AN47" s="73" t="s">
        <v>47</v>
      </c>
      <c r="AO47" s="73" t="s">
        <v>47</v>
      </c>
      <c r="AP47" s="36">
        <v>0</v>
      </c>
      <c r="AQ47" s="73" t="s">
        <v>47</v>
      </c>
      <c r="AR47" s="73" t="s">
        <v>47</v>
      </c>
      <c r="AS47" s="73" t="s">
        <v>47</v>
      </c>
      <c r="AT47" s="36">
        <v>0</v>
      </c>
      <c r="AU47" s="73" t="s">
        <v>47</v>
      </c>
      <c r="AV47" s="73" t="s">
        <v>47</v>
      </c>
      <c r="AW47" s="36">
        <v>8875</v>
      </c>
      <c r="AX47" s="73" t="s">
        <v>47</v>
      </c>
      <c r="AY47" s="73" t="s">
        <v>47</v>
      </c>
      <c r="AZ47" s="73" t="s">
        <v>47</v>
      </c>
      <c r="BA47" s="36">
        <v>8875</v>
      </c>
      <c r="BB47" s="73" t="s">
        <v>47</v>
      </c>
      <c r="BC47" s="73" t="s">
        <v>47</v>
      </c>
      <c r="BD47" s="73" t="s">
        <v>47</v>
      </c>
      <c r="BE47" s="36">
        <v>8875</v>
      </c>
      <c r="BF47" s="36">
        <v>8875</v>
      </c>
      <c r="BG47" s="108">
        <v>8875</v>
      </c>
      <c r="BH47" s="36">
        <v>8875</v>
      </c>
      <c r="BI47" s="73" t="s">
        <v>47</v>
      </c>
      <c r="BJ47" s="73" t="s">
        <v>47</v>
      </c>
      <c r="BK47" s="73" t="s">
        <v>47</v>
      </c>
      <c r="BL47" s="36">
        <v>8875</v>
      </c>
      <c r="BM47" s="73" t="s">
        <v>47</v>
      </c>
      <c r="BN47" s="73" t="s">
        <v>47</v>
      </c>
    </row>
    <row r="48" spans="1:66" ht="16.5" customHeight="1" thickBot="1">
      <c r="A48" s="21"/>
      <c r="B48" s="72" t="s">
        <v>25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76" t="s">
        <v>47</v>
      </c>
      <c r="R48" s="76" t="s">
        <v>47</v>
      </c>
      <c r="S48" s="33">
        <v>0</v>
      </c>
      <c r="T48" s="76" t="s">
        <v>47</v>
      </c>
      <c r="U48" s="76" t="s">
        <v>47</v>
      </c>
      <c r="V48" s="76" t="s">
        <v>47</v>
      </c>
      <c r="W48" s="33">
        <v>0</v>
      </c>
      <c r="X48" s="76" t="s">
        <v>47</v>
      </c>
      <c r="Y48" s="101" t="s">
        <v>47</v>
      </c>
      <c r="Z48" s="101" t="s">
        <v>47</v>
      </c>
      <c r="AA48" s="33">
        <v>0</v>
      </c>
      <c r="AB48" s="101" t="s">
        <v>47</v>
      </c>
      <c r="AC48" s="101" t="s">
        <v>47</v>
      </c>
      <c r="AD48" s="101" t="s">
        <v>47</v>
      </c>
      <c r="AE48" s="33">
        <v>0</v>
      </c>
      <c r="AF48" s="101" t="s">
        <v>47</v>
      </c>
      <c r="AG48" s="101" t="s">
        <v>47</v>
      </c>
      <c r="AH48" s="101" t="s">
        <v>47</v>
      </c>
      <c r="AI48" s="33">
        <v>0</v>
      </c>
      <c r="AJ48" s="33">
        <v>0</v>
      </c>
      <c r="AK48" s="101" t="s">
        <v>47</v>
      </c>
      <c r="AL48" s="101" t="s">
        <v>47</v>
      </c>
      <c r="AM48" s="76" t="s">
        <v>47</v>
      </c>
      <c r="AN48" s="76" t="s">
        <v>47</v>
      </c>
      <c r="AO48" s="76" t="s">
        <v>47</v>
      </c>
      <c r="AP48" s="33">
        <v>0</v>
      </c>
      <c r="AQ48" s="76" t="s">
        <v>47</v>
      </c>
      <c r="AR48" s="76" t="s">
        <v>47</v>
      </c>
      <c r="AS48" s="76" t="s">
        <v>47</v>
      </c>
      <c r="AT48" s="33">
        <v>0</v>
      </c>
      <c r="AU48" s="76" t="s">
        <v>47</v>
      </c>
      <c r="AV48" s="76" t="s">
        <v>47</v>
      </c>
      <c r="AW48" s="33">
        <v>0</v>
      </c>
      <c r="AX48" s="76" t="s">
        <v>47</v>
      </c>
      <c r="AY48" s="76" t="s">
        <v>47</v>
      </c>
      <c r="AZ48" s="76" t="s">
        <v>47</v>
      </c>
      <c r="BA48" s="33">
        <v>0</v>
      </c>
      <c r="BB48" s="76" t="s">
        <v>47</v>
      </c>
      <c r="BC48" s="76" t="s">
        <v>47</v>
      </c>
      <c r="BD48" s="76" t="s">
        <v>47</v>
      </c>
      <c r="BE48" s="33">
        <v>0</v>
      </c>
      <c r="BF48" s="33">
        <v>0</v>
      </c>
      <c r="BG48" s="109">
        <v>0</v>
      </c>
      <c r="BH48" s="33">
        <v>0</v>
      </c>
      <c r="BI48" s="76" t="s">
        <v>47</v>
      </c>
      <c r="BJ48" s="76" t="s">
        <v>47</v>
      </c>
      <c r="BK48" s="76" t="s">
        <v>47</v>
      </c>
      <c r="BL48" s="33">
        <v>0</v>
      </c>
      <c r="BM48" s="76" t="s">
        <v>47</v>
      </c>
      <c r="BN48" s="76" t="s">
        <v>47</v>
      </c>
    </row>
    <row r="49" spans="1:66" ht="16.5" customHeight="1" thickBot="1">
      <c r="A49" s="41" t="s">
        <v>6</v>
      </c>
      <c r="B49" s="71" t="s">
        <v>26</v>
      </c>
      <c r="C49" s="25">
        <v>163</v>
      </c>
      <c r="D49" s="25">
        <v>162</v>
      </c>
      <c r="E49" s="25">
        <v>463</v>
      </c>
      <c r="F49" s="25">
        <v>463</v>
      </c>
      <c r="G49" s="25">
        <v>676</v>
      </c>
      <c r="H49" s="25">
        <v>689</v>
      </c>
      <c r="I49" s="25">
        <v>688</v>
      </c>
      <c r="J49" s="25">
        <v>689</v>
      </c>
      <c r="K49" s="25">
        <v>689</v>
      </c>
      <c r="L49" s="25">
        <v>689</v>
      </c>
      <c r="M49" s="25">
        <v>773</v>
      </c>
      <c r="N49" s="25">
        <v>773</v>
      </c>
      <c r="O49" s="25">
        <v>1600</v>
      </c>
      <c r="P49" s="25">
        <v>4</v>
      </c>
      <c r="Q49" s="62">
        <f t="shared" si="0"/>
        <v>0.0025</v>
      </c>
      <c r="R49" s="62">
        <f>P49/C49</f>
        <v>0.024539877300613498</v>
      </c>
      <c r="S49" s="25">
        <v>4</v>
      </c>
      <c r="T49" s="62">
        <f t="shared" si="1"/>
        <v>0.0025</v>
      </c>
      <c r="U49" s="62">
        <f t="shared" si="2"/>
        <v>0</v>
      </c>
      <c r="V49" s="62">
        <f>S49/D49</f>
        <v>0.024691358024691357</v>
      </c>
      <c r="W49" s="25">
        <v>24</v>
      </c>
      <c r="X49" s="62">
        <f>W49/O49</f>
        <v>0.015</v>
      </c>
      <c r="Y49" s="62">
        <f>(W49-S49)/O49</f>
        <v>0.0125</v>
      </c>
      <c r="Z49" s="62">
        <f>W49/E49</f>
        <v>0.05183585313174946</v>
      </c>
      <c r="AA49" s="25">
        <v>247</v>
      </c>
      <c r="AB49" s="62">
        <f t="shared" si="3"/>
        <v>0.154375</v>
      </c>
      <c r="AC49" s="62">
        <f t="shared" si="4"/>
        <v>0.139375</v>
      </c>
      <c r="AD49" s="62">
        <f>AA49/F49</f>
        <v>0.5334773218142549</v>
      </c>
      <c r="AE49" s="25">
        <v>258</v>
      </c>
      <c r="AF49" s="62">
        <f t="shared" si="5"/>
        <v>0.16125</v>
      </c>
      <c r="AG49" s="62">
        <f t="shared" si="6"/>
        <v>0.006875</v>
      </c>
      <c r="AH49" s="62">
        <f>AE49/G49</f>
        <v>0.3816568047337278</v>
      </c>
      <c r="AI49" s="25">
        <v>261</v>
      </c>
      <c r="AJ49" s="25">
        <v>261</v>
      </c>
      <c r="AK49" s="62">
        <f t="shared" si="7"/>
        <v>0.163125</v>
      </c>
      <c r="AL49" s="62">
        <f>AI49/H49</f>
        <v>0.3788098693759071</v>
      </c>
      <c r="AM49" s="62">
        <f t="shared" si="8"/>
        <v>0.163125</v>
      </c>
      <c r="AN49" s="62">
        <f t="shared" si="9"/>
        <v>0</v>
      </c>
      <c r="AO49" s="62">
        <f>AJ49/I49</f>
        <v>0.3793604651162791</v>
      </c>
      <c r="AP49" s="25">
        <v>261</v>
      </c>
      <c r="AQ49" s="62">
        <f>AP49/O49</f>
        <v>0.163125</v>
      </c>
      <c r="AR49" s="62">
        <f t="shared" si="10"/>
        <v>0</v>
      </c>
      <c r="AS49" s="62">
        <f>AP49/J49</f>
        <v>0.3788098693759071</v>
      </c>
      <c r="AT49" s="25">
        <v>261</v>
      </c>
      <c r="AU49" s="62">
        <f>AT49/K49</f>
        <v>0.3788098693759071</v>
      </c>
      <c r="AV49" s="62">
        <f t="shared" si="11"/>
        <v>0.163125</v>
      </c>
      <c r="AW49" s="25">
        <v>262</v>
      </c>
      <c r="AX49" s="62">
        <f>AW49/L49</f>
        <v>0.3802612481857765</v>
      </c>
      <c r="AY49" s="62">
        <f t="shared" si="12"/>
        <v>0.000625</v>
      </c>
      <c r="AZ49" s="62">
        <f t="shared" si="13"/>
        <v>0.16375</v>
      </c>
      <c r="BA49" s="25">
        <v>262</v>
      </c>
      <c r="BB49" s="62">
        <f>BA49/M49</f>
        <v>0.3389391979301423</v>
      </c>
      <c r="BC49" s="62">
        <f t="shared" si="14"/>
        <v>0</v>
      </c>
      <c r="BD49" s="62">
        <f t="shared" si="15"/>
        <v>0.16375</v>
      </c>
      <c r="BE49" s="25">
        <v>298</v>
      </c>
      <c r="BF49" s="25">
        <v>262</v>
      </c>
      <c r="BG49" s="106">
        <v>298</v>
      </c>
      <c r="BH49" s="25">
        <v>262</v>
      </c>
      <c r="BI49" s="62">
        <f t="shared" si="16"/>
        <v>0.3389391979301423</v>
      </c>
      <c r="BJ49" s="62">
        <f t="shared" si="17"/>
        <v>0</v>
      </c>
      <c r="BK49" s="62">
        <f t="shared" si="18"/>
        <v>0.16375</v>
      </c>
      <c r="BL49" s="25">
        <v>263</v>
      </c>
      <c r="BM49" s="62">
        <f t="shared" si="19"/>
        <v>0.34023285899094435</v>
      </c>
      <c r="BN49" s="62">
        <f t="shared" si="20"/>
        <v>0.164375</v>
      </c>
    </row>
    <row r="50" spans="1:66" ht="16.5" customHeight="1" thickBot="1">
      <c r="A50" s="43" t="s">
        <v>7</v>
      </c>
      <c r="B50" s="45" t="s">
        <v>27</v>
      </c>
      <c r="C50" s="31">
        <v>0</v>
      </c>
      <c r="D50" s="31">
        <v>0</v>
      </c>
      <c r="E50" s="31">
        <v>109</v>
      </c>
      <c r="F50" s="31">
        <v>109</v>
      </c>
      <c r="G50" s="31">
        <v>109</v>
      </c>
      <c r="H50" s="31">
        <v>109</v>
      </c>
      <c r="I50" s="31">
        <v>123</v>
      </c>
      <c r="J50" s="31">
        <v>124</v>
      </c>
      <c r="K50" s="31">
        <v>180</v>
      </c>
      <c r="L50" s="31">
        <v>180</v>
      </c>
      <c r="M50" s="31">
        <v>124</v>
      </c>
      <c r="N50" s="31">
        <v>328</v>
      </c>
      <c r="O50" s="31">
        <v>270</v>
      </c>
      <c r="P50" s="31">
        <v>0</v>
      </c>
      <c r="Q50" s="54">
        <f t="shared" si="0"/>
        <v>0</v>
      </c>
      <c r="R50" s="74" t="s">
        <v>47</v>
      </c>
      <c r="S50" s="31">
        <v>0</v>
      </c>
      <c r="T50" s="54">
        <f t="shared" si="1"/>
        <v>0</v>
      </c>
      <c r="U50" s="54">
        <f t="shared" si="2"/>
        <v>0</v>
      </c>
      <c r="V50" s="74" t="s">
        <v>47</v>
      </c>
      <c r="W50" s="31">
        <v>0</v>
      </c>
      <c r="X50" s="54">
        <f>W50/O50</f>
        <v>0</v>
      </c>
      <c r="Y50" s="62">
        <f>(W50-S50)/O50</f>
        <v>0</v>
      </c>
      <c r="Z50" s="54">
        <f>W50/E50</f>
        <v>0</v>
      </c>
      <c r="AA50" s="31">
        <v>0</v>
      </c>
      <c r="AB50" s="62">
        <f t="shared" si="3"/>
        <v>0</v>
      </c>
      <c r="AC50" s="62">
        <f t="shared" si="4"/>
        <v>0</v>
      </c>
      <c r="AD50" s="62">
        <f>AA50/F50</f>
        <v>0</v>
      </c>
      <c r="AE50" s="31">
        <v>0</v>
      </c>
      <c r="AF50" s="62">
        <f t="shared" si="5"/>
        <v>0</v>
      </c>
      <c r="AG50" s="62">
        <f t="shared" si="6"/>
        <v>0</v>
      </c>
      <c r="AH50" s="62">
        <f>AE50/G50</f>
        <v>0</v>
      </c>
      <c r="AI50" s="31">
        <v>0</v>
      </c>
      <c r="AJ50" s="31">
        <v>0</v>
      </c>
      <c r="AK50" s="62">
        <f t="shared" si="7"/>
        <v>0</v>
      </c>
      <c r="AL50" s="62">
        <f>AI50/H50</f>
        <v>0</v>
      </c>
      <c r="AM50" s="54">
        <f t="shared" si="8"/>
        <v>0</v>
      </c>
      <c r="AN50" s="54">
        <f t="shared" si="9"/>
        <v>0</v>
      </c>
      <c r="AO50" s="54">
        <f>AJ50/I50</f>
        <v>0</v>
      </c>
      <c r="AP50" s="31">
        <v>0</v>
      </c>
      <c r="AQ50" s="54">
        <f>AP50/O50</f>
        <v>0</v>
      </c>
      <c r="AR50" s="54">
        <f t="shared" si="10"/>
        <v>0</v>
      </c>
      <c r="AS50" s="54">
        <f>AP50/J50</f>
        <v>0</v>
      </c>
      <c r="AT50" s="31">
        <v>0</v>
      </c>
      <c r="AU50" s="54">
        <f>AT50/K50</f>
        <v>0</v>
      </c>
      <c r="AV50" s="54">
        <f t="shared" si="11"/>
        <v>0</v>
      </c>
      <c r="AW50" s="31">
        <v>0</v>
      </c>
      <c r="AX50" s="54">
        <f>AW50/L50</f>
        <v>0</v>
      </c>
      <c r="AY50" s="54">
        <f t="shared" si="12"/>
        <v>0</v>
      </c>
      <c r="AZ50" s="54">
        <f t="shared" si="13"/>
        <v>0</v>
      </c>
      <c r="BA50" s="31">
        <v>0</v>
      </c>
      <c r="BB50" s="54">
        <f>BA50/M50</f>
        <v>0</v>
      </c>
      <c r="BC50" s="54">
        <f t="shared" si="14"/>
        <v>0</v>
      </c>
      <c r="BD50" s="54">
        <f t="shared" si="15"/>
        <v>0</v>
      </c>
      <c r="BE50" s="31">
        <v>0</v>
      </c>
      <c r="BF50" s="31">
        <v>0</v>
      </c>
      <c r="BG50" s="117">
        <v>0</v>
      </c>
      <c r="BH50" s="31">
        <v>0</v>
      </c>
      <c r="BI50" s="54">
        <f t="shared" si="16"/>
        <v>0</v>
      </c>
      <c r="BJ50" s="54">
        <f t="shared" si="17"/>
        <v>0</v>
      </c>
      <c r="BK50" s="54">
        <f t="shared" si="18"/>
        <v>0</v>
      </c>
      <c r="BL50" s="31">
        <v>0</v>
      </c>
      <c r="BM50" s="54">
        <f t="shared" si="19"/>
        <v>0</v>
      </c>
      <c r="BN50" s="54">
        <f t="shared" si="20"/>
        <v>0</v>
      </c>
    </row>
    <row r="51" spans="1:66" ht="22.5" customHeight="1" thickBot="1">
      <c r="A51" s="44" t="s">
        <v>8</v>
      </c>
      <c r="B51" s="39" t="s">
        <v>28</v>
      </c>
      <c r="C51" s="8">
        <f>C29+C36+C37+C41+C45+C49+C50</f>
        <v>137514</v>
      </c>
      <c r="D51" s="8">
        <f>D29+D36+D37+D41+D45+D49+D50</f>
        <v>186170</v>
      </c>
      <c r="E51" s="8">
        <f>E29+E36+E37+E41+E45+E49+E50</f>
        <v>225316</v>
      </c>
      <c r="F51" s="8">
        <f>F29+F36+F37+F41+F45+F49+F50</f>
        <v>263830</v>
      </c>
      <c r="G51" s="8">
        <f>G29+G36+G37+G41+G45+G49+G50</f>
        <v>306908</v>
      </c>
      <c r="H51" s="8">
        <f>H29+H36+H37+H41+H45+H49+H50</f>
        <v>340588</v>
      </c>
      <c r="I51" s="8">
        <f>I29+I36+I37+I41+I45+I49+I50</f>
        <v>384982</v>
      </c>
      <c r="J51" s="8">
        <f>J29+J36+J37+J41+J45+J49+J50</f>
        <v>425300</v>
      </c>
      <c r="K51" s="8">
        <f>K29+K36+K37+K41+K45+K49+K50</f>
        <v>473094</v>
      </c>
      <c r="L51" s="8">
        <f>L29+L36+L37+L41+L45+L49+L50</f>
        <v>518505</v>
      </c>
      <c r="M51" s="8">
        <f>M29+M36+M37+M41+M45+M49+M50</f>
        <v>556431</v>
      </c>
      <c r="N51" s="8">
        <f>N29+N36+N37+N41+N45+N49+N50</f>
        <v>659455</v>
      </c>
      <c r="O51" s="8">
        <f>O29+O36+O37+O41+O45+O49+O50</f>
        <v>658920</v>
      </c>
      <c r="P51" s="8">
        <f>P29+P36+P37+P41+P45+P49+P50</f>
        <v>49614</v>
      </c>
      <c r="Q51" s="63">
        <f t="shared" si="0"/>
        <v>0.07529593880896011</v>
      </c>
      <c r="R51" s="63">
        <f>P51/C51</f>
        <v>0.3607923556874209</v>
      </c>
      <c r="S51" s="8">
        <f>S29+S36+S37+S41+S45+S49+S50</f>
        <v>177518</v>
      </c>
      <c r="T51" s="63">
        <f t="shared" si="1"/>
        <v>0.2694075153281127</v>
      </c>
      <c r="U51" s="63">
        <f t="shared" si="2"/>
        <v>0.19411157651915256</v>
      </c>
      <c r="V51" s="63">
        <f>S51/D51</f>
        <v>0.9535263468872536</v>
      </c>
      <c r="W51" s="8">
        <f>W29+W36+W37+W41+W45+W49+W50</f>
        <v>214587</v>
      </c>
      <c r="X51" s="63">
        <f>W51/O51</f>
        <v>0.32566472409397196</v>
      </c>
      <c r="Y51" s="63">
        <f>(W51-S51)/O51</f>
        <v>0.05625720876585928</v>
      </c>
      <c r="Z51" s="63">
        <f>W51/E51</f>
        <v>0.9523824317846935</v>
      </c>
      <c r="AA51" s="8">
        <f>AA29+AA36+AA37+AA41+AA45+AA49+AA50</f>
        <v>260164</v>
      </c>
      <c r="AB51" s="63">
        <f t="shared" si="3"/>
        <v>0.39483397073999876</v>
      </c>
      <c r="AC51" s="63">
        <f t="shared" si="4"/>
        <v>0.06916924664602683</v>
      </c>
      <c r="AD51" s="63">
        <f>AA51/F51</f>
        <v>0.9861046886252511</v>
      </c>
      <c r="AE51" s="8">
        <f>AE29+AE36+AE37+AE41+AE45+AE49+AE50</f>
        <v>299724</v>
      </c>
      <c r="AF51" s="63">
        <f t="shared" si="5"/>
        <v>0.45487160808595883</v>
      </c>
      <c r="AG51" s="63">
        <f t="shared" si="6"/>
        <v>0.06003763734596006</v>
      </c>
      <c r="AH51" s="63">
        <f>AE51/G51</f>
        <v>0.9765923338590066</v>
      </c>
      <c r="AI51" s="8">
        <f>AI29+AI36+AI37+AI41+AI45+AI49+AI50</f>
        <v>329748</v>
      </c>
      <c r="AJ51" s="8">
        <f>AJ29+AJ36+AJ37+AJ41+AJ45+AJ49+AJ50</f>
        <v>370958</v>
      </c>
      <c r="AK51" s="63">
        <f t="shared" si="7"/>
        <v>0.5004370788563103</v>
      </c>
      <c r="AL51" s="63">
        <f>AI51/H51</f>
        <v>0.9681726895838961</v>
      </c>
      <c r="AM51" s="63">
        <f t="shared" si="8"/>
        <v>0.5629788138165482</v>
      </c>
      <c r="AN51" s="63">
        <f t="shared" si="9"/>
        <v>0.06254173496023796</v>
      </c>
      <c r="AO51" s="63">
        <f>AJ51/I51</f>
        <v>0.9635723228618481</v>
      </c>
      <c r="AP51" s="8">
        <f>AP29+AP36+AP37+AP41+AP45+AP49+AP50</f>
        <v>407857</v>
      </c>
      <c r="AQ51" s="63">
        <f>AP51/O51</f>
        <v>0.6189780246463911</v>
      </c>
      <c r="AR51" s="63">
        <f t="shared" si="10"/>
        <v>0.05599921082984277</v>
      </c>
      <c r="AS51" s="63">
        <f>AP51/J51</f>
        <v>0.9589865976957441</v>
      </c>
      <c r="AT51" s="8">
        <f>AT29+AT36+AT37+AT41+AT45+AT49+AT50</f>
        <v>474462</v>
      </c>
      <c r="AU51" s="63">
        <f>AT51/K51</f>
        <v>1.0028916029372599</v>
      </c>
      <c r="AV51" s="63">
        <f t="shared" si="11"/>
        <v>0.7200600983427426</v>
      </c>
      <c r="AW51" s="8">
        <f>AW29+AW36+AW37+AW41+AW45+AW49+AW50</f>
        <v>538050</v>
      </c>
      <c r="AX51" s="63">
        <f>AW51/L51</f>
        <v>1.037694911331617</v>
      </c>
      <c r="AY51" s="63">
        <f t="shared" si="12"/>
        <v>0.09650336914951739</v>
      </c>
      <c r="AZ51" s="63">
        <f t="shared" si="13"/>
        <v>0.81656346749226</v>
      </c>
      <c r="BA51" s="8">
        <f>BA29+BA36+BA37+BA41+BA45+BA49+BA50</f>
        <v>576896</v>
      </c>
      <c r="BB51" s="63">
        <f>BA51/M51</f>
        <v>1.0367790435831217</v>
      </c>
      <c r="BC51" s="63">
        <f t="shared" si="14"/>
        <v>0.0589540460146907</v>
      </c>
      <c r="BD51" s="63">
        <f t="shared" si="15"/>
        <v>0.8755175135069507</v>
      </c>
      <c r="BE51" s="8">
        <f>BE29+BE36+BE37+BE41+BE45+BE49+BE50</f>
        <v>790322</v>
      </c>
      <c r="BF51" s="8">
        <f>BF29+BF36+BF37+BF41+BF45+BF49+BF50</f>
        <v>622795</v>
      </c>
      <c r="BG51" s="8">
        <f>BG29+BG36+BG37+BG41+BG45+BG49+BG50</f>
        <v>641398</v>
      </c>
      <c r="BH51" s="8">
        <f>BH29+BH36+BH37+BH41+BH45+BH49+BH50</f>
        <v>620745</v>
      </c>
      <c r="BI51" s="63">
        <f t="shared" si="16"/>
        <v>0.9444086404682654</v>
      </c>
      <c r="BJ51" s="63">
        <f t="shared" si="17"/>
        <v>0.06965792508954045</v>
      </c>
      <c r="BK51" s="63">
        <f t="shared" si="18"/>
        <v>0.9451754385964912</v>
      </c>
      <c r="BL51" s="8">
        <f>BL29+BL36+BL37+BL41+BL45+BL49+BL50</f>
        <v>646562</v>
      </c>
      <c r="BM51" s="63">
        <f t="shared" si="19"/>
        <v>0.9804490071346794</v>
      </c>
      <c r="BN51" s="63">
        <f t="shared" si="20"/>
        <v>0.9812450676865173</v>
      </c>
    </row>
  </sheetData>
  <printOptions horizontalCentered="1"/>
  <pageMargins left="0.3937007874015748" right="0.3937007874015748" top="0.5905511811023623" bottom="0.3937007874015748" header="0.3937007874015748" footer="0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2004-04-16T11:17:02Z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