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<sst xmlns="http://schemas.openxmlformats.org/spreadsheetml/2006/main" count="50" uniqueCount="44">
  <si>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Príloha č. 5</t>
  </si>
  <si>
    <t>Prehľad žiadostí o platbu na EK a porovnanie so záväzkami 2004 a 2005</t>
  </si>
  <si>
    <t>Programový dokument</t>
  </si>
  <si>
    <t>Počet žiadostí na EK</t>
  </si>
  <si>
    <t>Podiel žiadostí na EK na záväzku 2004-zálohové platby v %</t>
  </si>
  <si>
    <t>Podiel žiadostí na EK na záväzku 2005</t>
  </si>
  <si>
    <t>EÚ zdroje</t>
  </si>
  <si>
    <t xml:space="preserve">SOP Priemysel a služby </t>
  </si>
  <si>
    <t xml:space="preserve">SOP Ľudské zdroje </t>
  </si>
  <si>
    <t xml:space="preserve">SOP Poľnoh. a rozvoj vidieka </t>
  </si>
  <si>
    <t xml:space="preserve">OP Základná infraštruktúra </t>
  </si>
  <si>
    <t>Spolu</t>
  </si>
  <si>
    <t>* v rámci Interreg PL-SR nebola vyplatená zálohová platba v oprávnenej výške, v opačnom prípade by bol záv. 2004 znížený o výšku zálohy vyčerpaný. Podmienka n+2 bola bez ohľadu na túto skutočnosť splnená, lebo Poľská republika predložila žiadosť o platbu na EK v potrebnej výške</t>
  </si>
  <si>
    <t>Zdroj: MF SR</t>
  </si>
  <si>
    <t>v €</t>
  </si>
  <si>
    <t>Záväzok 2005  (potrebné vyčerpať do 31. 12. 2007)</t>
  </si>
  <si>
    <t>Záväzok 2004 - zálohové platby (potrebné vyčerpať do
 31. 12. 2006)</t>
  </si>
  <si>
    <t>Maximálna suma o ktorú sa pre Slovenskú republiku znížil záväzok 2004 *</t>
  </si>
  <si>
    <t>Celková suma, ktorú je potrebné predložiť na EK pre vyčerpanie záväzku 2005</t>
  </si>
  <si>
    <t>ps</t>
  </si>
  <si>
    <t>lz</t>
  </si>
  <si>
    <t>prv</t>
  </si>
  <si>
    <t>op zi</t>
  </si>
  <si>
    <t>c2</t>
  </si>
  <si>
    <t>c3</t>
  </si>
  <si>
    <t>at/sr</t>
  </si>
  <si>
    <t>pl/sr</t>
  </si>
  <si>
    <t>sr/cr</t>
  </si>
  <si>
    <t>h-sr-u</t>
  </si>
  <si>
    <t>equal</t>
  </si>
  <si>
    <t>spolu</t>
  </si>
  <si>
    <t>záv. 2005</t>
  </si>
  <si>
    <t>čerpanie</t>
  </si>
  <si>
    <t>ZP</t>
  </si>
  <si>
    <t>záv. 2004</t>
  </si>
  <si>
    <t>potrebné vyčerpnať</t>
  </si>
  <si>
    <t>JPD NUTS II BA Cieľ 2</t>
  </si>
  <si>
    <t>JPD NUTS II BA Cieľ  3</t>
  </si>
  <si>
    <t>IS INTERREG IIIA RA-SR</t>
  </si>
  <si>
    <t>IS INTERREG IIIA PL-SR*</t>
  </si>
  <si>
    <t>IS INTERREG IIIA SR-ČR</t>
  </si>
  <si>
    <t>IS INTERREG IIIA H-SR-Ukr</t>
  </si>
  <si>
    <t>IS Equal</t>
  </si>
  <si>
    <t>Výška žiadostí o platbu na EK v € zaslaných do 30. 6. 2007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</si>
</sst>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  <numFmt numFmtId="165" formatCode="_-* #,##0.000\ _S_k_-;\-* #,##0.000\ _S_k_-;_-* &quot;-&quot;??\ _S_k_-;_-@_-"/>
    <numFmt numFmtId="166" formatCode="_-* #,##0.0000\ _S_k_-;\-* #,##0.0000\ _S_k_-;_-* &quot;-&quot;??\ _S_k_-;_-@_-"/>
    <numFmt numFmtId="167" formatCode="_-* #,##0.0\ _S_k_-;\-* #,##0.0\ _S_k_-;_-* &quot;-&quot;??\ _S_k_-;_-@_-"/>
    <numFmt numFmtId="168" formatCode="_-* #,##0\ _S_k_-;\-* #,##0\ _S_k_-;_-* &quot;-&quot;??\ _S_k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3" fontId="4" fillId="0" borderId="4" xfId="0" applyNumberFormat="1" applyFont="1" applyBorder="1" applyAlignment="1">
      <alignment wrapText="1"/>
    </xf>
    <xf numFmtId="3" fontId="4" fillId="0" borderId="4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2" fillId="2" borderId="3" xfId="0" applyFont="1" applyFill="1" applyBorder="1" applyAlignment="1">
      <alignment horizontal="left" wrapText="1"/>
    </xf>
    <xf numFmtId="3" fontId="2" fillId="2" borderId="4" xfId="0" applyNumberFormat="1" applyFont="1" applyFill="1" applyBorder="1" applyAlignment="1">
      <alignment wrapText="1"/>
    </xf>
    <xf numFmtId="4" fontId="2" fillId="2" borderId="4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3" fontId="2" fillId="2" borderId="4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3" fontId="0" fillId="0" borderId="0" xfId="0" applyNumberFormat="1" applyAlignment="1">
      <alignment/>
    </xf>
    <xf numFmtId="10" fontId="0" fillId="0" borderId="0" xfId="19" applyNumberFormat="1" applyAlignment="1">
      <alignment/>
    </xf>
    <xf numFmtId="43" fontId="0" fillId="0" borderId="0" xfId="15" applyAlignment="1">
      <alignment/>
    </xf>
    <xf numFmtId="168" fontId="0" fillId="0" borderId="0" xfId="15" applyNumberFormat="1" applyAlignment="1">
      <alignment/>
    </xf>
    <xf numFmtId="3" fontId="0" fillId="3" borderId="0" xfId="0" applyNumberFormat="1" applyFill="1" applyAlignment="1">
      <alignment/>
    </xf>
    <xf numFmtId="10" fontId="0" fillId="3" borderId="0" xfId="19" applyNumberForma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0" fontId="7" fillId="0" borderId="0" xfId="19" applyNumberFormat="1" applyFont="1" applyAlignment="1">
      <alignment/>
    </xf>
    <xf numFmtId="167" fontId="7" fillId="0" borderId="0" xfId="15" applyNumberFormat="1" applyFont="1" applyAlignment="1">
      <alignment/>
    </xf>
    <xf numFmtId="43" fontId="7" fillId="0" borderId="0" xfId="15" applyFont="1" applyAlignment="1">
      <alignment/>
    </xf>
    <xf numFmtId="4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5" zoomScaleNormal="85" workbookViewId="0" topLeftCell="A1">
      <selection activeCell="C34" sqref="C34"/>
    </sheetView>
  </sheetViews>
  <sheetFormatPr defaultColWidth="9.140625" defaultRowHeight="12.75"/>
  <cols>
    <col min="1" max="1" width="27.00390625" style="0" customWidth="1"/>
    <col min="2" max="2" width="14.57421875" style="0" customWidth="1"/>
    <col min="3" max="3" width="13.57421875" style="0" customWidth="1"/>
    <col min="4" max="4" width="12.28125" style="0" customWidth="1"/>
    <col min="5" max="5" width="16.8515625" style="0" customWidth="1"/>
    <col min="6" max="7" width="19.28125" style="0" customWidth="1"/>
    <col min="8" max="8" width="19.57421875" style="0" customWidth="1"/>
    <col min="9" max="9" width="20.140625" style="0" customWidth="1"/>
    <col min="10" max="10" width="16.8515625" style="0" bestFit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9" ht="17.25" customHeight="1">
      <c r="A2" s="30" t="s">
        <v>1</v>
      </c>
      <c r="B2" s="30"/>
      <c r="C2" s="30"/>
      <c r="D2" s="30"/>
      <c r="E2" s="30"/>
      <c r="F2" s="30"/>
      <c r="G2" s="30"/>
      <c r="I2" s="3" t="s">
        <v>14</v>
      </c>
    </row>
    <row r="3" spans="1:9" ht="102" customHeight="1">
      <c r="A3" s="1" t="s">
        <v>2</v>
      </c>
      <c r="B3" s="4" t="s">
        <v>16</v>
      </c>
      <c r="C3" s="4" t="s">
        <v>15</v>
      </c>
      <c r="D3" s="5" t="s">
        <v>3</v>
      </c>
      <c r="E3" s="4" t="s">
        <v>43</v>
      </c>
      <c r="F3" s="4" t="s">
        <v>4</v>
      </c>
      <c r="G3" s="4" t="s">
        <v>5</v>
      </c>
      <c r="H3" s="4" t="s">
        <v>17</v>
      </c>
      <c r="I3" s="1" t="s">
        <v>18</v>
      </c>
    </row>
    <row r="4" spans="1:9" ht="16.5" customHeight="1">
      <c r="A4" s="6"/>
      <c r="B4" s="7" t="s">
        <v>6</v>
      </c>
      <c r="C4" s="7" t="s">
        <v>6</v>
      </c>
      <c r="D4" s="7"/>
      <c r="E4" s="7" t="s">
        <v>6</v>
      </c>
      <c r="F4" s="7" t="s">
        <v>6</v>
      </c>
      <c r="G4" s="7" t="s">
        <v>6</v>
      </c>
      <c r="H4" s="7" t="s">
        <v>6</v>
      </c>
      <c r="I4" s="7" t="s">
        <v>6</v>
      </c>
    </row>
    <row r="5" spans="1:9" ht="20.25" customHeight="1">
      <c r="A5" s="6" t="s">
        <v>7</v>
      </c>
      <c r="B5" s="8">
        <v>11151148.72</v>
      </c>
      <c r="C5" s="8">
        <v>50478999.66</v>
      </c>
      <c r="D5" s="9">
        <v>5</v>
      </c>
      <c r="E5" s="8">
        <v>65962579.96</v>
      </c>
      <c r="F5" s="10">
        <v>100</v>
      </c>
      <c r="G5" s="10">
        <v>100</v>
      </c>
      <c r="H5" s="11">
        <v>0</v>
      </c>
      <c r="I5" s="8">
        <v>0</v>
      </c>
    </row>
    <row r="6" spans="1:9" ht="18" customHeight="1">
      <c r="A6" s="6" t="s">
        <v>8</v>
      </c>
      <c r="B6" s="8">
        <v>20979264.289209478</v>
      </c>
      <c r="C6" s="8">
        <v>94968902</v>
      </c>
      <c r="D6" s="9">
        <v>5</v>
      </c>
      <c r="E6" s="8">
        <v>111846249.17</v>
      </c>
      <c r="F6" s="10">
        <v>100</v>
      </c>
      <c r="G6" s="10">
        <v>95.68</v>
      </c>
      <c r="H6" s="11">
        <v>0</v>
      </c>
      <c r="I6" s="8">
        <v>4101917.1192094684</v>
      </c>
    </row>
    <row r="7" spans="1:9" ht="21.75" customHeight="1">
      <c r="A7" s="6" t="s">
        <v>9</v>
      </c>
      <c r="B7" s="8">
        <v>13494590.389473682</v>
      </c>
      <c r="C7" s="8">
        <v>61087288</v>
      </c>
      <c r="D7" s="9">
        <v>8</v>
      </c>
      <c r="E7" s="8">
        <v>101944400.62</v>
      </c>
      <c r="F7" s="10">
        <v>100</v>
      </c>
      <c r="G7" s="10">
        <v>100</v>
      </c>
      <c r="H7" s="11">
        <v>0</v>
      </c>
      <c r="I7" s="8">
        <v>0</v>
      </c>
    </row>
    <row r="8" spans="1:9" ht="18" customHeight="1">
      <c r="A8" s="6" t="s">
        <v>10</v>
      </c>
      <c r="B8" s="8">
        <v>31147518.684210528</v>
      </c>
      <c r="C8" s="8">
        <v>140998534</v>
      </c>
      <c r="D8" s="9">
        <v>5</v>
      </c>
      <c r="E8" s="8">
        <v>162486582.52</v>
      </c>
      <c r="F8" s="10">
        <v>100</v>
      </c>
      <c r="G8" s="10">
        <v>93.15</v>
      </c>
      <c r="H8" s="11">
        <v>0</v>
      </c>
      <c r="I8" s="8">
        <v>9659469.164210513</v>
      </c>
    </row>
    <row r="9" spans="1:9" ht="18.75" customHeight="1">
      <c r="A9" s="6" t="s">
        <v>36</v>
      </c>
      <c r="B9" s="8">
        <v>6197974.12</v>
      </c>
      <c r="C9" s="8">
        <v>12387787</v>
      </c>
      <c r="D9" s="9">
        <v>4</v>
      </c>
      <c r="E9" s="8">
        <v>9326669.16</v>
      </c>
      <c r="F9" s="10">
        <v>97.8137138462269</v>
      </c>
      <c r="G9" s="10">
        <v>26.35</v>
      </c>
      <c r="H9" s="11">
        <v>135505.45</v>
      </c>
      <c r="I9" s="8">
        <v>8942690.802105263</v>
      </c>
    </row>
    <row r="10" spans="1:9" ht="18.75" customHeight="1">
      <c r="A10" s="6" t="s">
        <v>37</v>
      </c>
      <c r="B10" s="8">
        <v>7493914.36</v>
      </c>
      <c r="C10" s="8">
        <v>14977960</v>
      </c>
      <c r="D10" s="9">
        <v>3</v>
      </c>
      <c r="E10" s="8">
        <v>6239313.91</v>
      </c>
      <c r="F10" s="10">
        <v>83.25840956100811</v>
      </c>
      <c r="G10" s="10">
        <v>0</v>
      </c>
      <c r="H10" s="11">
        <v>1254600.45</v>
      </c>
      <c r="I10" s="8">
        <v>14815788.87105263</v>
      </c>
    </row>
    <row r="11" spans="1:9" ht="18" customHeight="1">
      <c r="A11" s="6" t="s">
        <v>38</v>
      </c>
      <c r="B11" s="8">
        <v>2772687</v>
      </c>
      <c r="C11" s="8">
        <v>3096213</v>
      </c>
      <c r="D11" s="9">
        <v>3</v>
      </c>
      <c r="E11" s="8">
        <v>1736848.29</v>
      </c>
      <c r="F11" s="10">
        <v>62.641339970937935</v>
      </c>
      <c r="G11" s="10">
        <v>0</v>
      </c>
      <c r="H11" s="11">
        <v>1035838.71</v>
      </c>
      <c r="I11" s="8">
        <v>3012149.0257894737</v>
      </c>
    </row>
    <row r="12" spans="1:9" ht="18" customHeight="1">
      <c r="A12" s="6" t="s">
        <v>39</v>
      </c>
      <c r="B12" s="8">
        <v>1394628.2368421052</v>
      </c>
      <c r="C12" s="8">
        <v>3048957.39</v>
      </c>
      <c r="D12" s="9">
        <v>4</v>
      </c>
      <c r="E12" s="8">
        <v>1378540.07</v>
      </c>
      <c r="F12" s="10">
        <v>98.8464189654919</v>
      </c>
      <c r="G12" s="10">
        <v>0</v>
      </c>
      <c r="H12" s="11">
        <v>0</v>
      </c>
      <c r="I12" s="8">
        <v>3065045.166842105</v>
      </c>
    </row>
    <row r="13" spans="1:9" ht="15.75" customHeight="1">
      <c r="A13" s="6" t="s">
        <v>40</v>
      </c>
      <c r="B13" s="8">
        <v>744378.16</v>
      </c>
      <c r="C13" s="8">
        <v>1521153</v>
      </c>
      <c r="D13" s="9">
        <v>3</v>
      </c>
      <c r="E13" s="8">
        <v>928057.75</v>
      </c>
      <c r="F13" s="10">
        <v>100</v>
      </c>
      <c r="G13" s="10">
        <v>12.075024011391356</v>
      </c>
      <c r="H13" s="11">
        <v>0</v>
      </c>
      <c r="I13" s="8">
        <v>1337473.41</v>
      </c>
    </row>
    <row r="14" spans="1:9" ht="17.25" customHeight="1">
      <c r="A14" s="6" t="s">
        <v>41</v>
      </c>
      <c r="B14" s="8">
        <v>1511927.87</v>
      </c>
      <c r="C14" s="8">
        <v>3096213</v>
      </c>
      <c r="D14" s="9">
        <v>1</v>
      </c>
      <c r="E14" s="8">
        <v>1733284.16</v>
      </c>
      <c r="F14" s="10">
        <v>100</v>
      </c>
      <c r="G14" s="10">
        <v>7.149259111049525</v>
      </c>
      <c r="H14" s="11">
        <v>0</v>
      </c>
      <c r="I14" s="8">
        <v>2874856.71</v>
      </c>
    </row>
    <row r="15" spans="1:9" ht="17.25" customHeight="1">
      <c r="A15" s="6" t="s">
        <v>42</v>
      </c>
      <c r="B15" s="8">
        <v>1736972</v>
      </c>
      <c r="C15" s="8">
        <v>7432672</v>
      </c>
      <c r="D15" s="9">
        <v>2</v>
      </c>
      <c r="E15" s="8">
        <v>2629488.64</v>
      </c>
      <c r="F15" s="10">
        <v>100</v>
      </c>
      <c r="G15" s="10">
        <v>12.008018650627932</v>
      </c>
      <c r="H15" s="11">
        <v>0</v>
      </c>
      <c r="I15" s="8">
        <v>6540155.359999999</v>
      </c>
    </row>
    <row r="16" spans="1:9" ht="15.75">
      <c r="A16" s="12" t="s">
        <v>11</v>
      </c>
      <c r="B16" s="13">
        <v>98625003.82973583</v>
      </c>
      <c r="C16" s="13">
        <v>393094679.04999995</v>
      </c>
      <c r="D16" s="16">
        <v>43</v>
      </c>
      <c r="E16" s="13">
        <f>SUM(E5:E15)</f>
        <v>466212014.25000006</v>
      </c>
      <c r="F16" s="14">
        <v>94.77817112215135</v>
      </c>
      <c r="G16" s="14">
        <v>93.51</v>
      </c>
      <c r="H16" s="13">
        <v>2425944.61</v>
      </c>
      <c r="I16" s="13">
        <f>SUM(I5:I15)</f>
        <v>54349545.62920945</v>
      </c>
    </row>
    <row r="17" spans="1:8" ht="21" customHeight="1">
      <c r="A17" s="31" t="s">
        <v>12</v>
      </c>
      <c r="B17" s="31"/>
      <c r="C17" s="31"/>
      <c r="D17" s="31"/>
      <c r="E17" s="31"/>
      <c r="F17" s="31"/>
      <c r="G17" s="31"/>
      <c r="H17" s="31"/>
    </row>
    <row r="18" spans="1:8" ht="12.75">
      <c r="A18" s="32"/>
      <c r="B18" s="32"/>
      <c r="C18" s="32"/>
      <c r="D18" s="32"/>
      <c r="E18" s="32"/>
      <c r="F18" s="32"/>
      <c r="G18" s="32"/>
      <c r="H18" s="32"/>
    </row>
    <row r="19" spans="1:8" ht="12.75">
      <c r="A19" s="15" t="s">
        <v>13</v>
      </c>
      <c r="B19" s="17"/>
      <c r="C19" s="17"/>
      <c r="D19" s="17"/>
      <c r="E19" s="17"/>
      <c r="F19" s="17"/>
      <c r="G19" s="17"/>
      <c r="H19" s="17"/>
    </row>
    <row r="20" spans="2:10" ht="12.75" hidden="1">
      <c r="B20" s="2"/>
      <c r="C20" s="2"/>
      <c r="D20" s="2"/>
      <c r="E20" s="2"/>
      <c r="F20" s="2" t="s">
        <v>31</v>
      </c>
      <c r="G20" s="2" t="s">
        <v>32</v>
      </c>
      <c r="H20" s="2" t="s">
        <v>33</v>
      </c>
      <c r="I20" s="2" t="s">
        <v>34</v>
      </c>
      <c r="J20" s="2" t="s">
        <v>35</v>
      </c>
    </row>
    <row r="21" spans="3:10" ht="12.75" hidden="1">
      <c r="C21" t="s">
        <v>19</v>
      </c>
      <c r="D21" s="18">
        <f>E5-B5</f>
        <v>54811431.24</v>
      </c>
      <c r="E21" s="19">
        <f>D21/C5</f>
        <v>1.0858264151267059</v>
      </c>
      <c r="F21" s="20">
        <f>1918202000/38</f>
        <v>50479000</v>
      </c>
      <c r="G21" s="20">
        <v>65962579.96</v>
      </c>
      <c r="H21" s="20">
        <f>919360952.64/38</f>
        <v>24193709.28</v>
      </c>
      <c r="I21" s="20">
        <f>1343104604/38</f>
        <v>35344858</v>
      </c>
      <c r="J21" s="29">
        <f>F21-G21-H21+I21</f>
        <v>-4332431.240000002</v>
      </c>
    </row>
    <row r="22" spans="3:10" ht="12.75" hidden="1">
      <c r="C22" t="s">
        <v>20</v>
      </c>
      <c r="D22" s="18">
        <f>E6-B6</f>
        <v>90866984.88079053</v>
      </c>
      <c r="E22" s="19">
        <f>D22/C6</f>
        <v>0.9568077862034304</v>
      </c>
      <c r="F22" s="20">
        <f>3608818276/38</f>
        <v>94968902</v>
      </c>
      <c r="G22" s="20">
        <v>111846249.17</v>
      </c>
      <c r="H22" s="20">
        <f>1729644013.01004/38</f>
        <v>45516947.71079053</v>
      </c>
      <c r="I22" s="20">
        <f>2526856056/38</f>
        <v>66496212</v>
      </c>
      <c r="J22" s="29">
        <f aca="true" t="shared" si="0" ref="J22:J32">F22-G22-H22+I22</f>
        <v>4101917.1192094684</v>
      </c>
    </row>
    <row r="23" spans="3:10" ht="12.75" hidden="1">
      <c r="C23" t="s">
        <v>21</v>
      </c>
      <c r="D23">
        <v>100</v>
      </c>
      <c r="E23" s="21">
        <v>100</v>
      </c>
      <c r="F23" s="20">
        <f>2321316944/38</f>
        <v>61087288</v>
      </c>
      <c r="G23" s="20">
        <v>101944400.62</v>
      </c>
      <c r="H23" s="20">
        <f>1112566949.2/38</f>
        <v>29278077.610526316</v>
      </c>
      <c r="I23" s="20">
        <f>1625361384/38</f>
        <v>42772668</v>
      </c>
      <c r="J23" s="29">
        <f t="shared" si="0"/>
        <v>-27362522.230526328</v>
      </c>
    </row>
    <row r="24" spans="3:10" ht="12.75" hidden="1">
      <c r="C24" t="s">
        <v>22</v>
      </c>
      <c r="D24" s="18">
        <f>E8-B8</f>
        <v>131339063.83578949</v>
      </c>
      <c r="E24" s="19">
        <f aca="true" t="shared" si="1" ref="E24:E32">D24/C8</f>
        <v>0.9314924071181441</v>
      </c>
      <c r="F24" s="20">
        <f>5357944254/38</f>
        <v>140998533</v>
      </c>
      <c r="G24" s="20">
        <v>162486582.52</v>
      </c>
      <c r="H24" s="20">
        <f>2567969788/38</f>
        <v>67578152.31578948</v>
      </c>
      <c r="I24" s="20">
        <f>3751575498/38</f>
        <v>98725671</v>
      </c>
      <c r="J24" s="29">
        <f t="shared" si="0"/>
        <v>9659469.164210513</v>
      </c>
    </row>
    <row r="25" spans="3:10" ht="12.75" hidden="1">
      <c r="C25" t="s">
        <v>23</v>
      </c>
      <c r="D25" s="22">
        <f>(E9-B9)+H9</f>
        <v>3264200.49</v>
      </c>
      <c r="E25" s="23">
        <f t="shared" si="1"/>
        <v>0.26350150273006795</v>
      </c>
      <c r="F25" s="20">
        <f>470735906/38</f>
        <v>12387787</v>
      </c>
      <c r="G25" s="20">
        <v>9326669.16</v>
      </c>
      <c r="H25" s="20">
        <f>225982765.44/38</f>
        <v>5946914.88</v>
      </c>
      <c r="I25" s="20">
        <f>449482538/38</f>
        <v>11828487.842105264</v>
      </c>
      <c r="J25" s="29">
        <f t="shared" si="0"/>
        <v>8942690.802105263</v>
      </c>
    </row>
    <row r="26" spans="3:10" ht="12.75" hidden="1">
      <c r="C26" t="s">
        <v>24</v>
      </c>
      <c r="D26" s="22">
        <f aca="true" t="shared" si="2" ref="D26:D32">E10-B10</f>
        <v>-1254600.4500000002</v>
      </c>
      <c r="E26" s="23">
        <f t="shared" si="1"/>
        <v>-0.08376310592363714</v>
      </c>
      <c r="F26" s="20">
        <f>569162480/38</f>
        <v>14977960</v>
      </c>
      <c r="G26" s="20">
        <v>6239313.91</v>
      </c>
      <c r="H26" s="20">
        <f>273233704.32/38</f>
        <v>7190360.64</v>
      </c>
      <c r="I26" s="20">
        <f>504165130/38</f>
        <v>13267503.421052631</v>
      </c>
      <c r="J26" s="29">
        <f t="shared" si="0"/>
        <v>14815788.87105263</v>
      </c>
    </row>
    <row r="27" spans="3:10" ht="12.75" hidden="1">
      <c r="C27" t="s">
        <v>25</v>
      </c>
      <c r="D27" s="22">
        <f t="shared" si="2"/>
        <v>-1035838.71</v>
      </c>
      <c r="E27" s="23">
        <f t="shared" si="1"/>
        <v>-0.3345502102084062</v>
      </c>
      <c r="F27" s="20">
        <f>117656094/38</f>
        <v>3096213</v>
      </c>
      <c r="G27" s="20">
        <v>1736848.29</v>
      </c>
      <c r="H27" s="20">
        <f>9973062/38</f>
        <v>262449</v>
      </c>
      <c r="I27" s="20">
        <f>72778866/38</f>
        <v>1915233.3157894737</v>
      </c>
      <c r="J27" s="29">
        <f t="shared" si="0"/>
        <v>3012149.0257894737</v>
      </c>
    </row>
    <row r="28" spans="3:10" ht="12.75" hidden="1">
      <c r="C28" t="s">
        <v>26</v>
      </c>
      <c r="D28" s="18">
        <f t="shared" si="2"/>
        <v>-16088.1668421051</v>
      </c>
      <c r="E28" s="19">
        <f t="shared" si="1"/>
        <v>-0.0052766125544657415</v>
      </c>
      <c r="F28" s="20">
        <f>115860366/38</f>
        <v>3048957</v>
      </c>
      <c r="G28" s="20">
        <v>1378540.07</v>
      </c>
      <c r="H28" s="20">
        <f>54724703/38</f>
        <v>1440123.7631578948</v>
      </c>
      <c r="I28" s="20">
        <f>107720576/38</f>
        <v>2834752</v>
      </c>
      <c r="J28" s="29">
        <f t="shared" si="0"/>
        <v>3065045.166842105</v>
      </c>
    </row>
    <row r="29" spans="3:10" ht="12.75" hidden="1">
      <c r="C29" t="s">
        <v>27</v>
      </c>
      <c r="D29" s="18">
        <f t="shared" si="2"/>
        <v>183679.58999999997</v>
      </c>
      <c r="E29" s="19">
        <f t="shared" si="1"/>
        <v>0.12075024011391357</v>
      </c>
      <c r="F29" s="20">
        <f>57803814/38</f>
        <v>1521153</v>
      </c>
      <c r="G29" s="20">
        <v>928057.75</v>
      </c>
      <c r="H29" s="20">
        <f>28377177.92/38</f>
        <v>746767.8400000001</v>
      </c>
      <c r="I29" s="20">
        <f>56663548/38</f>
        <v>1491146</v>
      </c>
      <c r="J29" s="29">
        <f t="shared" si="0"/>
        <v>1337473.41</v>
      </c>
    </row>
    <row r="30" spans="3:10" ht="12.75" hidden="1">
      <c r="C30" t="s">
        <v>28</v>
      </c>
      <c r="D30" s="18">
        <f t="shared" si="2"/>
        <v>221356.2899999998</v>
      </c>
      <c r="E30" s="19">
        <f t="shared" si="1"/>
        <v>0.07149259111049525</v>
      </c>
      <c r="F30" s="20">
        <f>117656094/38</f>
        <v>3096213</v>
      </c>
      <c r="G30" s="20">
        <v>1733284.16</v>
      </c>
      <c r="H30" s="20">
        <f>57881908.94/38</f>
        <v>1523208.13</v>
      </c>
      <c r="I30" s="20">
        <f>115335168/38</f>
        <v>3035136</v>
      </c>
      <c r="J30" s="29">
        <f t="shared" si="0"/>
        <v>2874856.71</v>
      </c>
    </row>
    <row r="31" spans="3:10" ht="12.75" hidden="1">
      <c r="C31" t="s">
        <v>29</v>
      </c>
      <c r="D31" s="18">
        <f t="shared" si="2"/>
        <v>892516.6400000001</v>
      </c>
      <c r="E31" s="19">
        <f t="shared" si="1"/>
        <v>0.12008018650627932</v>
      </c>
      <c r="F31" s="20">
        <f>282441536/38</f>
        <v>7432672</v>
      </c>
      <c r="G31" s="20">
        <v>2629488.64</v>
      </c>
      <c r="H31" s="20">
        <f>135379408/38</f>
        <v>3562616</v>
      </c>
      <c r="I31" s="20">
        <f>201384344/38</f>
        <v>5299588</v>
      </c>
      <c r="J31" s="29">
        <f t="shared" si="0"/>
        <v>6540155.359999999</v>
      </c>
    </row>
    <row r="32" spans="3:11" ht="12.75" hidden="1">
      <c r="C32" s="24" t="s">
        <v>30</v>
      </c>
      <c r="D32" s="25">
        <f t="shared" si="2"/>
        <v>367587010.42026424</v>
      </c>
      <c r="E32" s="26">
        <f t="shared" si="1"/>
        <v>0.9351106234981846</v>
      </c>
      <c r="F32" s="27">
        <f>SUM(F21:F31)</f>
        <v>393094678</v>
      </c>
      <c r="G32" s="28">
        <f>SUM(G21:G31)</f>
        <v>466212014.25000006</v>
      </c>
      <c r="H32" s="28">
        <f>SUM(H21:H31)</f>
        <v>187239327.1702642</v>
      </c>
      <c r="I32" s="28">
        <f>SUM(I21:I31)</f>
        <v>283011255.57894737</v>
      </c>
      <c r="J32" s="29">
        <f t="shared" si="0"/>
        <v>22654592.15868309</v>
      </c>
      <c r="K32" s="24"/>
    </row>
  </sheetData>
  <mergeCells count="2">
    <mergeCell ref="A2:G2"/>
    <mergeCell ref="A17:H18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polcic</dc:creator>
  <cp:keywords/>
  <dc:description/>
  <cp:lastModifiedBy>Juraj Polčič</cp:lastModifiedBy>
  <cp:lastPrinted>2007-07-27T11:43:39Z</cp:lastPrinted>
  <dcterms:created xsi:type="dcterms:W3CDTF">2007-01-18T14:22:46Z</dcterms:created>
  <dcterms:modified xsi:type="dcterms:W3CDTF">2007-07-30T08:22:06Z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