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1" sheetId="1" r:id="rId1"/>
  </sheets>
  <definedNames/>
  <calcPr fullCalcOnLoad="1"/>
</workbook>
</file>

<file path=xl/sharedStrings.xml><?xml version="1.0" encoding="utf-8"?>
<sst xmlns="http://schemas.openxmlformats.org/spreadsheetml/2006/main" count="176" uniqueCount="109">
  <si>
    <t>Č.r.</t>
  </si>
  <si>
    <t>1.</t>
  </si>
  <si>
    <t xml:space="preserve">z toho: </t>
  </si>
  <si>
    <t>2.</t>
  </si>
  <si>
    <t>3.</t>
  </si>
  <si>
    <t>Pohľadávky z iných hodnôt</t>
  </si>
  <si>
    <t>4.</t>
  </si>
  <si>
    <t>5.</t>
  </si>
  <si>
    <t>6.</t>
  </si>
  <si>
    <t>7.</t>
  </si>
  <si>
    <t>8.</t>
  </si>
  <si>
    <t>9.</t>
  </si>
  <si>
    <t>Ostatné aktíva</t>
  </si>
  <si>
    <t>10.</t>
  </si>
  <si>
    <t>11.</t>
  </si>
  <si>
    <t>12.</t>
  </si>
  <si>
    <t>Pokladničné hodnoty</t>
  </si>
  <si>
    <t>Pohľadávky z cenných papierov</t>
  </si>
  <si>
    <t>AKTÍVA (v tis.Sk)</t>
  </si>
  <si>
    <t>Pohľadávky z poskyt. úverov bankám (brutto)</t>
  </si>
  <si>
    <t>Rozpočet</t>
  </si>
  <si>
    <t>Pohľadávky z poskyt. úverov bankám (netto)</t>
  </si>
  <si>
    <t xml:space="preserve">Pohľadávky z úverov poskyt. klientom (netto) </t>
  </si>
  <si>
    <t xml:space="preserve">Pohľadávky z úverov poskyt. klientom (brutto) </t>
  </si>
  <si>
    <t>- ostatné pohľadávky voči klientom</t>
  </si>
  <si>
    <t xml:space="preserve">AKTÍVA  CELKOM </t>
  </si>
  <si>
    <t>- štátne pokladničné poukážky</t>
  </si>
  <si>
    <t>Cenné papiere</t>
  </si>
  <si>
    <t xml:space="preserve">Zúčtovanie so ŠR - nárok na prídel do zverených zdrojov financovania </t>
  </si>
  <si>
    <t>k 31.12.2003</t>
  </si>
  <si>
    <t>Skutočnosť</t>
  </si>
  <si>
    <t>k 31.1.2003</t>
  </si>
  <si>
    <t>Rozdiel</t>
  </si>
  <si>
    <t>I. 2003 - rozpočet</t>
  </si>
  <si>
    <t>I. 2003 - XII.2002</t>
  </si>
  <si>
    <t>Príloha č. 1</t>
  </si>
  <si>
    <t>Hmotný a nehmotný majetok</t>
  </si>
  <si>
    <t>Pohľadávky z poistenia a zaistenia vývoz. úverov (netto)</t>
  </si>
  <si>
    <t>Pohľadávky z poistenia a zaistenia vývoz. úverov (brutto)</t>
  </si>
  <si>
    <t>- štátne dlhopisy</t>
  </si>
  <si>
    <t xml:space="preserve">- ostatné cenné papiere </t>
  </si>
  <si>
    <t>- hmotný majetok spolu</t>
  </si>
  <si>
    <t>- nehmotný majetok spolu</t>
  </si>
  <si>
    <t>Vklady v bankách</t>
  </si>
  <si>
    <t>- bežné účty v bankách</t>
  </si>
  <si>
    <t>- bežné účty v NBS</t>
  </si>
  <si>
    <t>Opravné položky ku klasifikovaným pohľadávkam</t>
  </si>
  <si>
    <t xml:space="preserve">- vývozné úvery klientom </t>
  </si>
  <si>
    <t>- dovozné úvery klientom</t>
  </si>
  <si>
    <t>- refinančné úvery bankám</t>
  </si>
  <si>
    <t>- eskontné úvery bankám</t>
  </si>
  <si>
    <t>- eskontné úvery klientom</t>
  </si>
  <si>
    <t>Opravné položky ku klasifikovaným úverom</t>
  </si>
  <si>
    <t>k 28.2.2003</t>
  </si>
  <si>
    <t>II. 2003 - rozpočet</t>
  </si>
  <si>
    <t>II. 2003 - XII.2002</t>
  </si>
  <si>
    <t>k 31.3.2003</t>
  </si>
  <si>
    <t>III. 2003 - rozpočet</t>
  </si>
  <si>
    <t>III. 2003 - XII.2002</t>
  </si>
  <si>
    <t>k 31.12.2002</t>
  </si>
  <si>
    <t>k 30.4.2003</t>
  </si>
  <si>
    <t>IV. 2003 - rozpočet</t>
  </si>
  <si>
    <t>k 30.4.2002</t>
  </si>
  <si>
    <t>IV. 2003 - IV. 2002</t>
  </si>
  <si>
    <t>k 31.5.2003</t>
  </si>
  <si>
    <t>V. 2003 - rozpočet</t>
  </si>
  <si>
    <t>V. 2003 -       V. 2002</t>
  </si>
  <si>
    <t>k 31.5.2002</t>
  </si>
  <si>
    <t>- termínované vklady v NBS</t>
  </si>
  <si>
    <t>- termínované vklady v bankách</t>
  </si>
  <si>
    <t>k 30.6.2003</t>
  </si>
  <si>
    <t>VI. 2003 - rozpočet</t>
  </si>
  <si>
    <t>k 30.6.2002</t>
  </si>
  <si>
    <t>VI. 2003 -       XII. 2002</t>
  </si>
  <si>
    <t>VI. 2003 -       VI. 2002</t>
  </si>
  <si>
    <t>k 31.7.2002</t>
  </si>
  <si>
    <t>k 31.7.2003</t>
  </si>
  <si>
    <t>VII. 2003 - rozpočet</t>
  </si>
  <si>
    <t>VII. 2003 -       VI. 2003</t>
  </si>
  <si>
    <t>VII. 2003 -       VII. 2002</t>
  </si>
  <si>
    <t>k 31.8.2003</t>
  </si>
  <si>
    <t>VIII. 2003 - rozpočet</t>
  </si>
  <si>
    <t>VIII. 2003 -       VIII. 2002</t>
  </si>
  <si>
    <t>k 31.8.2002</t>
  </si>
  <si>
    <t>k 30.9.2003</t>
  </si>
  <si>
    <t>IX. 2003 - rozpočet</t>
  </si>
  <si>
    <t>IX. 2003 -       IX. 2002</t>
  </si>
  <si>
    <t>k 30.9.2002</t>
  </si>
  <si>
    <t>IX. 2003 -       XII. 2002</t>
  </si>
  <si>
    <t>k 31.10.2003</t>
  </si>
  <si>
    <t>X. 2003 -       X. 2002</t>
  </si>
  <si>
    <t>X. 2003 -       XII. 2002</t>
  </si>
  <si>
    <t>X. 2003 - rozpočet</t>
  </si>
  <si>
    <t>k 31.10.2002</t>
  </si>
  <si>
    <t>Očakávaná</t>
  </si>
  <si>
    <t>skutočnosť             k 31.12.2003</t>
  </si>
  <si>
    <t>k 30.11.2003</t>
  </si>
  <si>
    <t>XI. 2003 -       XI. 2002</t>
  </si>
  <si>
    <t>XI. 2003 - rozpočet</t>
  </si>
  <si>
    <t>XI. 2003 -       XII. 2002</t>
  </si>
  <si>
    <t>k 30.11.2002</t>
  </si>
  <si>
    <t>Predbežná</t>
  </si>
  <si>
    <t>skutočnosť k 31.12.2003</t>
  </si>
  <si>
    <t>predb.skut. 2003 - skutočnosť 2002</t>
  </si>
  <si>
    <t>predb.skut. - rozpočet 2003</t>
  </si>
  <si>
    <t>Plnenie rozpočtu aktív k 31.12.2003</t>
  </si>
  <si>
    <t xml:space="preserve"> k 31.12.2003</t>
  </si>
  <si>
    <t>skutočnosť 2003 - skutočnosť 2002</t>
  </si>
  <si>
    <t>skutočnosť - rozpočet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</si>
</sst>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</numFmts>
  <fonts count="6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3" fontId="1" fillId="0" borderId="0" xfId="0" applyFont="1" applyBorder="1" applyAlignment="1">
      <alignment/>
    </xf>
    <xf numFmtId="3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4" fillId="0" borderId="0" xfId="0" applyFont="1" applyAlignment="1">
      <alignment/>
    </xf>
    <xf numFmtId="49" fontId="2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3" fontId="1" fillId="3" borderId="1" xfId="0" applyFont="1" applyFill="1" applyBorder="1" applyAlignment="1">
      <alignment/>
    </xf>
    <xf numFmtId="3" fontId="1" fillId="3" borderId="6" xfId="0" applyFont="1" applyFill="1" applyBorder="1" applyAlignment="1">
      <alignment/>
    </xf>
    <xf numFmtId="49" fontId="3" fillId="3" borderId="11" xfId="0" applyNumberFormat="1" applyFont="1" applyFill="1" applyBorder="1" applyAlignment="1">
      <alignment horizontal="centerContinuous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2" xfId="0" applyFont="1" applyBorder="1" applyAlignment="1">
      <alignment horizontal="center"/>
    </xf>
    <xf numFmtId="3" fontId="2" fillId="2" borderId="12" xfId="0" applyFont="1" applyFill="1" applyBorder="1" applyAlignment="1">
      <alignment vertical="center"/>
    </xf>
    <xf numFmtId="3" fontId="2" fillId="2" borderId="4" xfId="0" applyFont="1" applyFill="1" applyBorder="1" applyAlignment="1">
      <alignment horizontal="center" vertical="center"/>
    </xf>
    <xf numFmtId="3" fontId="2" fillId="0" borderId="6" xfId="0" applyFont="1" applyBorder="1" applyAlignment="1">
      <alignment horizontal="center" vertical="center"/>
    </xf>
    <xf numFmtId="3" fontId="2" fillId="0" borderId="1" xfId="0" applyFont="1" applyBorder="1" applyAlignment="1">
      <alignment horizontal="center" vertical="center"/>
    </xf>
    <xf numFmtId="3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3" fontId="2" fillId="0" borderId="5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Font="1" applyAlignment="1">
      <alignment/>
    </xf>
    <xf numFmtId="49" fontId="1" fillId="0" borderId="12" xfId="0" applyNumberFormat="1" applyFont="1" applyBorder="1" applyAlignment="1">
      <alignment horizontal="left" vertical="center" wrapText="1"/>
    </xf>
    <xf numFmtId="3" fontId="2" fillId="0" borderId="4" xfId="0" applyFont="1" applyBorder="1" applyAlignment="1">
      <alignment horizontal="center" vertical="center"/>
    </xf>
    <xf numFmtId="3" fontId="5" fillId="0" borderId="0" xfId="0" applyFont="1" applyAlignment="1">
      <alignment horizontal="right"/>
    </xf>
    <xf numFmtId="3" fontId="1" fillId="0" borderId="2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3" borderId="12" xfId="0" applyFont="1" applyFill="1" applyBorder="1" applyAlignment="1">
      <alignment horizontal="center"/>
    </xf>
    <xf numFmtId="3" fontId="2" fillId="3" borderId="1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4" fontId="2" fillId="3" borderId="12" xfId="0" applyNumberFormat="1" applyFont="1" applyFill="1" applyBorder="1" applyAlignment="1">
      <alignment horizontal="center" vertical="justify"/>
    </xf>
    <xf numFmtId="3" fontId="2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3"/>
  <sheetViews>
    <sheetView tabSelected="1" zoomScale="75" zoomScaleNormal="75" workbookViewId="0" topLeftCell="A30">
      <selection activeCell="L43" sqref="L43"/>
    </sheetView>
  </sheetViews>
  <sheetFormatPr defaultColWidth="9.00390625" defaultRowHeight="12.75"/>
  <cols>
    <col min="1" max="1" width="4.375" style="0" customWidth="1"/>
    <col min="2" max="2" width="41.75390625" style="0" customWidth="1"/>
    <col min="3" max="4" width="11.75390625" style="0" hidden="1" customWidth="1"/>
    <col min="5" max="8" width="11.125" style="0" hidden="1" customWidth="1"/>
    <col min="9" max="10" width="11.75390625" style="0" hidden="1" customWidth="1"/>
    <col min="11" max="11" width="11.75390625" style="0" customWidth="1"/>
    <col min="12" max="12" width="11.75390625" style="0" bestFit="1" customWidth="1"/>
    <col min="13" max="14" width="11.75390625" style="0" hidden="1" customWidth="1" collapsed="1"/>
    <col min="15" max="23" width="11.75390625" style="0" hidden="1" customWidth="1"/>
    <col min="24" max="24" width="10.75390625" style="0" hidden="1" customWidth="1"/>
    <col min="25" max="27" width="11.75390625" style="0" hidden="1" customWidth="1"/>
    <col min="28" max="29" width="11.125" style="0" hidden="1" customWidth="1"/>
    <col min="30" max="34" width="9.75390625" style="0" hidden="1" customWidth="1"/>
    <col min="35" max="35" width="0" style="0" hidden="1" customWidth="1"/>
    <col min="36" max="36" width="11.75390625" style="0" hidden="1" customWidth="1"/>
    <col min="37" max="38" width="10.75390625" style="0" hidden="1" customWidth="1"/>
    <col min="39" max="39" width="11.75390625" style="0" hidden="1" customWidth="1"/>
    <col min="40" max="42" width="9.75390625" style="0" hidden="1" customWidth="1"/>
    <col min="43" max="43" width="11.75390625" style="0" hidden="1" customWidth="1"/>
    <col min="44" max="46" width="10.75390625" style="0" hidden="1" customWidth="1"/>
    <col min="47" max="47" width="11.75390625" style="0" hidden="1" customWidth="1"/>
    <col min="48" max="50" width="10.75390625" style="0" hidden="1" customWidth="1"/>
    <col min="51" max="51" width="12.75390625" style="0" hidden="1" customWidth="1"/>
    <col min="52" max="52" width="11.75390625" style="0" hidden="1" customWidth="1"/>
    <col min="53" max="53" width="16.75390625" style="0" hidden="1" customWidth="1"/>
    <col min="54" max="54" width="13.25390625" style="0" hidden="1" customWidth="1"/>
    <col min="55" max="55" width="12.75390625" style="0" customWidth="1"/>
    <col min="56" max="56" width="16.625" style="0" bestFit="1" customWidth="1"/>
    <col min="57" max="57" width="12.75390625" style="0" bestFit="1" customWidth="1"/>
  </cols>
  <sheetData>
    <row r="1" spans="2:57" ht="21.75" customHeight="1">
      <c r="B1" s="9"/>
      <c r="C1" s="9"/>
      <c r="D1" s="9"/>
      <c r="E1" s="9"/>
      <c r="F1" s="9"/>
      <c r="G1" s="9"/>
      <c r="H1" s="9"/>
      <c r="I1" s="9"/>
      <c r="J1" s="9"/>
      <c r="O1" s="38" t="s">
        <v>35</v>
      </c>
      <c r="R1" s="38" t="s">
        <v>35</v>
      </c>
      <c r="U1" s="38" t="s">
        <v>35</v>
      </c>
      <c r="X1" s="38" t="s">
        <v>35</v>
      </c>
      <c r="AA1" s="38" t="s">
        <v>35</v>
      </c>
      <c r="AF1" s="38" t="s">
        <v>35</v>
      </c>
      <c r="AG1" s="38"/>
      <c r="AH1" s="38"/>
      <c r="AI1" s="38" t="s">
        <v>35</v>
      </c>
      <c r="AL1" s="38" t="s">
        <v>35</v>
      </c>
      <c r="AP1" s="38" t="s">
        <v>35</v>
      </c>
      <c r="AX1" s="38" t="s">
        <v>35</v>
      </c>
      <c r="AY1" s="38" t="s">
        <v>35</v>
      </c>
      <c r="BB1" s="38" t="s">
        <v>35</v>
      </c>
      <c r="BE1" s="38" t="s">
        <v>35</v>
      </c>
    </row>
    <row r="2" spans="1:10" ht="21" customHeight="1">
      <c r="A2" s="14" t="s">
        <v>105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2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57" ht="18.75" customHeight="1">
      <c r="A4" s="18"/>
      <c r="B4" s="19"/>
      <c r="C4" s="49" t="s">
        <v>30</v>
      </c>
      <c r="D4" s="49" t="s">
        <v>30</v>
      </c>
      <c r="E4" s="49" t="s">
        <v>30</v>
      </c>
      <c r="F4" s="49" t="s">
        <v>30</v>
      </c>
      <c r="G4" s="49" t="s">
        <v>30</v>
      </c>
      <c r="H4" s="49" t="s">
        <v>30</v>
      </c>
      <c r="I4" s="49" t="s">
        <v>30</v>
      </c>
      <c r="J4" s="49" t="s">
        <v>30</v>
      </c>
      <c r="K4" s="49" t="s">
        <v>30</v>
      </c>
      <c r="L4" s="49" t="s">
        <v>20</v>
      </c>
      <c r="M4" s="49" t="s">
        <v>30</v>
      </c>
      <c r="N4" s="49" t="s">
        <v>32</v>
      </c>
      <c r="O4" s="49" t="s">
        <v>32</v>
      </c>
      <c r="P4" s="49" t="s">
        <v>30</v>
      </c>
      <c r="Q4" s="49" t="s">
        <v>32</v>
      </c>
      <c r="R4" s="49" t="s">
        <v>32</v>
      </c>
      <c r="S4" s="49" t="s">
        <v>30</v>
      </c>
      <c r="T4" s="49" t="s">
        <v>32</v>
      </c>
      <c r="U4" s="49" t="s">
        <v>32</v>
      </c>
      <c r="V4" s="49" t="s">
        <v>30</v>
      </c>
      <c r="W4" s="49" t="s">
        <v>32</v>
      </c>
      <c r="X4" s="49" t="s">
        <v>32</v>
      </c>
      <c r="Y4" s="49" t="s">
        <v>30</v>
      </c>
      <c r="Z4" s="49" t="s">
        <v>32</v>
      </c>
      <c r="AA4" s="49" t="s">
        <v>32</v>
      </c>
      <c r="AB4" s="49" t="s">
        <v>30</v>
      </c>
      <c r="AC4" s="49" t="s">
        <v>30</v>
      </c>
      <c r="AD4" s="49" t="s">
        <v>32</v>
      </c>
      <c r="AE4" s="49" t="s">
        <v>32</v>
      </c>
      <c r="AF4" s="49" t="s">
        <v>32</v>
      </c>
      <c r="AG4" s="49" t="s">
        <v>32</v>
      </c>
      <c r="AH4" s="49" t="s">
        <v>32</v>
      </c>
      <c r="AI4" s="49" t="s">
        <v>32</v>
      </c>
      <c r="AJ4" s="49" t="s">
        <v>30</v>
      </c>
      <c r="AK4" s="49" t="s">
        <v>32</v>
      </c>
      <c r="AL4" s="49" t="s">
        <v>32</v>
      </c>
      <c r="AM4" s="49" t="s">
        <v>30</v>
      </c>
      <c r="AN4" s="49" t="s">
        <v>32</v>
      </c>
      <c r="AO4" s="49" t="s">
        <v>32</v>
      </c>
      <c r="AP4" s="49" t="s">
        <v>32</v>
      </c>
      <c r="AQ4" s="49" t="s">
        <v>30</v>
      </c>
      <c r="AR4" s="49" t="s">
        <v>32</v>
      </c>
      <c r="AS4" s="49" t="s">
        <v>32</v>
      </c>
      <c r="AT4" s="49" t="s">
        <v>32</v>
      </c>
      <c r="AU4" s="49" t="s">
        <v>30</v>
      </c>
      <c r="AV4" s="49" t="s">
        <v>32</v>
      </c>
      <c r="AW4" s="49" t="s">
        <v>32</v>
      </c>
      <c r="AX4" s="49" t="s">
        <v>32</v>
      </c>
      <c r="AY4" s="49" t="s">
        <v>94</v>
      </c>
      <c r="AZ4" s="49" t="s">
        <v>101</v>
      </c>
      <c r="BA4" s="49" t="s">
        <v>32</v>
      </c>
      <c r="BB4" s="49" t="s">
        <v>32</v>
      </c>
      <c r="BC4" s="49" t="s">
        <v>30</v>
      </c>
      <c r="BD4" s="49" t="s">
        <v>32</v>
      </c>
      <c r="BE4" s="49" t="s">
        <v>32</v>
      </c>
    </row>
    <row r="5" spans="1:57" ht="27.75" customHeight="1" thickBot="1">
      <c r="A5" s="48" t="s">
        <v>0</v>
      </c>
      <c r="B5" s="20" t="s">
        <v>18</v>
      </c>
      <c r="C5" s="50" t="s">
        <v>62</v>
      </c>
      <c r="D5" s="50" t="s">
        <v>67</v>
      </c>
      <c r="E5" s="50" t="s">
        <v>72</v>
      </c>
      <c r="F5" s="50" t="s">
        <v>75</v>
      </c>
      <c r="G5" s="50" t="s">
        <v>83</v>
      </c>
      <c r="H5" s="50" t="s">
        <v>87</v>
      </c>
      <c r="I5" s="50" t="s">
        <v>93</v>
      </c>
      <c r="J5" s="50" t="s">
        <v>100</v>
      </c>
      <c r="K5" s="50" t="s">
        <v>59</v>
      </c>
      <c r="L5" s="50" t="s">
        <v>29</v>
      </c>
      <c r="M5" s="50" t="s">
        <v>31</v>
      </c>
      <c r="N5" s="53" t="s">
        <v>33</v>
      </c>
      <c r="O5" s="53" t="s">
        <v>34</v>
      </c>
      <c r="P5" s="50" t="s">
        <v>53</v>
      </c>
      <c r="Q5" s="53" t="s">
        <v>54</v>
      </c>
      <c r="R5" s="53" t="s">
        <v>55</v>
      </c>
      <c r="S5" s="50" t="s">
        <v>56</v>
      </c>
      <c r="T5" s="53" t="s">
        <v>57</v>
      </c>
      <c r="U5" s="53" t="s">
        <v>58</v>
      </c>
      <c r="V5" s="50" t="s">
        <v>60</v>
      </c>
      <c r="W5" s="53" t="s">
        <v>61</v>
      </c>
      <c r="X5" s="53" t="s">
        <v>63</v>
      </c>
      <c r="Y5" s="50" t="s">
        <v>64</v>
      </c>
      <c r="Z5" s="53" t="s">
        <v>65</v>
      </c>
      <c r="AA5" s="53" t="s">
        <v>66</v>
      </c>
      <c r="AB5" s="50" t="s">
        <v>70</v>
      </c>
      <c r="AC5" s="50" t="s">
        <v>76</v>
      </c>
      <c r="AD5" s="53" t="s">
        <v>74</v>
      </c>
      <c r="AE5" s="53" t="s">
        <v>73</v>
      </c>
      <c r="AF5" s="53" t="s">
        <v>71</v>
      </c>
      <c r="AG5" s="53" t="s">
        <v>77</v>
      </c>
      <c r="AH5" s="53" t="s">
        <v>78</v>
      </c>
      <c r="AI5" s="53" t="s">
        <v>79</v>
      </c>
      <c r="AJ5" s="50" t="s">
        <v>80</v>
      </c>
      <c r="AK5" s="53" t="s">
        <v>81</v>
      </c>
      <c r="AL5" s="53" t="s">
        <v>82</v>
      </c>
      <c r="AM5" s="50" t="s">
        <v>84</v>
      </c>
      <c r="AN5" s="53" t="s">
        <v>86</v>
      </c>
      <c r="AO5" s="53" t="s">
        <v>88</v>
      </c>
      <c r="AP5" s="53" t="s">
        <v>85</v>
      </c>
      <c r="AQ5" s="50" t="s">
        <v>89</v>
      </c>
      <c r="AR5" s="53" t="s">
        <v>90</v>
      </c>
      <c r="AS5" s="53" t="s">
        <v>91</v>
      </c>
      <c r="AT5" s="53" t="s">
        <v>92</v>
      </c>
      <c r="AU5" s="50" t="s">
        <v>96</v>
      </c>
      <c r="AV5" s="53" t="s">
        <v>97</v>
      </c>
      <c r="AW5" s="53" t="s">
        <v>99</v>
      </c>
      <c r="AX5" s="53" t="s">
        <v>98</v>
      </c>
      <c r="AY5" s="53" t="s">
        <v>95</v>
      </c>
      <c r="AZ5" s="53" t="s">
        <v>102</v>
      </c>
      <c r="BA5" s="53" t="s">
        <v>103</v>
      </c>
      <c r="BB5" s="53" t="s">
        <v>104</v>
      </c>
      <c r="BC5" s="50" t="s">
        <v>106</v>
      </c>
      <c r="BD5" s="53" t="s">
        <v>107</v>
      </c>
      <c r="BE5" s="53" t="s">
        <v>108</v>
      </c>
    </row>
    <row r="6" spans="1:57" ht="20.25" customHeight="1" thickBot="1">
      <c r="A6" s="31" t="s">
        <v>1</v>
      </c>
      <c r="B6" s="32" t="s">
        <v>16</v>
      </c>
      <c r="C6" s="51">
        <v>152</v>
      </c>
      <c r="D6" s="51">
        <v>215</v>
      </c>
      <c r="E6" s="51">
        <v>252</v>
      </c>
      <c r="F6" s="51">
        <v>204</v>
      </c>
      <c r="G6" s="51">
        <v>186</v>
      </c>
      <c r="H6" s="51">
        <v>152</v>
      </c>
      <c r="I6" s="51">
        <v>102</v>
      </c>
      <c r="J6" s="51">
        <v>227</v>
      </c>
      <c r="K6" s="51">
        <v>213</v>
      </c>
      <c r="L6" s="51">
        <v>230</v>
      </c>
      <c r="M6" s="51">
        <v>202</v>
      </c>
      <c r="N6" s="51">
        <f>M6-L6</f>
        <v>-28</v>
      </c>
      <c r="O6" s="51">
        <f>M6-K6</f>
        <v>-11</v>
      </c>
      <c r="P6" s="51">
        <v>126</v>
      </c>
      <c r="Q6" s="51">
        <f>P6-L6</f>
        <v>-104</v>
      </c>
      <c r="R6" s="51">
        <f>P6-K6</f>
        <v>-87</v>
      </c>
      <c r="S6" s="51">
        <v>188</v>
      </c>
      <c r="T6" s="51">
        <f>S6-L6</f>
        <v>-42</v>
      </c>
      <c r="U6" s="51">
        <f>S6-K6</f>
        <v>-25</v>
      </c>
      <c r="V6" s="51">
        <v>148</v>
      </c>
      <c r="W6" s="51">
        <f>V6-L6</f>
        <v>-82</v>
      </c>
      <c r="X6" s="51">
        <f>V6-C6</f>
        <v>-4</v>
      </c>
      <c r="Y6" s="51">
        <v>200</v>
      </c>
      <c r="Z6" s="51">
        <f>Y6-L6</f>
        <v>-30</v>
      </c>
      <c r="AA6" s="51">
        <f>Y6-D6</f>
        <v>-15</v>
      </c>
      <c r="AB6" s="51">
        <v>76</v>
      </c>
      <c r="AC6" s="51">
        <v>111</v>
      </c>
      <c r="AD6" s="51">
        <f>AB6-E6</f>
        <v>-176</v>
      </c>
      <c r="AE6" s="51">
        <f>AB6-K6</f>
        <v>-137</v>
      </c>
      <c r="AF6" s="51">
        <f>AB6-L6</f>
        <v>-154</v>
      </c>
      <c r="AG6" s="51">
        <f>AC6-L6</f>
        <v>-119</v>
      </c>
      <c r="AH6" s="51">
        <f>AC6-AB6</f>
        <v>35</v>
      </c>
      <c r="AI6" s="51">
        <f>AC6-F6</f>
        <v>-93</v>
      </c>
      <c r="AJ6" s="51">
        <v>160</v>
      </c>
      <c r="AK6" s="51">
        <f>AJ6-L6</f>
        <v>-70</v>
      </c>
      <c r="AL6" s="51">
        <f>AJ6-G6</f>
        <v>-26</v>
      </c>
      <c r="AM6" s="51">
        <v>92</v>
      </c>
      <c r="AN6" s="51">
        <f>AM6-H6</f>
        <v>-60</v>
      </c>
      <c r="AO6" s="51">
        <f>AM6-K6</f>
        <v>-121</v>
      </c>
      <c r="AP6" s="51">
        <f>AM6-L6</f>
        <v>-138</v>
      </c>
      <c r="AQ6" s="51">
        <v>157</v>
      </c>
      <c r="AR6" s="51">
        <f>AQ6-I6</f>
        <v>55</v>
      </c>
      <c r="AS6" s="51">
        <f>AQ6-K6</f>
        <v>-56</v>
      </c>
      <c r="AT6" s="51">
        <f>AQ6-L6</f>
        <v>-73</v>
      </c>
      <c r="AU6" s="51">
        <v>123</v>
      </c>
      <c r="AV6" s="51">
        <f>AU6-J6</f>
        <v>-104</v>
      </c>
      <c r="AW6" s="51">
        <f>AU6-K6</f>
        <v>-90</v>
      </c>
      <c r="AX6" s="51">
        <f>AU6-L6</f>
        <v>-107</v>
      </c>
      <c r="AY6" s="51">
        <v>220</v>
      </c>
      <c r="AZ6" s="51">
        <v>136</v>
      </c>
      <c r="BA6" s="51">
        <f>AZ6-K6</f>
        <v>-77</v>
      </c>
      <c r="BB6" s="51">
        <f>AZ6-L6</f>
        <v>-94</v>
      </c>
      <c r="BC6" s="51">
        <v>136</v>
      </c>
      <c r="BD6" s="51">
        <f>BC6-K6</f>
        <v>-77</v>
      </c>
      <c r="BE6" s="51">
        <f>BC6-L6</f>
        <v>-94</v>
      </c>
    </row>
    <row r="7" spans="1:57" ht="20.25" customHeight="1">
      <c r="A7" s="29" t="s">
        <v>3</v>
      </c>
      <c r="B7" s="1" t="s">
        <v>43</v>
      </c>
      <c r="C7" s="22">
        <f aca="true" t="shared" si="0" ref="C7:M7">C9+C10+C11+C12</f>
        <v>1961355</v>
      </c>
      <c r="D7" s="22">
        <f t="shared" si="0"/>
        <v>1673949</v>
      </c>
      <c r="E7" s="22">
        <f t="shared" si="0"/>
        <v>1616716</v>
      </c>
      <c r="F7" s="22">
        <f t="shared" si="0"/>
        <v>2243250</v>
      </c>
      <c r="G7" s="22">
        <f t="shared" si="0"/>
        <v>1899048</v>
      </c>
      <c r="H7" s="22">
        <f t="shared" si="0"/>
        <v>1490583</v>
      </c>
      <c r="I7" s="22">
        <f t="shared" si="0"/>
        <v>1477801</v>
      </c>
      <c r="J7" s="22">
        <f t="shared" si="0"/>
        <v>1489436</v>
      </c>
      <c r="K7" s="22">
        <f t="shared" si="0"/>
        <v>1484907</v>
      </c>
      <c r="L7" s="22">
        <f t="shared" si="0"/>
        <v>504500</v>
      </c>
      <c r="M7" s="22">
        <f t="shared" si="0"/>
        <v>1668416</v>
      </c>
      <c r="N7" s="22">
        <f aca="true" t="shared" si="1" ref="N7:N43">M7-L7</f>
        <v>1163916</v>
      </c>
      <c r="O7" s="22">
        <f aca="true" t="shared" si="2" ref="O7:O43">M7-K7</f>
        <v>183509</v>
      </c>
      <c r="P7" s="22">
        <f>P9+P10+P11+P12</f>
        <v>1483891</v>
      </c>
      <c r="Q7" s="22">
        <f aca="true" t="shared" si="3" ref="Q7:Q43">P7-L7</f>
        <v>979391</v>
      </c>
      <c r="R7" s="22">
        <f aca="true" t="shared" si="4" ref="R7:R43">P7-K7</f>
        <v>-1016</v>
      </c>
      <c r="S7" s="22">
        <f>S9+S10+S11+S12</f>
        <v>1351763</v>
      </c>
      <c r="T7" s="22">
        <f>S7-L7</f>
        <v>847263</v>
      </c>
      <c r="U7" s="22">
        <f>S7-K7</f>
        <v>-133144</v>
      </c>
      <c r="V7" s="22">
        <f>V9+V10+V11+V12</f>
        <v>1380276</v>
      </c>
      <c r="W7" s="22">
        <f aca="true" t="shared" si="5" ref="W7:W43">V7-L7</f>
        <v>875776</v>
      </c>
      <c r="X7" s="22">
        <f aca="true" t="shared" si="6" ref="X7:X43">V7-C7</f>
        <v>-581079</v>
      </c>
      <c r="Y7" s="22">
        <f>Y9+Y10+Y11+Y12</f>
        <v>1267030</v>
      </c>
      <c r="Z7" s="22">
        <f aca="true" t="shared" si="7" ref="Z7:Z43">Y7-L7</f>
        <v>762530</v>
      </c>
      <c r="AA7" s="22">
        <f aca="true" t="shared" si="8" ref="AA7:AA43">Y7-D7</f>
        <v>-406919</v>
      </c>
      <c r="AB7" s="22">
        <f>AB9+AB10+AB11+AB12</f>
        <v>1378898</v>
      </c>
      <c r="AC7" s="22">
        <f>AC9+AC10+AC11+AC12</f>
        <v>1443131</v>
      </c>
      <c r="AD7" s="22">
        <f aca="true" t="shared" si="9" ref="AD7:AD43">AB7-E7</f>
        <v>-237818</v>
      </c>
      <c r="AE7" s="22">
        <f>AB7-K7</f>
        <v>-106009</v>
      </c>
      <c r="AF7" s="22">
        <f aca="true" t="shared" si="10" ref="AF7:AF43">AB7-L7</f>
        <v>874398</v>
      </c>
      <c r="AG7" s="22">
        <f>AG9+AG10+AG11+AG12</f>
        <v>938631</v>
      </c>
      <c r="AH7" s="22">
        <f>AH9+AH10+AH11+AH12</f>
        <v>64233</v>
      </c>
      <c r="AI7" s="22">
        <f aca="true" t="shared" si="11" ref="AI7:AI43">AC7-F7</f>
        <v>-800119</v>
      </c>
      <c r="AJ7" s="22">
        <f>AJ9+AJ10+AJ11+AJ12</f>
        <v>1672460</v>
      </c>
      <c r="AK7" s="22">
        <f aca="true" t="shared" si="12" ref="AK7:AK43">AJ7-L7</f>
        <v>1167960</v>
      </c>
      <c r="AL7" s="22">
        <f aca="true" t="shared" si="13" ref="AL7:AL43">AJ7-G7</f>
        <v>-226588</v>
      </c>
      <c r="AM7" s="22">
        <f>AM9+AM10+AM11+AM12</f>
        <v>1564195</v>
      </c>
      <c r="AN7" s="22">
        <f aca="true" t="shared" si="14" ref="AN7:AN43">AM7-H7</f>
        <v>73612</v>
      </c>
      <c r="AO7" s="22">
        <f>AM7-K7</f>
        <v>79288</v>
      </c>
      <c r="AP7" s="22">
        <f>AM7-L7</f>
        <v>1059695</v>
      </c>
      <c r="AQ7" s="22">
        <f>AQ9+AQ10+AQ11+AQ12</f>
        <v>1365685</v>
      </c>
      <c r="AR7" s="22">
        <f aca="true" t="shared" si="15" ref="AR7:AR43">AQ7-I7</f>
        <v>-112116</v>
      </c>
      <c r="AS7" s="22">
        <f aca="true" t="shared" si="16" ref="AS7:AS43">AQ7-K7</f>
        <v>-119222</v>
      </c>
      <c r="AT7" s="22">
        <f aca="true" t="shared" si="17" ref="AT7:AT43">AQ7-L7</f>
        <v>861185</v>
      </c>
      <c r="AU7" s="22">
        <f>AU9+AU10+AU11+AU12</f>
        <v>1114585</v>
      </c>
      <c r="AV7" s="22">
        <f aca="true" t="shared" si="18" ref="AV7:AV43">AU7-J7</f>
        <v>-374851</v>
      </c>
      <c r="AW7" s="22">
        <f aca="true" t="shared" si="19" ref="AW7:AW43">AU7-K7</f>
        <v>-370322</v>
      </c>
      <c r="AX7" s="22">
        <f aca="true" t="shared" si="20" ref="AX7:AX43">AU7-L7</f>
        <v>610085</v>
      </c>
      <c r="AY7" s="22">
        <f>AY9+AY10+AY11+AY12</f>
        <v>904500</v>
      </c>
      <c r="AZ7" s="22">
        <f>AZ9+AZ10+AZ11+AZ12</f>
        <v>790792</v>
      </c>
      <c r="BA7" s="22">
        <f aca="true" t="shared" si="21" ref="BA7:BA43">AZ7-K7</f>
        <v>-694115</v>
      </c>
      <c r="BB7" s="22">
        <f aca="true" t="shared" si="22" ref="BB7:BB43">AZ7-L7</f>
        <v>286292</v>
      </c>
      <c r="BC7" s="22">
        <f>BC9+BC10+BC11+BC12</f>
        <v>789581</v>
      </c>
      <c r="BD7" s="22">
        <f aca="true" t="shared" si="23" ref="BD7:BD43">BC7-K7</f>
        <v>-695326</v>
      </c>
      <c r="BE7" s="22">
        <f aca="true" t="shared" si="24" ref="BE7:BE43">BC7-L7</f>
        <v>285081</v>
      </c>
    </row>
    <row r="8" spans="1:57" ht="14.25" customHeight="1">
      <c r="A8" s="33"/>
      <c r="B8" s="4" t="s">
        <v>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>
        <f t="shared" si="11"/>
        <v>0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s="35" customFormat="1" ht="15.75" customHeight="1">
      <c r="A9" s="11"/>
      <c r="B9" s="12" t="s">
        <v>45</v>
      </c>
      <c r="C9" s="25">
        <v>521</v>
      </c>
      <c r="D9" s="25">
        <v>140</v>
      </c>
      <c r="E9" s="25">
        <v>104</v>
      </c>
      <c r="F9" s="25">
        <v>85</v>
      </c>
      <c r="G9" s="25">
        <v>53</v>
      </c>
      <c r="H9" s="25">
        <v>364</v>
      </c>
      <c r="I9" s="25">
        <v>579</v>
      </c>
      <c r="J9" s="25">
        <v>87</v>
      </c>
      <c r="K9" s="25">
        <v>383</v>
      </c>
      <c r="L9" s="25">
        <v>500</v>
      </c>
      <c r="M9" s="25">
        <v>888</v>
      </c>
      <c r="N9" s="25">
        <f t="shared" si="1"/>
        <v>388</v>
      </c>
      <c r="O9" s="25">
        <f t="shared" si="2"/>
        <v>505</v>
      </c>
      <c r="P9" s="25">
        <v>701</v>
      </c>
      <c r="Q9" s="25">
        <f t="shared" si="3"/>
        <v>201</v>
      </c>
      <c r="R9" s="25">
        <f t="shared" si="4"/>
        <v>318</v>
      </c>
      <c r="S9" s="25">
        <v>630</v>
      </c>
      <c r="T9" s="25">
        <f aca="true" t="shared" si="25" ref="T9:T14">S9-L9</f>
        <v>130</v>
      </c>
      <c r="U9" s="25">
        <f aca="true" t="shared" si="26" ref="U9:U14">S9-K9</f>
        <v>247</v>
      </c>
      <c r="V9" s="25">
        <v>1042</v>
      </c>
      <c r="W9" s="25">
        <f t="shared" si="5"/>
        <v>542</v>
      </c>
      <c r="X9" s="25">
        <f t="shared" si="6"/>
        <v>521</v>
      </c>
      <c r="Y9" s="25">
        <v>856</v>
      </c>
      <c r="Z9" s="25">
        <f t="shared" si="7"/>
        <v>356</v>
      </c>
      <c r="AA9" s="25">
        <f t="shared" si="8"/>
        <v>716</v>
      </c>
      <c r="AB9" s="25">
        <v>19445</v>
      </c>
      <c r="AC9" s="25">
        <f>622</f>
        <v>622</v>
      </c>
      <c r="AD9" s="25">
        <f t="shared" si="9"/>
        <v>19341</v>
      </c>
      <c r="AE9" s="25">
        <f aca="true" t="shared" si="27" ref="AE9:AE14">AB9-K9</f>
        <v>19062</v>
      </c>
      <c r="AF9" s="25">
        <f t="shared" si="10"/>
        <v>18945</v>
      </c>
      <c r="AG9" s="25">
        <f>AC9-L9</f>
        <v>122</v>
      </c>
      <c r="AH9" s="25">
        <f>AC9-AB9</f>
        <v>-18823</v>
      </c>
      <c r="AI9" s="25">
        <f t="shared" si="11"/>
        <v>537</v>
      </c>
      <c r="AJ9" s="25">
        <v>1003</v>
      </c>
      <c r="AK9" s="25">
        <f t="shared" si="12"/>
        <v>503</v>
      </c>
      <c r="AL9" s="25">
        <f t="shared" si="13"/>
        <v>950</v>
      </c>
      <c r="AM9" s="25">
        <v>836</v>
      </c>
      <c r="AN9" s="25">
        <f t="shared" si="14"/>
        <v>472</v>
      </c>
      <c r="AO9" s="25">
        <f aca="true" t="shared" si="28" ref="AO9:AO14">AM9-K9</f>
        <v>453</v>
      </c>
      <c r="AP9" s="25">
        <f aca="true" t="shared" si="29" ref="AP9:AP14">AM9-L9</f>
        <v>336</v>
      </c>
      <c r="AQ9" s="25">
        <v>1521</v>
      </c>
      <c r="AR9" s="25">
        <f t="shared" si="15"/>
        <v>942</v>
      </c>
      <c r="AS9" s="25">
        <f t="shared" si="16"/>
        <v>1138</v>
      </c>
      <c r="AT9" s="25">
        <f t="shared" si="17"/>
        <v>1021</v>
      </c>
      <c r="AU9" s="25">
        <v>101</v>
      </c>
      <c r="AV9" s="25">
        <f t="shared" si="18"/>
        <v>14</v>
      </c>
      <c r="AW9" s="25">
        <f t="shared" si="19"/>
        <v>-282</v>
      </c>
      <c r="AX9" s="25">
        <f t="shared" si="20"/>
        <v>-399</v>
      </c>
      <c r="AY9" s="25">
        <v>500</v>
      </c>
      <c r="AZ9" s="25">
        <v>1411</v>
      </c>
      <c r="BA9" s="25">
        <f t="shared" si="21"/>
        <v>1028</v>
      </c>
      <c r="BB9" s="25">
        <f t="shared" si="22"/>
        <v>911</v>
      </c>
      <c r="BC9" s="25">
        <v>1411</v>
      </c>
      <c r="BD9" s="25">
        <f t="shared" si="23"/>
        <v>1028</v>
      </c>
      <c r="BE9" s="25">
        <f t="shared" si="24"/>
        <v>911</v>
      </c>
    </row>
    <row r="10" spans="1:57" ht="15" customHeight="1">
      <c r="A10" s="11"/>
      <c r="B10" s="5" t="s">
        <v>44</v>
      </c>
      <c r="C10" s="24">
        <v>6159</v>
      </c>
      <c r="D10" s="24">
        <v>18909</v>
      </c>
      <c r="E10" s="24">
        <v>10053</v>
      </c>
      <c r="F10" s="24">
        <v>12265</v>
      </c>
      <c r="G10" s="24">
        <v>11095</v>
      </c>
      <c r="H10" s="24">
        <v>9319</v>
      </c>
      <c r="I10" s="24">
        <v>9322</v>
      </c>
      <c r="J10" s="24">
        <v>7449</v>
      </c>
      <c r="K10" s="24">
        <f>10348+276</f>
        <v>10624</v>
      </c>
      <c r="L10" s="24">
        <v>4000</v>
      </c>
      <c r="M10" s="24">
        <f>20957+2</f>
        <v>20959</v>
      </c>
      <c r="N10" s="24">
        <f t="shared" si="1"/>
        <v>16959</v>
      </c>
      <c r="O10" s="24">
        <f t="shared" si="2"/>
        <v>10335</v>
      </c>
      <c r="P10" s="24">
        <v>36046</v>
      </c>
      <c r="Q10" s="24">
        <f t="shared" si="3"/>
        <v>32046</v>
      </c>
      <c r="R10" s="24">
        <f t="shared" si="4"/>
        <v>25422</v>
      </c>
      <c r="S10" s="24">
        <f>31370+191</f>
        <v>31561</v>
      </c>
      <c r="T10" s="24">
        <f t="shared" si="25"/>
        <v>27561</v>
      </c>
      <c r="U10" s="24">
        <f t="shared" si="26"/>
        <v>20937</v>
      </c>
      <c r="V10" s="24">
        <f>32054+2</f>
        <v>32056</v>
      </c>
      <c r="W10" s="24">
        <f t="shared" si="5"/>
        <v>28056</v>
      </c>
      <c r="X10" s="24">
        <f t="shared" si="6"/>
        <v>25897</v>
      </c>
      <c r="Y10" s="24">
        <v>33426</v>
      </c>
      <c r="Z10" s="24">
        <f t="shared" si="7"/>
        <v>29426</v>
      </c>
      <c r="AA10" s="24">
        <f t="shared" si="8"/>
        <v>14517</v>
      </c>
      <c r="AB10" s="24">
        <f>45433+161</f>
        <v>45594</v>
      </c>
      <c r="AC10" s="24">
        <f>29283+2</f>
        <v>29285</v>
      </c>
      <c r="AD10" s="24">
        <f t="shared" si="9"/>
        <v>35541</v>
      </c>
      <c r="AE10" s="24">
        <f t="shared" si="27"/>
        <v>34970</v>
      </c>
      <c r="AF10" s="24">
        <f t="shared" si="10"/>
        <v>41594</v>
      </c>
      <c r="AG10" s="24">
        <f>AC10-L10</f>
        <v>25285</v>
      </c>
      <c r="AH10" s="24">
        <f>AC10-AB10</f>
        <v>-16309</v>
      </c>
      <c r="AI10" s="24">
        <f t="shared" si="11"/>
        <v>17020</v>
      </c>
      <c r="AJ10" s="24">
        <v>19781</v>
      </c>
      <c r="AK10" s="24">
        <f t="shared" si="12"/>
        <v>15781</v>
      </c>
      <c r="AL10" s="24">
        <f t="shared" si="13"/>
        <v>8686</v>
      </c>
      <c r="AM10" s="24">
        <v>24629</v>
      </c>
      <c r="AN10" s="24">
        <f t="shared" si="14"/>
        <v>15310</v>
      </c>
      <c r="AO10" s="24">
        <f t="shared" si="28"/>
        <v>14005</v>
      </c>
      <c r="AP10" s="24">
        <f t="shared" si="29"/>
        <v>20629</v>
      </c>
      <c r="AQ10" s="24">
        <v>19869</v>
      </c>
      <c r="AR10" s="24">
        <f t="shared" si="15"/>
        <v>10547</v>
      </c>
      <c r="AS10" s="24">
        <f t="shared" si="16"/>
        <v>9245</v>
      </c>
      <c r="AT10" s="24">
        <f t="shared" si="17"/>
        <v>15869</v>
      </c>
      <c r="AU10" s="24">
        <v>72364</v>
      </c>
      <c r="AV10" s="24">
        <f t="shared" si="18"/>
        <v>64915</v>
      </c>
      <c r="AW10" s="24">
        <f t="shared" si="19"/>
        <v>61740</v>
      </c>
      <c r="AX10" s="24">
        <f t="shared" si="20"/>
        <v>68364</v>
      </c>
      <c r="AY10" s="24">
        <v>4000</v>
      </c>
      <c r="AZ10" s="24">
        <v>60854</v>
      </c>
      <c r="BA10" s="24">
        <f t="shared" si="21"/>
        <v>50230</v>
      </c>
      <c r="BB10" s="24">
        <f t="shared" si="22"/>
        <v>56854</v>
      </c>
      <c r="BC10" s="24">
        <v>59646</v>
      </c>
      <c r="BD10" s="24">
        <f t="shared" si="23"/>
        <v>49022</v>
      </c>
      <c r="BE10" s="24">
        <f t="shared" si="24"/>
        <v>55646</v>
      </c>
    </row>
    <row r="11" spans="1:57" ht="15" customHeight="1">
      <c r="A11" s="11"/>
      <c r="B11" s="5" t="s">
        <v>68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f t="shared" si="1"/>
        <v>0</v>
      </c>
      <c r="O11" s="24">
        <f t="shared" si="2"/>
        <v>0</v>
      </c>
      <c r="P11" s="24">
        <v>0</v>
      </c>
      <c r="Q11" s="24">
        <f t="shared" si="3"/>
        <v>0</v>
      </c>
      <c r="R11" s="24">
        <f t="shared" si="4"/>
        <v>0</v>
      </c>
      <c r="S11" s="24">
        <v>0</v>
      </c>
      <c r="T11" s="24">
        <f t="shared" si="25"/>
        <v>0</v>
      </c>
      <c r="U11" s="24">
        <f t="shared" si="26"/>
        <v>0</v>
      </c>
      <c r="V11" s="24">
        <v>0</v>
      </c>
      <c r="W11" s="24">
        <f t="shared" si="5"/>
        <v>0</v>
      </c>
      <c r="X11" s="24">
        <f t="shared" si="6"/>
        <v>0</v>
      </c>
      <c r="Y11" s="24">
        <v>0</v>
      </c>
      <c r="Z11" s="24">
        <f t="shared" si="7"/>
        <v>0</v>
      </c>
      <c r="AA11" s="24">
        <f t="shared" si="8"/>
        <v>0</v>
      </c>
      <c r="AB11" s="24">
        <v>0</v>
      </c>
      <c r="AC11" s="24">
        <v>0</v>
      </c>
      <c r="AD11" s="24">
        <f t="shared" si="9"/>
        <v>0</v>
      </c>
      <c r="AE11" s="24">
        <f t="shared" si="27"/>
        <v>0</v>
      </c>
      <c r="AF11" s="24">
        <f t="shared" si="10"/>
        <v>0</v>
      </c>
      <c r="AG11" s="24">
        <f>AC11-L11</f>
        <v>0</v>
      </c>
      <c r="AH11" s="24">
        <f>AC11-AB11</f>
        <v>0</v>
      </c>
      <c r="AI11" s="24">
        <f t="shared" si="11"/>
        <v>0</v>
      </c>
      <c r="AJ11" s="24">
        <v>0</v>
      </c>
      <c r="AK11" s="24">
        <f t="shared" si="12"/>
        <v>0</v>
      </c>
      <c r="AL11" s="24">
        <f t="shared" si="13"/>
        <v>0</v>
      </c>
      <c r="AM11" s="24">
        <v>0</v>
      </c>
      <c r="AN11" s="24">
        <f t="shared" si="14"/>
        <v>0</v>
      </c>
      <c r="AO11" s="24">
        <f t="shared" si="28"/>
        <v>0</v>
      </c>
      <c r="AP11" s="24">
        <f t="shared" si="29"/>
        <v>0</v>
      </c>
      <c r="AQ11" s="24">
        <v>0</v>
      </c>
      <c r="AR11" s="24">
        <f t="shared" si="15"/>
        <v>0</v>
      </c>
      <c r="AS11" s="24">
        <f t="shared" si="16"/>
        <v>0</v>
      </c>
      <c r="AT11" s="24">
        <f t="shared" si="17"/>
        <v>0</v>
      </c>
      <c r="AU11" s="24">
        <v>0</v>
      </c>
      <c r="AV11" s="24">
        <f t="shared" si="18"/>
        <v>0</v>
      </c>
      <c r="AW11" s="24">
        <f t="shared" si="19"/>
        <v>0</v>
      </c>
      <c r="AX11" s="24">
        <f t="shared" si="20"/>
        <v>0</v>
      </c>
      <c r="AY11" s="24">
        <v>0</v>
      </c>
      <c r="AZ11" s="24">
        <v>0</v>
      </c>
      <c r="BA11" s="24">
        <f t="shared" si="21"/>
        <v>0</v>
      </c>
      <c r="BB11" s="24">
        <f t="shared" si="22"/>
        <v>0</v>
      </c>
      <c r="BC11" s="24">
        <v>0</v>
      </c>
      <c r="BD11" s="24">
        <f t="shared" si="23"/>
        <v>0</v>
      </c>
      <c r="BE11" s="24">
        <f t="shared" si="24"/>
        <v>0</v>
      </c>
    </row>
    <row r="12" spans="1:57" ht="16.5" customHeight="1" thickBot="1">
      <c r="A12" s="11"/>
      <c r="B12" s="4" t="s">
        <v>69</v>
      </c>
      <c r="C12" s="21">
        <v>1954675</v>
      </c>
      <c r="D12" s="21">
        <v>1654900</v>
      </c>
      <c r="E12" s="21">
        <v>1606559</v>
      </c>
      <c r="F12" s="21">
        <v>2230900</v>
      </c>
      <c r="G12" s="21">
        <v>1887900</v>
      </c>
      <c r="H12" s="21">
        <v>1480900</v>
      </c>
      <c r="I12" s="21">
        <v>1467900</v>
      </c>
      <c r="J12" s="21">
        <v>1481900</v>
      </c>
      <c r="K12" s="21">
        <v>1473900</v>
      </c>
      <c r="L12" s="21">
        <v>500000</v>
      </c>
      <c r="M12" s="21">
        <v>1646569</v>
      </c>
      <c r="N12" s="21">
        <f t="shared" si="1"/>
        <v>1146569</v>
      </c>
      <c r="O12" s="21">
        <f t="shared" si="2"/>
        <v>172669</v>
      </c>
      <c r="P12" s="21">
        <v>1447144</v>
      </c>
      <c r="Q12" s="21">
        <f t="shared" si="3"/>
        <v>947144</v>
      </c>
      <c r="R12" s="21">
        <f t="shared" si="4"/>
        <v>-26756</v>
      </c>
      <c r="S12" s="21">
        <v>1319572</v>
      </c>
      <c r="T12" s="21">
        <f t="shared" si="25"/>
        <v>819572</v>
      </c>
      <c r="U12" s="21">
        <f t="shared" si="26"/>
        <v>-154328</v>
      </c>
      <c r="V12" s="21">
        <v>1347178</v>
      </c>
      <c r="W12" s="21">
        <f t="shared" si="5"/>
        <v>847178</v>
      </c>
      <c r="X12" s="21">
        <f t="shared" si="6"/>
        <v>-607497</v>
      </c>
      <c r="Y12" s="21">
        <v>1232748</v>
      </c>
      <c r="Z12" s="21">
        <f t="shared" si="7"/>
        <v>732748</v>
      </c>
      <c r="AA12" s="21">
        <f t="shared" si="8"/>
        <v>-422152</v>
      </c>
      <c r="AB12" s="21">
        <v>1313859</v>
      </c>
      <c r="AC12" s="21">
        <v>1413224</v>
      </c>
      <c r="AD12" s="21">
        <f t="shared" si="9"/>
        <v>-292700</v>
      </c>
      <c r="AE12" s="21">
        <f t="shared" si="27"/>
        <v>-160041</v>
      </c>
      <c r="AF12" s="21">
        <f t="shared" si="10"/>
        <v>813859</v>
      </c>
      <c r="AG12" s="21">
        <f>AC12-L12</f>
        <v>913224</v>
      </c>
      <c r="AH12" s="21">
        <f>AC12-AB12</f>
        <v>99365</v>
      </c>
      <c r="AI12" s="21">
        <f t="shared" si="11"/>
        <v>-817676</v>
      </c>
      <c r="AJ12" s="21">
        <v>1651676</v>
      </c>
      <c r="AK12" s="21">
        <f t="shared" si="12"/>
        <v>1151676</v>
      </c>
      <c r="AL12" s="21">
        <f t="shared" si="13"/>
        <v>-236224</v>
      </c>
      <c r="AM12" s="21">
        <v>1538730</v>
      </c>
      <c r="AN12" s="21">
        <f t="shared" si="14"/>
        <v>57830</v>
      </c>
      <c r="AO12" s="21">
        <f t="shared" si="28"/>
        <v>64830</v>
      </c>
      <c r="AP12" s="21">
        <f t="shared" si="29"/>
        <v>1038730</v>
      </c>
      <c r="AQ12" s="21">
        <v>1344295</v>
      </c>
      <c r="AR12" s="21">
        <f t="shared" si="15"/>
        <v>-123605</v>
      </c>
      <c r="AS12" s="21">
        <f t="shared" si="16"/>
        <v>-129605</v>
      </c>
      <c r="AT12" s="21">
        <f t="shared" si="17"/>
        <v>844295</v>
      </c>
      <c r="AU12" s="21">
        <v>1042120</v>
      </c>
      <c r="AV12" s="21">
        <f t="shared" si="18"/>
        <v>-439780</v>
      </c>
      <c r="AW12" s="21">
        <f t="shared" si="19"/>
        <v>-431780</v>
      </c>
      <c r="AX12" s="21">
        <f t="shared" si="20"/>
        <v>542120</v>
      </c>
      <c r="AY12" s="21">
        <v>900000</v>
      </c>
      <c r="AZ12" s="21">
        <v>728527</v>
      </c>
      <c r="BA12" s="21">
        <f t="shared" si="21"/>
        <v>-745373</v>
      </c>
      <c r="BB12" s="21">
        <f t="shared" si="22"/>
        <v>228527</v>
      </c>
      <c r="BC12" s="21">
        <v>728524</v>
      </c>
      <c r="BD12" s="21">
        <f t="shared" si="23"/>
        <v>-745376</v>
      </c>
      <c r="BE12" s="21">
        <f t="shared" si="24"/>
        <v>228524</v>
      </c>
    </row>
    <row r="13" spans="1:57" ht="20.25" customHeight="1">
      <c r="A13" s="30" t="s">
        <v>4</v>
      </c>
      <c r="B13" s="1" t="s">
        <v>21</v>
      </c>
      <c r="C13" s="22">
        <f>C14+C18</f>
        <v>2987498</v>
      </c>
      <c r="D13" s="22">
        <f>D14+D18</f>
        <v>3224412</v>
      </c>
      <c r="E13" s="22">
        <f>E14+E18</f>
        <v>3237798</v>
      </c>
      <c r="F13" s="22">
        <f>F14+F18</f>
        <v>3399930</v>
      </c>
      <c r="G13" s="22">
        <f>G14+G18</f>
        <v>3477053</v>
      </c>
      <c r="H13" s="22">
        <f>H14+H18</f>
        <v>3797865</v>
      </c>
      <c r="I13" s="22">
        <f>I14+I18</f>
        <v>3824391</v>
      </c>
      <c r="J13" s="22">
        <f>J14+J18</f>
        <v>3629605</v>
      </c>
      <c r="K13" s="22">
        <f>K14+K18</f>
        <v>3679405</v>
      </c>
      <c r="L13" s="22">
        <f>L14+L18</f>
        <v>4599933</v>
      </c>
      <c r="M13" s="22">
        <f>M14+M18</f>
        <v>3593259</v>
      </c>
      <c r="N13" s="22">
        <f t="shared" si="1"/>
        <v>-1006674</v>
      </c>
      <c r="O13" s="22">
        <f t="shared" si="2"/>
        <v>-86146</v>
      </c>
      <c r="P13" s="22">
        <f>P14+P18</f>
        <v>3693081</v>
      </c>
      <c r="Q13" s="22">
        <f t="shared" si="3"/>
        <v>-906852</v>
      </c>
      <c r="R13" s="22">
        <f t="shared" si="4"/>
        <v>13676</v>
      </c>
      <c r="S13" s="22">
        <f>S14+S18</f>
        <v>3747257</v>
      </c>
      <c r="T13" s="22">
        <f t="shared" si="25"/>
        <v>-852676</v>
      </c>
      <c r="U13" s="22">
        <f t="shared" si="26"/>
        <v>67852</v>
      </c>
      <c r="V13" s="22">
        <f>V14+V18</f>
        <v>3732198</v>
      </c>
      <c r="W13" s="22">
        <f t="shared" si="5"/>
        <v>-867735</v>
      </c>
      <c r="X13" s="22">
        <f t="shared" si="6"/>
        <v>744700</v>
      </c>
      <c r="Y13" s="22">
        <f>Y14+Y18</f>
        <v>3677253</v>
      </c>
      <c r="Z13" s="22">
        <f t="shared" si="7"/>
        <v>-922680</v>
      </c>
      <c r="AA13" s="22">
        <f t="shared" si="8"/>
        <v>452841</v>
      </c>
      <c r="AB13" s="22">
        <f>AB14+AB18</f>
        <v>3778465</v>
      </c>
      <c r="AC13" s="22">
        <f>AC14+AC18</f>
        <v>3918088</v>
      </c>
      <c r="AD13" s="22">
        <f t="shared" si="9"/>
        <v>540667</v>
      </c>
      <c r="AE13" s="22">
        <f t="shared" si="27"/>
        <v>99060</v>
      </c>
      <c r="AF13" s="22">
        <f t="shared" si="10"/>
        <v>-821468</v>
      </c>
      <c r="AG13" s="22">
        <f>AG14+AG18</f>
        <v>-681845</v>
      </c>
      <c r="AH13" s="22">
        <f>AH14+AH18</f>
        <v>139623</v>
      </c>
      <c r="AI13" s="22">
        <f t="shared" si="11"/>
        <v>518158</v>
      </c>
      <c r="AJ13" s="22">
        <f>AJ14+AJ18</f>
        <v>3915457</v>
      </c>
      <c r="AK13" s="22">
        <f t="shared" si="12"/>
        <v>-684476</v>
      </c>
      <c r="AL13" s="22">
        <f t="shared" si="13"/>
        <v>438404</v>
      </c>
      <c r="AM13" s="22">
        <f>AM14+AM18</f>
        <v>4089466</v>
      </c>
      <c r="AN13" s="22">
        <f t="shared" si="14"/>
        <v>291601</v>
      </c>
      <c r="AO13" s="22">
        <f t="shared" si="28"/>
        <v>410061</v>
      </c>
      <c r="AP13" s="22">
        <f t="shared" si="29"/>
        <v>-510467</v>
      </c>
      <c r="AQ13" s="22">
        <f>AQ14+AQ18</f>
        <v>4114742</v>
      </c>
      <c r="AR13" s="22">
        <f t="shared" si="15"/>
        <v>290351</v>
      </c>
      <c r="AS13" s="22">
        <f t="shared" si="16"/>
        <v>435337</v>
      </c>
      <c r="AT13" s="22">
        <f t="shared" si="17"/>
        <v>-485191</v>
      </c>
      <c r="AU13" s="22">
        <f>AU14+AU18</f>
        <v>4524922</v>
      </c>
      <c r="AV13" s="22">
        <f t="shared" si="18"/>
        <v>895317</v>
      </c>
      <c r="AW13" s="22">
        <f t="shared" si="19"/>
        <v>845517</v>
      </c>
      <c r="AX13" s="22">
        <f t="shared" si="20"/>
        <v>-75011</v>
      </c>
      <c r="AY13" s="22">
        <f>AY14+AY18</f>
        <v>4569000</v>
      </c>
      <c r="AZ13" s="22">
        <f>AZ14+AZ18</f>
        <v>4734801</v>
      </c>
      <c r="BA13" s="22">
        <f t="shared" si="21"/>
        <v>1055396</v>
      </c>
      <c r="BB13" s="22">
        <f t="shared" si="22"/>
        <v>134868</v>
      </c>
      <c r="BC13" s="22">
        <f>BC14+BC18</f>
        <v>4734800</v>
      </c>
      <c r="BD13" s="22">
        <f t="shared" si="23"/>
        <v>1055395</v>
      </c>
      <c r="BE13" s="22">
        <f t="shared" si="24"/>
        <v>134867</v>
      </c>
    </row>
    <row r="14" spans="1:57" s="35" customFormat="1" ht="16.5" customHeight="1">
      <c r="A14" s="39"/>
      <c r="B14" s="4" t="s">
        <v>19</v>
      </c>
      <c r="C14" s="21">
        <f aca="true" t="shared" si="30" ref="C14:M14">C16+C17</f>
        <v>2987498</v>
      </c>
      <c r="D14" s="21">
        <f t="shared" si="30"/>
        <v>3224412</v>
      </c>
      <c r="E14" s="21">
        <f t="shared" si="30"/>
        <v>3237798</v>
      </c>
      <c r="F14" s="21">
        <f t="shared" si="30"/>
        <v>3399930</v>
      </c>
      <c r="G14" s="21">
        <f t="shared" si="30"/>
        <v>3477053</v>
      </c>
      <c r="H14" s="21">
        <f t="shared" si="30"/>
        <v>3797865</v>
      </c>
      <c r="I14" s="21">
        <f>I16+I17</f>
        <v>3824391</v>
      </c>
      <c r="J14" s="21">
        <f>J16+J17</f>
        <v>3629605</v>
      </c>
      <c r="K14" s="21">
        <f t="shared" si="30"/>
        <v>3679405</v>
      </c>
      <c r="L14" s="21">
        <f t="shared" si="30"/>
        <v>4670000</v>
      </c>
      <c r="M14" s="21">
        <f t="shared" si="30"/>
        <v>3593259</v>
      </c>
      <c r="N14" s="21">
        <f t="shared" si="1"/>
        <v>-1076741</v>
      </c>
      <c r="O14" s="21">
        <f t="shared" si="2"/>
        <v>-86146</v>
      </c>
      <c r="P14" s="21">
        <f>P16+P17</f>
        <v>3693081</v>
      </c>
      <c r="Q14" s="21">
        <f t="shared" si="3"/>
        <v>-976919</v>
      </c>
      <c r="R14" s="21">
        <f t="shared" si="4"/>
        <v>13676</v>
      </c>
      <c r="S14" s="21">
        <f>S16+S17</f>
        <v>3747257</v>
      </c>
      <c r="T14" s="21">
        <f t="shared" si="25"/>
        <v>-922743</v>
      </c>
      <c r="U14" s="21">
        <f t="shared" si="26"/>
        <v>67852</v>
      </c>
      <c r="V14" s="21">
        <f>V16+V17</f>
        <v>3732198</v>
      </c>
      <c r="W14" s="21">
        <f t="shared" si="5"/>
        <v>-937802</v>
      </c>
      <c r="X14" s="21">
        <f t="shared" si="6"/>
        <v>744700</v>
      </c>
      <c r="Y14" s="21">
        <f>Y16+Y17</f>
        <v>3677253</v>
      </c>
      <c r="Z14" s="21">
        <f t="shared" si="7"/>
        <v>-992747</v>
      </c>
      <c r="AA14" s="21">
        <f t="shared" si="8"/>
        <v>452841</v>
      </c>
      <c r="AB14" s="21">
        <f>AB16+AB17</f>
        <v>3778465</v>
      </c>
      <c r="AC14" s="21">
        <f>AC16+AC17</f>
        <v>3918088</v>
      </c>
      <c r="AD14" s="21">
        <f t="shared" si="9"/>
        <v>540667</v>
      </c>
      <c r="AE14" s="21">
        <f t="shared" si="27"/>
        <v>99060</v>
      </c>
      <c r="AF14" s="21">
        <f t="shared" si="10"/>
        <v>-891535</v>
      </c>
      <c r="AG14" s="21">
        <f>AG16+AG17</f>
        <v>-751912</v>
      </c>
      <c r="AH14" s="21">
        <f>AH16+AH17</f>
        <v>139623</v>
      </c>
      <c r="AI14" s="21">
        <f t="shared" si="11"/>
        <v>518158</v>
      </c>
      <c r="AJ14" s="21">
        <f>AJ16+AJ17</f>
        <v>3915457</v>
      </c>
      <c r="AK14" s="21">
        <f t="shared" si="12"/>
        <v>-754543</v>
      </c>
      <c r="AL14" s="21">
        <f t="shared" si="13"/>
        <v>438404</v>
      </c>
      <c r="AM14" s="21">
        <f>AM16+AM17</f>
        <v>4089466</v>
      </c>
      <c r="AN14" s="21">
        <f t="shared" si="14"/>
        <v>291601</v>
      </c>
      <c r="AO14" s="21">
        <f t="shared" si="28"/>
        <v>410061</v>
      </c>
      <c r="AP14" s="21">
        <f t="shared" si="29"/>
        <v>-580534</v>
      </c>
      <c r="AQ14" s="21">
        <f>AQ16+AQ17</f>
        <v>4114742</v>
      </c>
      <c r="AR14" s="21">
        <f t="shared" si="15"/>
        <v>290351</v>
      </c>
      <c r="AS14" s="21">
        <f t="shared" si="16"/>
        <v>435337</v>
      </c>
      <c r="AT14" s="21">
        <f t="shared" si="17"/>
        <v>-555258</v>
      </c>
      <c r="AU14" s="21">
        <f>AU16+AU17</f>
        <v>4524922</v>
      </c>
      <c r="AV14" s="21">
        <f t="shared" si="18"/>
        <v>895317</v>
      </c>
      <c r="AW14" s="21">
        <f t="shared" si="19"/>
        <v>845517</v>
      </c>
      <c r="AX14" s="21">
        <f t="shared" si="20"/>
        <v>-145078</v>
      </c>
      <c r="AY14" s="21">
        <f>AY16+AY17</f>
        <v>4569000</v>
      </c>
      <c r="AZ14" s="21">
        <f>AZ16+AZ17</f>
        <v>4734801</v>
      </c>
      <c r="BA14" s="21">
        <f t="shared" si="21"/>
        <v>1055396</v>
      </c>
      <c r="BB14" s="21">
        <f t="shared" si="22"/>
        <v>64801</v>
      </c>
      <c r="BC14" s="21">
        <f>BC16+BC17</f>
        <v>4734800</v>
      </c>
      <c r="BD14" s="21">
        <f t="shared" si="23"/>
        <v>1055395</v>
      </c>
      <c r="BE14" s="21">
        <f t="shared" si="24"/>
        <v>64800</v>
      </c>
    </row>
    <row r="15" spans="1:57" s="35" customFormat="1" ht="14.25" customHeight="1">
      <c r="A15" s="3"/>
      <c r="B15" s="4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f t="shared" si="11"/>
        <v>0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5.75" customHeight="1">
      <c r="A16" s="26"/>
      <c r="B16" s="12" t="s">
        <v>49</v>
      </c>
      <c r="C16" s="25">
        <v>2896220</v>
      </c>
      <c r="D16" s="25">
        <v>3133134</v>
      </c>
      <c r="E16" s="25">
        <v>3146520</v>
      </c>
      <c r="F16" s="25">
        <v>3310720</v>
      </c>
      <c r="G16" s="25">
        <v>3389920</v>
      </c>
      <c r="H16" s="25">
        <v>3712820</v>
      </c>
      <c r="I16" s="25">
        <v>3735120</v>
      </c>
      <c r="J16" s="25">
        <v>3542420</v>
      </c>
      <c r="K16" s="25">
        <v>3592220</v>
      </c>
      <c r="L16" s="25">
        <v>4550000</v>
      </c>
      <c r="M16" s="25">
        <f>3503700+3143</f>
        <v>3506843</v>
      </c>
      <c r="N16" s="25">
        <f t="shared" si="1"/>
        <v>-1043157</v>
      </c>
      <c r="O16" s="25">
        <f t="shared" si="2"/>
        <v>-85377</v>
      </c>
      <c r="P16" s="25">
        <f>3603700+2642</f>
        <v>3606342</v>
      </c>
      <c r="Q16" s="25">
        <f t="shared" si="3"/>
        <v>-943658</v>
      </c>
      <c r="R16" s="25">
        <f t="shared" si="4"/>
        <v>14122</v>
      </c>
      <c r="S16" s="25">
        <f>3733700+3100</f>
        <v>3736800</v>
      </c>
      <c r="T16" s="25">
        <f>S16-L16</f>
        <v>-813200</v>
      </c>
      <c r="U16" s="25">
        <f>S16-K16</f>
        <v>144580</v>
      </c>
      <c r="V16" s="25">
        <v>3721700</v>
      </c>
      <c r="W16" s="25">
        <f t="shared" si="5"/>
        <v>-828300</v>
      </c>
      <c r="X16" s="25">
        <f t="shared" si="6"/>
        <v>825480</v>
      </c>
      <c r="Y16" s="25">
        <v>3666712</v>
      </c>
      <c r="Z16" s="25">
        <f t="shared" si="7"/>
        <v>-883288</v>
      </c>
      <c r="AA16" s="25">
        <f t="shared" si="8"/>
        <v>533578</v>
      </c>
      <c r="AB16" s="25">
        <v>3761869</v>
      </c>
      <c r="AC16" s="25">
        <f>3898249+3177</f>
        <v>3901426</v>
      </c>
      <c r="AD16" s="25">
        <f t="shared" si="9"/>
        <v>615349</v>
      </c>
      <c r="AE16" s="25">
        <f aca="true" t="shared" si="31" ref="AE16:AE22">AB16-K16</f>
        <v>169649</v>
      </c>
      <c r="AF16" s="25">
        <f t="shared" si="10"/>
        <v>-788131</v>
      </c>
      <c r="AG16" s="25">
        <f>AC16-L16</f>
        <v>-648574</v>
      </c>
      <c r="AH16" s="25">
        <f>AC16-AB16</f>
        <v>139557</v>
      </c>
      <c r="AI16" s="25">
        <f t="shared" si="11"/>
        <v>590706</v>
      </c>
      <c r="AJ16" s="25">
        <f>3893249+2471</f>
        <v>3895720</v>
      </c>
      <c r="AK16" s="25">
        <f t="shared" si="12"/>
        <v>-654280</v>
      </c>
      <c r="AL16" s="25">
        <f t="shared" si="13"/>
        <v>505800</v>
      </c>
      <c r="AM16" s="25">
        <v>4065641</v>
      </c>
      <c r="AN16" s="25">
        <f t="shared" si="14"/>
        <v>352821</v>
      </c>
      <c r="AO16" s="25">
        <f aca="true" t="shared" si="32" ref="AO16:AO22">AM16-K16</f>
        <v>473421</v>
      </c>
      <c r="AP16" s="25">
        <f aca="true" t="shared" si="33" ref="AP16:AP22">AM16-L16</f>
        <v>-484359</v>
      </c>
      <c r="AQ16" s="25">
        <v>4095569</v>
      </c>
      <c r="AR16" s="25">
        <f t="shared" si="15"/>
        <v>360449</v>
      </c>
      <c r="AS16" s="25">
        <f t="shared" si="16"/>
        <v>503349</v>
      </c>
      <c r="AT16" s="25">
        <f t="shared" si="17"/>
        <v>-454431</v>
      </c>
      <c r="AU16" s="25">
        <v>4505683</v>
      </c>
      <c r="AV16" s="25">
        <f t="shared" si="18"/>
        <v>963263</v>
      </c>
      <c r="AW16" s="25">
        <f t="shared" si="19"/>
        <v>913463</v>
      </c>
      <c r="AX16" s="25">
        <f t="shared" si="20"/>
        <v>-44317</v>
      </c>
      <c r="AY16" s="25">
        <v>4550000</v>
      </c>
      <c r="AZ16" s="25">
        <v>4715493</v>
      </c>
      <c r="BA16" s="25">
        <f t="shared" si="21"/>
        <v>1123273</v>
      </c>
      <c r="BB16" s="25">
        <f t="shared" si="22"/>
        <v>165493</v>
      </c>
      <c r="BC16" s="25">
        <v>4715493</v>
      </c>
      <c r="BD16" s="25">
        <f t="shared" si="23"/>
        <v>1123273</v>
      </c>
      <c r="BE16" s="25">
        <f t="shared" si="24"/>
        <v>165493</v>
      </c>
    </row>
    <row r="17" spans="1:57" ht="15.75" customHeight="1">
      <c r="A17" s="26"/>
      <c r="B17" s="5" t="s">
        <v>50</v>
      </c>
      <c r="C17" s="24">
        <v>91278</v>
      </c>
      <c r="D17" s="24">
        <v>91278</v>
      </c>
      <c r="E17" s="24">
        <v>91278</v>
      </c>
      <c r="F17" s="24">
        <v>89210</v>
      </c>
      <c r="G17" s="24">
        <v>87133</v>
      </c>
      <c r="H17" s="24">
        <v>85045</v>
      </c>
      <c r="I17" s="24">
        <v>89271</v>
      </c>
      <c r="J17" s="24">
        <v>87185</v>
      </c>
      <c r="K17" s="24">
        <v>87185</v>
      </c>
      <c r="L17" s="24">
        <v>120000</v>
      </c>
      <c r="M17" s="24">
        <v>86416</v>
      </c>
      <c r="N17" s="24">
        <f t="shared" si="1"/>
        <v>-33584</v>
      </c>
      <c r="O17" s="24">
        <f t="shared" si="2"/>
        <v>-769</v>
      </c>
      <c r="P17" s="24">
        <v>86739</v>
      </c>
      <c r="Q17" s="24">
        <f t="shared" si="3"/>
        <v>-33261</v>
      </c>
      <c r="R17" s="24">
        <f t="shared" si="4"/>
        <v>-446</v>
      </c>
      <c r="S17" s="24">
        <f>10300+157</f>
        <v>10457</v>
      </c>
      <c r="T17" s="24">
        <f>S17-L17</f>
        <v>-109543</v>
      </c>
      <c r="U17" s="24">
        <f>S17-K17</f>
        <v>-76728</v>
      </c>
      <c r="V17" s="24">
        <v>10498</v>
      </c>
      <c r="W17" s="24">
        <f t="shared" si="5"/>
        <v>-109502</v>
      </c>
      <c r="X17" s="24">
        <f t="shared" si="6"/>
        <v>-80780</v>
      </c>
      <c r="Y17" s="24">
        <v>10541</v>
      </c>
      <c r="Z17" s="24">
        <f t="shared" si="7"/>
        <v>-109459</v>
      </c>
      <c r="AA17" s="24">
        <f t="shared" si="8"/>
        <v>-80737</v>
      </c>
      <c r="AB17" s="24">
        <v>16596</v>
      </c>
      <c r="AC17" s="24">
        <f>16300+362</f>
        <v>16662</v>
      </c>
      <c r="AD17" s="24">
        <f t="shared" si="9"/>
        <v>-74682</v>
      </c>
      <c r="AE17" s="24">
        <f t="shared" si="31"/>
        <v>-70589</v>
      </c>
      <c r="AF17" s="24">
        <f t="shared" si="10"/>
        <v>-103404</v>
      </c>
      <c r="AG17" s="24">
        <f>AC17-L17</f>
        <v>-103338</v>
      </c>
      <c r="AH17" s="24">
        <f>AC17-AB17</f>
        <v>66</v>
      </c>
      <c r="AI17" s="24">
        <f t="shared" si="11"/>
        <v>-72548</v>
      </c>
      <c r="AJ17" s="24">
        <v>19737</v>
      </c>
      <c r="AK17" s="24">
        <f t="shared" si="12"/>
        <v>-100263</v>
      </c>
      <c r="AL17" s="24">
        <f t="shared" si="13"/>
        <v>-67396</v>
      </c>
      <c r="AM17" s="24">
        <v>23825</v>
      </c>
      <c r="AN17" s="24">
        <f t="shared" si="14"/>
        <v>-61220</v>
      </c>
      <c r="AO17" s="24">
        <f t="shared" si="32"/>
        <v>-63360</v>
      </c>
      <c r="AP17" s="24">
        <f t="shared" si="33"/>
        <v>-96175</v>
      </c>
      <c r="AQ17" s="24">
        <v>19173</v>
      </c>
      <c r="AR17" s="24">
        <f t="shared" si="15"/>
        <v>-70098</v>
      </c>
      <c r="AS17" s="24">
        <f t="shared" si="16"/>
        <v>-68012</v>
      </c>
      <c r="AT17" s="24">
        <f t="shared" si="17"/>
        <v>-100827</v>
      </c>
      <c r="AU17" s="24">
        <v>19239</v>
      </c>
      <c r="AV17" s="24">
        <f t="shared" si="18"/>
        <v>-67946</v>
      </c>
      <c r="AW17" s="24">
        <f t="shared" si="19"/>
        <v>-67946</v>
      </c>
      <c r="AX17" s="24">
        <f t="shared" si="20"/>
        <v>-100761</v>
      </c>
      <c r="AY17" s="24">
        <v>19000</v>
      </c>
      <c r="AZ17" s="24">
        <v>19308</v>
      </c>
      <c r="BA17" s="24">
        <f t="shared" si="21"/>
        <v>-67877</v>
      </c>
      <c r="BB17" s="24">
        <f t="shared" si="22"/>
        <v>-100692</v>
      </c>
      <c r="BC17" s="24">
        <v>19307</v>
      </c>
      <c r="BD17" s="24">
        <f t="shared" si="23"/>
        <v>-67878</v>
      </c>
      <c r="BE17" s="24">
        <f t="shared" si="24"/>
        <v>-100693</v>
      </c>
    </row>
    <row r="18" spans="1:57" ht="15.75" customHeight="1" thickBot="1">
      <c r="A18" s="26"/>
      <c r="B18" s="5" t="s">
        <v>52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-70067</v>
      </c>
      <c r="M18" s="24">
        <v>0</v>
      </c>
      <c r="N18" s="24">
        <f t="shared" si="1"/>
        <v>70067</v>
      </c>
      <c r="O18" s="24">
        <f t="shared" si="2"/>
        <v>0</v>
      </c>
      <c r="P18" s="24">
        <v>0</v>
      </c>
      <c r="Q18" s="24">
        <f t="shared" si="3"/>
        <v>70067</v>
      </c>
      <c r="R18" s="24">
        <f t="shared" si="4"/>
        <v>0</v>
      </c>
      <c r="S18" s="24">
        <v>0</v>
      </c>
      <c r="T18" s="24">
        <f>S18-L18</f>
        <v>70067</v>
      </c>
      <c r="U18" s="24">
        <f>S18-K18</f>
        <v>0</v>
      </c>
      <c r="V18" s="24">
        <v>0</v>
      </c>
      <c r="W18" s="24">
        <f t="shared" si="5"/>
        <v>70067</v>
      </c>
      <c r="X18" s="24">
        <f t="shared" si="6"/>
        <v>0</v>
      </c>
      <c r="Y18" s="24">
        <v>0</v>
      </c>
      <c r="Z18" s="24">
        <f t="shared" si="7"/>
        <v>70067</v>
      </c>
      <c r="AA18" s="24">
        <f t="shared" si="8"/>
        <v>0</v>
      </c>
      <c r="AB18" s="24">
        <v>0</v>
      </c>
      <c r="AC18" s="24">
        <v>0</v>
      </c>
      <c r="AD18" s="24">
        <f t="shared" si="9"/>
        <v>0</v>
      </c>
      <c r="AE18" s="24">
        <f t="shared" si="31"/>
        <v>0</v>
      </c>
      <c r="AF18" s="24">
        <f t="shared" si="10"/>
        <v>70067</v>
      </c>
      <c r="AG18" s="24">
        <f>AC18-L18</f>
        <v>70067</v>
      </c>
      <c r="AH18" s="24">
        <f>AC18-AB18</f>
        <v>0</v>
      </c>
      <c r="AI18" s="24">
        <f t="shared" si="11"/>
        <v>0</v>
      </c>
      <c r="AJ18" s="24">
        <v>0</v>
      </c>
      <c r="AK18" s="24">
        <f t="shared" si="12"/>
        <v>70067</v>
      </c>
      <c r="AL18" s="24">
        <f t="shared" si="13"/>
        <v>0</v>
      </c>
      <c r="AM18" s="24">
        <v>0</v>
      </c>
      <c r="AN18" s="24">
        <f t="shared" si="14"/>
        <v>0</v>
      </c>
      <c r="AO18" s="24">
        <f t="shared" si="32"/>
        <v>0</v>
      </c>
      <c r="AP18" s="24">
        <f t="shared" si="33"/>
        <v>70067</v>
      </c>
      <c r="AQ18" s="24">
        <v>0</v>
      </c>
      <c r="AR18" s="24">
        <f t="shared" si="15"/>
        <v>0</v>
      </c>
      <c r="AS18" s="24">
        <f t="shared" si="16"/>
        <v>0</v>
      </c>
      <c r="AT18" s="24">
        <f t="shared" si="17"/>
        <v>70067</v>
      </c>
      <c r="AU18" s="24">
        <v>0</v>
      </c>
      <c r="AV18" s="24">
        <f t="shared" si="18"/>
        <v>0</v>
      </c>
      <c r="AW18" s="24">
        <f t="shared" si="19"/>
        <v>0</v>
      </c>
      <c r="AX18" s="24">
        <f t="shared" si="20"/>
        <v>70067</v>
      </c>
      <c r="AY18" s="24">
        <v>0</v>
      </c>
      <c r="AZ18" s="24">
        <v>0</v>
      </c>
      <c r="BA18" s="24">
        <f t="shared" si="21"/>
        <v>0</v>
      </c>
      <c r="BB18" s="24">
        <f t="shared" si="22"/>
        <v>70067</v>
      </c>
      <c r="BC18" s="24">
        <v>0</v>
      </c>
      <c r="BD18" s="24">
        <f t="shared" si="23"/>
        <v>0</v>
      </c>
      <c r="BE18" s="24">
        <f t="shared" si="24"/>
        <v>70067</v>
      </c>
    </row>
    <row r="19" spans="1:57" ht="21" customHeight="1" thickBot="1">
      <c r="A19" s="37" t="s">
        <v>6</v>
      </c>
      <c r="B19" s="6" t="s">
        <v>5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f t="shared" si="1"/>
        <v>0</v>
      </c>
      <c r="O19" s="52">
        <f t="shared" si="2"/>
        <v>0</v>
      </c>
      <c r="P19" s="52">
        <v>0</v>
      </c>
      <c r="Q19" s="52">
        <f t="shared" si="3"/>
        <v>0</v>
      </c>
      <c r="R19" s="52">
        <f t="shared" si="4"/>
        <v>0</v>
      </c>
      <c r="S19" s="52">
        <v>0</v>
      </c>
      <c r="T19" s="52">
        <f>S19-L19</f>
        <v>0</v>
      </c>
      <c r="U19" s="52">
        <f>S19-K19</f>
        <v>0</v>
      </c>
      <c r="V19" s="52">
        <v>0</v>
      </c>
      <c r="W19" s="52">
        <f t="shared" si="5"/>
        <v>0</v>
      </c>
      <c r="X19" s="52">
        <f t="shared" si="6"/>
        <v>0</v>
      </c>
      <c r="Y19" s="52">
        <v>0</v>
      </c>
      <c r="Z19" s="52">
        <f t="shared" si="7"/>
        <v>0</v>
      </c>
      <c r="AA19" s="52">
        <f t="shared" si="8"/>
        <v>0</v>
      </c>
      <c r="AB19" s="52">
        <v>0</v>
      </c>
      <c r="AC19" s="52">
        <v>0</v>
      </c>
      <c r="AD19" s="52">
        <f t="shared" si="9"/>
        <v>0</v>
      </c>
      <c r="AE19" s="52">
        <f t="shared" si="31"/>
        <v>0</v>
      </c>
      <c r="AF19" s="52">
        <f t="shared" si="10"/>
        <v>0</v>
      </c>
      <c r="AG19" s="52">
        <v>0</v>
      </c>
      <c r="AH19" s="52">
        <v>0</v>
      </c>
      <c r="AI19" s="52">
        <f t="shared" si="11"/>
        <v>0</v>
      </c>
      <c r="AJ19" s="52">
        <v>0</v>
      </c>
      <c r="AK19" s="52">
        <f t="shared" si="12"/>
        <v>0</v>
      </c>
      <c r="AL19" s="52">
        <f t="shared" si="13"/>
        <v>0</v>
      </c>
      <c r="AM19" s="52">
        <v>0</v>
      </c>
      <c r="AN19" s="52">
        <f t="shared" si="14"/>
        <v>0</v>
      </c>
      <c r="AO19" s="52">
        <f t="shared" si="32"/>
        <v>0</v>
      </c>
      <c r="AP19" s="52">
        <f t="shared" si="33"/>
        <v>0</v>
      </c>
      <c r="AQ19" s="52">
        <v>0</v>
      </c>
      <c r="AR19" s="52">
        <f t="shared" si="15"/>
        <v>0</v>
      </c>
      <c r="AS19" s="52">
        <f t="shared" si="16"/>
        <v>0</v>
      </c>
      <c r="AT19" s="52">
        <f t="shared" si="17"/>
        <v>0</v>
      </c>
      <c r="AU19" s="52">
        <v>0</v>
      </c>
      <c r="AV19" s="52">
        <f t="shared" si="18"/>
        <v>0</v>
      </c>
      <c r="AW19" s="52">
        <f t="shared" si="19"/>
        <v>0</v>
      </c>
      <c r="AX19" s="52">
        <f t="shared" si="20"/>
        <v>0</v>
      </c>
      <c r="AY19" s="52">
        <v>0</v>
      </c>
      <c r="AZ19" s="52">
        <v>0</v>
      </c>
      <c r="BA19" s="52">
        <f t="shared" si="21"/>
        <v>0</v>
      </c>
      <c r="BB19" s="52">
        <f t="shared" si="22"/>
        <v>0</v>
      </c>
      <c r="BC19" s="52">
        <v>0</v>
      </c>
      <c r="BD19" s="52">
        <f t="shared" si="23"/>
        <v>0</v>
      </c>
      <c r="BE19" s="52">
        <f t="shared" si="24"/>
        <v>0</v>
      </c>
    </row>
    <row r="20" spans="1:57" ht="21" customHeight="1" thickBot="1">
      <c r="A20" s="31" t="s">
        <v>7</v>
      </c>
      <c r="B20" s="32" t="s">
        <v>17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f t="shared" si="1"/>
        <v>0</v>
      </c>
      <c r="O20" s="51">
        <f t="shared" si="2"/>
        <v>0</v>
      </c>
      <c r="P20" s="51">
        <v>0</v>
      </c>
      <c r="Q20" s="51">
        <f t="shared" si="3"/>
        <v>0</v>
      </c>
      <c r="R20" s="51">
        <f t="shared" si="4"/>
        <v>0</v>
      </c>
      <c r="S20" s="51">
        <v>0</v>
      </c>
      <c r="T20" s="51">
        <f>S20-L20</f>
        <v>0</v>
      </c>
      <c r="U20" s="51">
        <f>S20-K20</f>
        <v>0</v>
      </c>
      <c r="V20" s="51">
        <v>0</v>
      </c>
      <c r="W20" s="51">
        <f t="shared" si="5"/>
        <v>0</v>
      </c>
      <c r="X20" s="51">
        <f t="shared" si="6"/>
        <v>0</v>
      </c>
      <c r="Y20" s="51">
        <v>0</v>
      </c>
      <c r="Z20" s="51">
        <f t="shared" si="7"/>
        <v>0</v>
      </c>
      <c r="AA20" s="51">
        <f t="shared" si="8"/>
        <v>0</v>
      </c>
      <c r="AB20" s="51">
        <v>0</v>
      </c>
      <c r="AC20" s="51">
        <v>0</v>
      </c>
      <c r="AD20" s="51">
        <f t="shared" si="9"/>
        <v>0</v>
      </c>
      <c r="AE20" s="51">
        <f t="shared" si="31"/>
        <v>0</v>
      </c>
      <c r="AF20" s="51">
        <f t="shared" si="10"/>
        <v>0</v>
      </c>
      <c r="AG20" s="51">
        <v>0</v>
      </c>
      <c r="AH20" s="51">
        <v>0</v>
      </c>
      <c r="AI20" s="51">
        <f t="shared" si="11"/>
        <v>0</v>
      </c>
      <c r="AJ20" s="51">
        <v>0</v>
      </c>
      <c r="AK20" s="51">
        <f t="shared" si="12"/>
        <v>0</v>
      </c>
      <c r="AL20" s="51">
        <f t="shared" si="13"/>
        <v>0</v>
      </c>
      <c r="AM20" s="51">
        <v>0</v>
      </c>
      <c r="AN20" s="51">
        <f t="shared" si="14"/>
        <v>0</v>
      </c>
      <c r="AO20" s="51">
        <f t="shared" si="32"/>
        <v>0</v>
      </c>
      <c r="AP20" s="51">
        <f t="shared" si="33"/>
        <v>0</v>
      </c>
      <c r="AQ20" s="51">
        <v>0</v>
      </c>
      <c r="AR20" s="51">
        <f t="shared" si="15"/>
        <v>0</v>
      </c>
      <c r="AS20" s="51">
        <f t="shared" si="16"/>
        <v>0</v>
      </c>
      <c r="AT20" s="51">
        <f t="shared" si="17"/>
        <v>0</v>
      </c>
      <c r="AU20" s="51">
        <v>0</v>
      </c>
      <c r="AV20" s="51">
        <f t="shared" si="18"/>
        <v>0</v>
      </c>
      <c r="AW20" s="51">
        <f t="shared" si="19"/>
        <v>0</v>
      </c>
      <c r="AX20" s="51">
        <f t="shared" si="20"/>
        <v>0</v>
      </c>
      <c r="AY20" s="51">
        <v>0</v>
      </c>
      <c r="AZ20" s="51">
        <v>0</v>
      </c>
      <c r="BA20" s="51">
        <f t="shared" si="21"/>
        <v>0</v>
      </c>
      <c r="BB20" s="51">
        <f t="shared" si="22"/>
        <v>0</v>
      </c>
      <c r="BC20" s="51">
        <v>0</v>
      </c>
      <c r="BD20" s="51">
        <f t="shared" si="23"/>
        <v>0</v>
      </c>
      <c r="BE20" s="51">
        <f t="shared" si="24"/>
        <v>0</v>
      </c>
    </row>
    <row r="21" spans="1:57" ht="18" customHeight="1">
      <c r="A21" s="29" t="s">
        <v>8</v>
      </c>
      <c r="B21" s="1" t="s">
        <v>22</v>
      </c>
      <c r="C21" s="2">
        <f aca="true" t="shared" si="34" ref="C21:M21">C22+C28</f>
        <v>513123</v>
      </c>
      <c r="D21" s="2">
        <f t="shared" si="34"/>
        <v>515243</v>
      </c>
      <c r="E21" s="2">
        <f t="shared" si="34"/>
        <v>495395</v>
      </c>
      <c r="F21" s="54">
        <f>F23+F24+F25+F26+F28</f>
        <v>438583</v>
      </c>
      <c r="G21" s="2">
        <f t="shared" si="34"/>
        <v>574909</v>
      </c>
      <c r="H21" s="2">
        <f t="shared" si="34"/>
        <v>557134</v>
      </c>
      <c r="I21" s="2">
        <f>I22+I28</f>
        <v>490888</v>
      </c>
      <c r="J21" s="2">
        <f>J22+J28</f>
        <v>600009</v>
      </c>
      <c r="K21" s="2">
        <f t="shared" si="34"/>
        <v>648835</v>
      </c>
      <c r="L21" s="2">
        <f t="shared" si="34"/>
        <v>715608</v>
      </c>
      <c r="M21" s="2">
        <f t="shared" si="34"/>
        <v>782063</v>
      </c>
      <c r="N21" s="2">
        <f t="shared" si="1"/>
        <v>66455</v>
      </c>
      <c r="O21" s="2">
        <f t="shared" si="2"/>
        <v>133228</v>
      </c>
      <c r="P21" s="2">
        <f>P22+P28</f>
        <v>541993</v>
      </c>
      <c r="Q21" s="2">
        <f t="shared" si="3"/>
        <v>-173615</v>
      </c>
      <c r="R21" s="2">
        <f t="shared" si="4"/>
        <v>-106842</v>
      </c>
      <c r="S21" s="2">
        <f>S22+S28</f>
        <v>666941</v>
      </c>
      <c r="T21" s="2">
        <f>S21-L21</f>
        <v>-48667</v>
      </c>
      <c r="U21" s="2">
        <f>S21-K21</f>
        <v>18106</v>
      </c>
      <c r="V21" s="2">
        <f>V22+V28</f>
        <v>742695</v>
      </c>
      <c r="W21" s="2">
        <f t="shared" si="5"/>
        <v>27087</v>
      </c>
      <c r="X21" s="2">
        <f t="shared" si="6"/>
        <v>229572</v>
      </c>
      <c r="Y21" s="2">
        <f>Y22+Y28</f>
        <v>903218</v>
      </c>
      <c r="Z21" s="2">
        <f t="shared" si="7"/>
        <v>187610</v>
      </c>
      <c r="AA21" s="2">
        <f t="shared" si="8"/>
        <v>387975</v>
      </c>
      <c r="AB21" s="2">
        <f>AB22+AB28</f>
        <v>937990</v>
      </c>
      <c r="AC21" s="2">
        <f>AC22+AC28</f>
        <v>904667</v>
      </c>
      <c r="AD21" s="2">
        <f t="shared" si="9"/>
        <v>442595</v>
      </c>
      <c r="AE21" s="2">
        <f t="shared" si="31"/>
        <v>289155</v>
      </c>
      <c r="AF21" s="2">
        <f t="shared" si="10"/>
        <v>222382</v>
      </c>
      <c r="AG21" s="2">
        <f>AG22+AG28</f>
        <v>189059</v>
      </c>
      <c r="AH21" s="2">
        <f>AH22+AH28</f>
        <v>-33323</v>
      </c>
      <c r="AI21" s="2">
        <f t="shared" si="11"/>
        <v>466084</v>
      </c>
      <c r="AJ21" s="2">
        <f>AJ22+AJ28</f>
        <v>793269</v>
      </c>
      <c r="AK21" s="2">
        <f t="shared" si="12"/>
        <v>77661</v>
      </c>
      <c r="AL21" s="2">
        <f t="shared" si="13"/>
        <v>218360</v>
      </c>
      <c r="AM21" s="2">
        <f>AM22+AM28</f>
        <v>862821</v>
      </c>
      <c r="AN21" s="2">
        <f t="shared" si="14"/>
        <v>305687</v>
      </c>
      <c r="AO21" s="2">
        <f t="shared" si="32"/>
        <v>213986</v>
      </c>
      <c r="AP21" s="2">
        <f t="shared" si="33"/>
        <v>147213</v>
      </c>
      <c r="AQ21" s="2">
        <f>AQ22+AQ28</f>
        <v>880939</v>
      </c>
      <c r="AR21" s="2">
        <f t="shared" si="15"/>
        <v>390051</v>
      </c>
      <c r="AS21" s="2">
        <f t="shared" si="16"/>
        <v>232104</v>
      </c>
      <c r="AT21" s="2">
        <f t="shared" si="17"/>
        <v>165331</v>
      </c>
      <c r="AU21" s="2">
        <f>AU22+AU28</f>
        <v>748307</v>
      </c>
      <c r="AV21" s="2">
        <f t="shared" si="18"/>
        <v>148298</v>
      </c>
      <c r="AW21" s="2">
        <f t="shared" si="19"/>
        <v>99472</v>
      </c>
      <c r="AX21" s="2">
        <f t="shared" si="20"/>
        <v>32699</v>
      </c>
      <c r="AY21" s="2">
        <f>AY22+AY28</f>
        <v>970811</v>
      </c>
      <c r="AZ21" s="2">
        <f>AZ22+AZ28</f>
        <v>839899</v>
      </c>
      <c r="BA21" s="2">
        <f t="shared" si="21"/>
        <v>191064</v>
      </c>
      <c r="BB21" s="2">
        <f t="shared" si="22"/>
        <v>124291</v>
      </c>
      <c r="BC21" s="2">
        <f>BC22+BC28</f>
        <v>828351</v>
      </c>
      <c r="BD21" s="2">
        <f t="shared" si="23"/>
        <v>179516</v>
      </c>
      <c r="BE21" s="2">
        <f t="shared" si="24"/>
        <v>112743</v>
      </c>
    </row>
    <row r="22" spans="1:57" s="35" customFormat="1" ht="16.5" customHeight="1">
      <c r="A22" s="40"/>
      <c r="B22" s="4" t="s">
        <v>23</v>
      </c>
      <c r="C22" s="41">
        <f aca="true" t="shared" si="35" ref="C22:M22">C24+C25+C26+C27</f>
        <v>569937</v>
      </c>
      <c r="D22" s="41">
        <f t="shared" si="35"/>
        <v>572134</v>
      </c>
      <c r="E22" s="41">
        <f t="shared" si="35"/>
        <v>552286</v>
      </c>
      <c r="F22" s="41">
        <f>F24+F25+F26+F27</f>
        <v>495473</v>
      </c>
      <c r="G22" s="41">
        <f t="shared" si="35"/>
        <v>631799</v>
      </c>
      <c r="H22" s="41">
        <f t="shared" si="35"/>
        <v>613924</v>
      </c>
      <c r="I22" s="41">
        <f>I24+I25+I26+I27</f>
        <v>547678</v>
      </c>
      <c r="J22" s="41">
        <f>J24+J25+J26+J27</f>
        <v>656799</v>
      </c>
      <c r="K22" s="41">
        <f t="shared" si="35"/>
        <v>789979</v>
      </c>
      <c r="L22" s="41">
        <f t="shared" si="35"/>
        <v>790000</v>
      </c>
      <c r="M22" s="41">
        <f t="shared" si="35"/>
        <v>838653</v>
      </c>
      <c r="N22" s="41">
        <f t="shared" si="1"/>
        <v>48653</v>
      </c>
      <c r="O22" s="41">
        <f t="shared" si="2"/>
        <v>48674</v>
      </c>
      <c r="P22" s="41">
        <f>P24+P25+P26+P27</f>
        <v>598583</v>
      </c>
      <c r="Q22" s="41">
        <f t="shared" si="3"/>
        <v>-191417</v>
      </c>
      <c r="R22" s="41">
        <f t="shared" si="4"/>
        <v>-191396</v>
      </c>
      <c r="S22" s="41">
        <f>S24+S25+S26+S27</f>
        <v>771197</v>
      </c>
      <c r="T22" s="41">
        <f>S22-L22</f>
        <v>-18803</v>
      </c>
      <c r="U22" s="41">
        <f>S22-K22</f>
        <v>-18782</v>
      </c>
      <c r="V22" s="41">
        <f>V24+V25+V26+V27</f>
        <v>846951</v>
      </c>
      <c r="W22" s="41">
        <f t="shared" si="5"/>
        <v>56951</v>
      </c>
      <c r="X22" s="41">
        <f t="shared" si="6"/>
        <v>277014</v>
      </c>
      <c r="Y22" s="41">
        <f>Y24+Y25+Y26+Y27</f>
        <v>1007474</v>
      </c>
      <c r="Z22" s="41">
        <f t="shared" si="7"/>
        <v>217474</v>
      </c>
      <c r="AA22" s="41">
        <f t="shared" si="8"/>
        <v>435340</v>
      </c>
      <c r="AB22" s="41">
        <f>AB24+AB25+AB26+AB27</f>
        <v>1042246</v>
      </c>
      <c r="AC22" s="41">
        <f>AC24+AC25+AC26+AC27</f>
        <v>1056513</v>
      </c>
      <c r="AD22" s="41">
        <f t="shared" si="9"/>
        <v>489960</v>
      </c>
      <c r="AE22" s="41">
        <f t="shared" si="31"/>
        <v>252267</v>
      </c>
      <c r="AF22" s="41">
        <f t="shared" si="10"/>
        <v>252246</v>
      </c>
      <c r="AG22" s="41">
        <f>AG24+AG25+AG26+AG27</f>
        <v>266513</v>
      </c>
      <c r="AH22" s="41">
        <f>AH24+AH25+AH26+AH27</f>
        <v>14267</v>
      </c>
      <c r="AI22" s="41">
        <f t="shared" si="11"/>
        <v>561040</v>
      </c>
      <c r="AJ22" s="41">
        <f>AJ24+AJ25+AJ26+AJ27</f>
        <v>945115</v>
      </c>
      <c r="AK22" s="41">
        <f t="shared" si="12"/>
        <v>155115</v>
      </c>
      <c r="AL22" s="41">
        <f t="shared" si="13"/>
        <v>313316</v>
      </c>
      <c r="AM22" s="41">
        <f>AM24+AM25+AM26+AM27</f>
        <v>998599</v>
      </c>
      <c r="AN22" s="41">
        <f t="shared" si="14"/>
        <v>384675</v>
      </c>
      <c r="AO22" s="41">
        <f t="shared" si="32"/>
        <v>208620</v>
      </c>
      <c r="AP22" s="41">
        <f t="shared" si="33"/>
        <v>208599</v>
      </c>
      <c r="AQ22" s="41">
        <f>AQ24+AQ25+AQ26+AQ27</f>
        <v>1030653</v>
      </c>
      <c r="AR22" s="41">
        <f t="shared" si="15"/>
        <v>482975</v>
      </c>
      <c r="AS22" s="41">
        <f t="shared" si="16"/>
        <v>240674</v>
      </c>
      <c r="AT22" s="41">
        <f t="shared" si="17"/>
        <v>240653</v>
      </c>
      <c r="AU22" s="41">
        <f>AU24+AU25+AU26+AU27</f>
        <v>908860</v>
      </c>
      <c r="AV22" s="41">
        <f t="shared" si="18"/>
        <v>252061</v>
      </c>
      <c r="AW22" s="41">
        <f t="shared" si="19"/>
        <v>118881</v>
      </c>
      <c r="AX22" s="41">
        <f t="shared" si="20"/>
        <v>118860</v>
      </c>
      <c r="AY22" s="41">
        <f>AY24+AY25+AY26+AY27</f>
        <v>1117620</v>
      </c>
      <c r="AZ22" s="41">
        <f>AZ24+AZ25+AZ26+AZ27</f>
        <v>1000452</v>
      </c>
      <c r="BA22" s="41">
        <f t="shared" si="21"/>
        <v>210473</v>
      </c>
      <c r="BB22" s="41">
        <f t="shared" si="22"/>
        <v>210452</v>
      </c>
      <c r="BC22" s="41">
        <f>BC24+BC25+BC26+BC27</f>
        <v>1000173</v>
      </c>
      <c r="BD22" s="41">
        <f t="shared" si="23"/>
        <v>210194</v>
      </c>
      <c r="BE22" s="41">
        <f t="shared" si="24"/>
        <v>210173</v>
      </c>
    </row>
    <row r="23" spans="1:57" ht="15" customHeight="1">
      <c r="A23" s="11"/>
      <c r="B23" s="4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>
        <f t="shared" si="11"/>
        <v>0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6.5" customHeight="1">
      <c r="A24" s="11"/>
      <c r="B24" s="12" t="s">
        <v>47</v>
      </c>
      <c r="C24" s="25">
        <v>73822</v>
      </c>
      <c r="D24" s="25">
        <v>73999</v>
      </c>
      <c r="E24" s="25">
        <v>73999</v>
      </c>
      <c r="F24" s="25">
        <v>69998</v>
      </c>
      <c r="G24" s="25">
        <v>69998</v>
      </c>
      <c r="H24" s="25">
        <v>69998</v>
      </c>
      <c r="I24" s="25">
        <v>69998</v>
      </c>
      <c r="J24" s="25">
        <v>69998</v>
      </c>
      <c r="K24" s="25">
        <v>69998</v>
      </c>
      <c r="L24" s="25">
        <v>60000</v>
      </c>
      <c r="M24" s="25">
        <f>8496+56590</f>
        <v>65086</v>
      </c>
      <c r="N24" s="25">
        <f t="shared" si="1"/>
        <v>5086</v>
      </c>
      <c r="O24" s="25">
        <f t="shared" si="2"/>
        <v>-4912</v>
      </c>
      <c r="P24" s="25">
        <f>8545+56590</f>
        <v>65135</v>
      </c>
      <c r="Q24" s="25">
        <f t="shared" si="3"/>
        <v>5135</v>
      </c>
      <c r="R24" s="25">
        <f t="shared" si="4"/>
        <v>-4863</v>
      </c>
      <c r="S24" s="25">
        <f>8410+54212</f>
        <v>62622</v>
      </c>
      <c r="T24" s="25">
        <f>S24-L24</f>
        <v>2622</v>
      </c>
      <c r="U24" s="25">
        <f>S24-K24</f>
        <v>-7376</v>
      </c>
      <c r="V24" s="25">
        <f>8462+54212</f>
        <v>62674</v>
      </c>
      <c r="W24" s="25">
        <f t="shared" si="5"/>
        <v>2674</v>
      </c>
      <c r="X24" s="25">
        <f t="shared" si="6"/>
        <v>-11148</v>
      </c>
      <c r="Y24" s="25">
        <f>8517+54212</f>
        <v>62729</v>
      </c>
      <c r="Z24" s="25">
        <f t="shared" si="7"/>
        <v>2729</v>
      </c>
      <c r="AA24" s="25">
        <f t="shared" si="8"/>
        <v>-11270</v>
      </c>
      <c r="AB24" s="25">
        <f>8410+54212</f>
        <v>62622</v>
      </c>
      <c r="AC24" s="25">
        <f>3457+48585+4551+1076</f>
        <v>57669</v>
      </c>
      <c r="AD24" s="25">
        <f t="shared" si="9"/>
        <v>-11377</v>
      </c>
      <c r="AE24" s="25">
        <f aca="true" t="shared" si="36" ref="AE24:AE33">AB24-K24</f>
        <v>-7376</v>
      </c>
      <c r="AF24" s="25">
        <f t="shared" si="10"/>
        <v>2622</v>
      </c>
      <c r="AG24" s="25">
        <f>AC24-L24</f>
        <v>-2331</v>
      </c>
      <c r="AH24" s="25">
        <f>AC24-AB24</f>
        <v>-4953</v>
      </c>
      <c r="AI24" s="25">
        <f t="shared" si="11"/>
        <v>-12329</v>
      </c>
      <c r="AJ24" s="25">
        <f>3476+54212</f>
        <v>57688</v>
      </c>
      <c r="AK24" s="25">
        <f t="shared" si="12"/>
        <v>-2312</v>
      </c>
      <c r="AL24" s="25">
        <f t="shared" si="13"/>
        <v>-12310</v>
      </c>
      <c r="AM24" s="25">
        <f>3487+54212</f>
        <v>57699</v>
      </c>
      <c r="AN24" s="25">
        <f t="shared" si="14"/>
        <v>-12299</v>
      </c>
      <c r="AO24" s="25">
        <f aca="true" t="shared" si="37" ref="AO24:AO33">AM24-K24</f>
        <v>-12299</v>
      </c>
      <c r="AP24" s="25">
        <f aca="true" t="shared" si="38" ref="AP24:AP33">AM24-L24</f>
        <v>-2301</v>
      </c>
      <c r="AQ24" s="25">
        <f>3428+54212</f>
        <v>57640</v>
      </c>
      <c r="AR24" s="25">
        <f t="shared" si="15"/>
        <v>-12358</v>
      </c>
      <c r="AS24" s="25">
        <f t="shared" si="16"/>
        <v>-12358</v>
      </c>
      <c r="AT24" s="25">
        <f t="shared" si="17"/>
        <v>-2360</v>
      </c>
      <c r="AU24" s="25">
        <v>57659</v>
      </c>
      <c r="AV24" s="25">
        <f t="shared" si="18"/>
        <v>-12339</v>
      </c>
      <c r="AW24" s="25">
        <f t="shared" si="19"/>
        <v>-12339</v>
      </c>
      <c r="AX24" s="25">
        <f t="shared" si="20"/>
        <v>-2341</v>
      </c>
      <c r="AY24" s="25">
        <f>3408+54212</f>
        <v>57620</v>
      </c>
      <c r="AZ24" s="25">
        <v>57621</v>
      </c>
      <c r="BA24" s="25">
        <f t="shared" si="21"/>
        <v>-12377</v>
      </c>
      <c r="BB24" s="25">
        <f t="shared" si="22"/>
        <v>-2379</v>
      </c>
      <c r="BC24" s="25">
        <v>57621</v>
      </c>
      <c r="BD24" s="25">
        <f t="shared" si="23"/>
        <v>-12377</v>
      </c>
      <c r="BE24" s="25">
        <f t="shared" si="24"/>
        <v>-2379</v>
      </c>
    </row>
    <row r="25" spans="1:57" ht="16.5" customHeight="1">
      <c r="A25" s="11"/>
      <c r="B25" s="12" t="s">
        <v>48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f t="shared" si="1"/>
        <v>0</v>
      </c>
      <c r="O25" s="45">
        <f t="shared" si="2"/>
        <v>0</v>
      </c>
      <c r="P25" s="45">
        <v>0</v>
      </c>
      <c r="Q25" s="45">
        <f t="shared" si="3"/>
        <v>0</v>
      </c>
      <c r="R25" s="45">
        <f t="shared" si="4"/>
        <v>0</v>
      </c>
      <c r="S25" s="45">
        <v>0</v>
      </c>
      <c r="T25" s="45">
        <f>S25-L25</f>
        <v>0</v>
      </c>
      <c r="U25" s="45">
        <f>S25-K25</f>
        <v>0</v>
      </c>
      <c r="V25" s="45">
        <v>0</v>
      </c>
      <c r="W25" s="45">
        <f t="shared" si="5"/>
        <v>0</v>
      </c>
      <c r="X25" s="45">
        <f t="shared" si="6"/>
        <v>0</v>
      </c>
      <c r="Y25" s="45">
        <v>0</v>
      </c>
      <c r="Z25" s="45">
        <f t="shared" si="7"/>
        <v>0</v>
      </c>
      <c r="AA25" s="45">
        <f t="shared" si="8"/>
        <v>0</v>
      </c>
      <c r="AB25" s="45">
        <v>0</v>
      </c>
      <c r="AC25" s="45">
        <v>0</v>
      </c>
      <c r="AD25" s="45">
        <f t="shared" si="9"/>
        <v>0</v>
      </c>
      <c r="AE25" s="45">
        <f t="shared" si="36"/>
        <v>0</v>
      </c>
      <c r="AF25" s="45">
        <f t="shared" si="10"/>
        <v>0</v>
      </c>
      <c r="AG25" s="45">
        <f>AC25-L25</f>
        <v>0</v>
      </c>
      <c r="AH25" s="45">
        <f>AC25-AB25</f>
        <v>0</v>
      </c>
      <c r="AI25" s="45">
        <f t="shared" si="11"/>
        <v>0</v>
      </c>
      <c r="AJ25" s="45">
        <v>0</v>
      </c>
      <c r="AK25" s="45">
        <f t="shared" si="12"/>
        <v>0</v>
      </c>
      <c r="AL25" s="45">
        <f t="shared" si="13"/>
        <v>0</v>
      </c>
      <c r="AM25" s="45">
        <v>0</v>
      </c>
      <c r="AN25" s="45">
        <f t="shared" si="14"/>
        <v>0</v>
      </c>
      <c r="AO25" s="45">
        <f t="shared" si="37"/>
        <v>0</v>
      </c>
      <c r="AP25" s="45">
        <f t="shared" si="38"/>
        <v>0</v>
      </c>
      <c r="AQ25" s="45">
        <v>0</v>
      </c>
      <c r="AR25" s="45">
        <f t="shared" si="15"/>
        <v>0</v>
      </c>
      <c r="AS25" s="45">
        <f t="shared" si="16"/>
        <v>0</v>
      </c>
      <c r="AT25" s="45">
        <f t="shared" si="17"/>
        <v>0</v>
      </c>
      <c r="AU25" s="45">
        <v>0</v>
      </c>
      <c r="AV25" s="45">
        <f t="shared" si="18"/>
        <v>0</v>
      </c>
      <c r="AW25" s="45">
        <f t="shared" si="19"/>
        <v>0</v>
      </c>
      <c r="AX25" s="45">
        <f t="shared" si="20"/>
        <v>0</v>
      </c>
      <c r="AY25" s="45">
        <v>0</v>
      </c>
      <c r="AZ25" s="45">
        <v>0</v>
      </c>
      <c r="BA25" s="45">
        <f t="shared" si="21"/>
        <v>0</v>
      </c>
      <c r="BB25" s="45">
        <f t="shared" si="22"/>
        <v>0</v>
      </c>
      <c r="BC25" s="45">
        <v>0</v>
      </c>
      <c r="BD25" s="45">
        <f t="shared" si="23"/>
        <v>0</v>
      </c>
      <c r="BE25" s="45">
        <f t="shared" si="24"/>
        <v>0</v>
      </c>
    </row>
    <row r="26" spans="1:57" ht="16.5" customHeight="1">
      <c r="A26" s="3"/>
      <c r="B26" s="5" t="s">
        <v>51</v>
      </c>
      <c r="C26" s="45">
        <v>496115</v>
      </c>
      <c r="D26" s="45">
        <v>498135</v>
      </c>
      <c r="E26" s="45">
        <v>478287</v>
      </c>
      <c r="F26" s="45">
        <v>425475</v>
      </c>
      <c r="G26" s="45">
        <v>561801</v>
      </c>
      <c r="H26" s="45">
        <v>543926</v>
      </c>
      <c r="I26" s="45">
        <v>477680</v>
      </c>
      <c r="J26" s="45">
        <v>586801</v>
      </c>
      <c r="K26" s="45">
        <f>720663-682</f>
        <v>719981</v>
      </c>
      <c r="L26" s="45">
        <v>730000</v>
      </c>
      <c r="M26" s="45">
        <f>280787+62981+7236+415240+7323</f>
        <v>773567</v>
      </c>
      <c r="N26" s="45">
        <f t="shared" si="1"/>
        <v>43567</v>
      </c>
      <c r="O26" s="45">
        <f t="shared" si="2"/>
        <v>53586</v>
      </c>
      <c r="P26" s="45">
        <f>343838+77025+7264+102353+2968</f>
        <v>533448</v>
      </c>
      <c r="Q26" s="45">
        <f t="shared" si="3"/>
        <v>-196552</v>
      </c>
      <c r="R26" s="45">
        <f t="shared" si="4"/>
        <v>-186533</v>
      </c>
      <c r="S26" s="45">
        <f>364692+88454+7294+245167+2968</f>
        <v>708575</v>
      </c>
      <c r="T26" s="45">
        <f>S26-L26</f>
        <v>-21425</v>
      </c>
      <c r="U26" s="45">
        <f>S26-K26</f>
        <v>-11406</v>
      </c>
      <c r="V26" s="45">
        <v>784277</v>
      </c>
      <c r="W26" s="45">
        <f t="shared" si="5"/>
        <v>54277</v>
      </c>
      <c r="X26" s="45">
        <f t="shared" si="6"/>
        <v>288162</v>
      </c>
      <c r="Y26" s="45">
        <f>472147+100484+369146+2968</f>
        <v>944745</v>
      </c>
      <c r="Z26" s="45">
        <f t="shared" si="7"/>
        <v>214745</v>
      </c>
      <c r="AA26" s="45">
        <f t="shared" si="8"/>
        <v>446610</v>
      </c>
      <c r="AB26" s="45">
        <f>473524+80410+422722+2968</f>
        <v>979624</v>
      </c>
      <c r="AC26" s="45">
        <f>464109+61833+469933+2969</f>
        <v>998844</v>
      </c>
      <c r="AD26" s="45">
        <f t="shared" si="9"/>
        <v>501337</v>
      </c>
      <c r="AE26" s="45">
        <f t="shared" si="36"/>
        <v>259643</v>
      </c>
      <c r="AF26" s="45">
        <f t="shared" si="10"/>
        <v>249624</v>
      </c>
      <c r="AG26" s="45">
        <f>AC26-L26</f>
        <v>268844</v>
      </c>
      <c r="AH26" s="45">
        <f>AC26-AB26</f>
        <v>19220</v>
      </c>
      <c r="AI26" s="45">
        <f t="shared" si="11"/>
        <v>573369</v>
      </c>
      <c r="AJ26" s="45">
        <f>395531+68353+420575+2968</f>
        <v>887427</v>
      </c>
      <c r="AK26" s="45">
        <f t="shared" si="12"/>
        <v>157427</v>
      </c>
      <c r="AL26" s="45">
        <f t="shared" si="13"/>
        <v>325626</v>
      </c>
      <c r="AM26" s="45">
        <f>391439+68316+478176+2968+1</f>
        <v>940900</v>
      </c>
      <c r="AN26" s="45">
        <f t="shared" si="14"/>
        <v>396974</v>
      </c>
      <c r="AO26" s="45">
        <f t="shared" si="37"/>
        <v>220919</v>
      </c>
      <c r="AP26" s="45">
        <f t="shared" si="38"/>
        <v>210900</v>
      </c>
      <c r="AQ26" s="45">
        <v>973013</v>
      </c>
      <c r="AR26" s="45">
        <f t="shared" si="15"/>
        <v>495333</v>
      </c>
      <c r="AS26" s="45">
        <f t="shared" si="16"/>
        <v>253032</v>
      </c>
      <c r="AT26" s="45">
        <f t="shared" si="17"/>
        <v>243013</v>
      </c>
      <c r="AU26" s="45">
        <v>851201</v>
      </c>
      <c r="AV26" s="45">
        <f t="shared" si="18"/>
        <v>264400</v>
      </c>
      <c r="AW26" s="45">
        <f t="shared" si="19"/>
        <v>131220</v>
      </c>
      <c r="AX26" s="45">
        <f t="shared" si="20"/>
        <v>121201</v>
      </c>
      <c r="AY26" s="45">
        <v>1060000</v>
      </c>
      <c r="AZ26" s="45">
        <v>942831</v>
      </c>
      <c r="BA26" s="45">
        <f t="shared" si="21"/>
        <v>222850</v>
      </c>
      <c r="BB26" s="45">
        <f t="shared" si="22"/>
        <v>212831</v>
      </c>
      <c r="BC26" s="45">
        <v>942552</v>
      </c>
      <c r="BD26" s="45">
        <f t="shared" si="23"/>
        <v>222571</v>
      </c>
      <c r="BE26" s="45">
        <f t="shared" si="24"/>
        <v>212552</v>
      </c>
    </row>
    <row r="27" spans="1:57" ht="16.5" customHeight="1">
      <c r="A27" s="3"/>
      <c r="B27" s="5" t="s">
        <v>24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f t="shared" si="1"/>
        <v>0</v>
      </c>
      <c r="O27" s="45">
        <f t="shared" si="2"/>
        <v>0</v>
      </c>
      <c r="P27" s="45">
        <v>0</v>
      </c>
      <c r="Q27" s="45">
        <f t="shared" si="3"/>
        <v>0</v>
      </c>
      <c r="R27" s="45">
        <f t="shared" si="4"/>
        <v>0</v>
      </c>
      <c r="S27" s="45">
        <v>0</v>
      </c>
      <c r="T27" s="45">
        <f>S27-L27</f>
        <v>0</v>
      </c>
      <c r="U27" s="45">
        <f>S27-K27</f>
        <v>0</v>
      </c>
      <c r="V27" s="45">
        <v>0</v>
      </c>
      <c r="W27" s="45">
        <f t="shared" si="5"/>
        <v>0</v>
      </c>
      <c r="X27" s="45">
        <f t="shared" si="6"/>
        <v>0</v>
      </c>
      <c r="Y27" s="45">
        <v>0</v>
      </c>
      <c r="Z27" s="45">
        <f t="shared" si="7"/>
        <v>0</v>
      </c>
      <c r="AA27" s="45">
        <f t="shared" si="8"/>
        <v>0</v>
      </c>
      <c r="AB27" s="45">
        <v>0</v>
      </c>
      <c r="AC27" s="45">
        <v>0</v>
      </c>
      <c r="AD27" s="45">
        <f t="shared" si="9"/>
        <v>0</v>
      </c>
      <c r="AE27" s="45">
        <f t="shared" si="36"/>
        <v>0</v>
      </c>
      <c r="AF27" s="45">
        <f t="shared" si="10"/>
        <v>0</v>
      </c>
      <c r="AG27" s="45">
        <f>AC27-L27</f>
        <v>0</v>
      </c>
      <c r="AH27" s="45">
        <f>AC27-AB27</f>
        <v>0</v>
      </c>
      <c r="AI27" s="45">
        <f t="shared" si="11"/>
        <v>0</v>
      </c>
      <c r="AJ27" s="45">
        <v>0</v>
      </c>
      <c r="AK27" s="45">
        <f t="shared" si="12"/>
        <v>0</v>
      </c>
      <c r="AL27" s="45">
        <f t="shared" si="13"/>
        <v>0</v>
      </c>
      <c r="AM27" s="45">
        <v>0</v>
      </c>
      <c r="AN27" s="45">
        <f t="shared" si="14"/>
        <v>0</v>
      </c>
      <c r="AO27" s="45">
        <f t="shared" si="37"/>
        <v>0</v>
      </c>
      <c r="AP27" s="45">
        <f t="shared" si="38"/>
        <v>0</v>
      </c>
      <c r="AQ27" s="45">
        <v>0</v>
      </c>
      <c r="AR27" s="45">
        <f t="shared" si="15"/>
        <v>0</v>
      </c>
      <c r="AS27" s="45">
        <f t="shared" si="16"/>
        <v>0</v>
      </c>
      <c r="AT27" s="45">
        <f t="shared" si="17"/>
        <v>0</v>
      </c>
      <c r="AU27" s="45">
        <v>0</v>
      </c>
      <c r="AV27" s="45">
        <f t="shared" si="18"/>
        <v>0</v>
      </c>
      <c r="AW27" s="45">
        <f t="shared" si="19"/>
        <v>0</v>
      </c>
      <c r="AX27" s="45">
        <f t="shared" si="20"/>
        <v>0</v>
      </c>
      <c r="AY27" s="45">
        <v>0</v>
      </c>
      <c r="AZ27" s="45">
        <v>0</v>
      </c>
      <c r="BA27" s="45">
        <f t="shared" si="21"/>
        <v>0</v>
      </c>
      <c r="BB27" s="45">
        <f t="shared" si="22"/>
        <v>0</v>
      </c>
      <c r="BC27" s="45">
        <v>0</v>
      </c>
      <c r="BD27" s="45">
        <f t="shared" si="23"/>
        <v>0</v>
      </c>
      <c r="BE27" s="45">
        <f t="shared" si="24"/>
        <v>0</v>
      </c>
    </row>
    <row r="28" spans="1:57" ht="16.5" customHeight="1" thickBot="1">
      <c r="A28" s="26"/>
      <c r="B28" s="5" t="s">
        <v>52</v>
      </c>
      <c r="C28" s="47">
        <v>-56814</v>
      </c>
      <c r="D28" s="47">
        <v>-56891</v>
      </c>
      <c r="E28" s="47">
        <v>-56891</v>
      </c>
      <c r="F28" s="47">
        <v>-56890</v>
      </c>
      <c r="G28" s="47">
        <v>-56890</v>
      </c>
      <c r="H28" s="47">
        <v>-56790</v>
      </c>
      <c r="I28" s="47">
        <v>-56790</v>
      </c>
      <c r="J28" s="47">
        <v>-56790</v>
      </c>
      <c r="K28" s="47">
        <f>-141244+100</f>
        <v>-141144</v>
      </c>
      <c r="L28" s="47">
        <v>-74392</v>
      </c>
      <c r="M28" s="47">
        <v>-56590</v>
      </c>
      <c r="N28" s="47">
        <f t="shared" si="1"/>
        <v>17802</v>
      </c>
      <c r="O28" s="47">
        <f t="shared" si="2"/>
        <v>84554</v>
      </c>
      <c r="P28" s="47">
        <v>-56590</v>
      </c>
      <c r="Q28" s="47">
        <f t="shared" si="3"/>
        <v>17802</v>
      </c>
      <c r="R28" s="47">
        <f t="shared" si="4"/>
        <v>84554</v>
      </c>
      <c r="S28" s="47">
        <v>-104256</v>
      </c>
      <c r="T28" s="47">
        <f>S28-L28</f>
        <v>-29864</v>
      </c>
      <c r="U28" s="47">
        <f>S28-K28</f>
        <v>36888</v>
      </c>
      <c r="V28" s="47">
        <v>-104256</v>
      </c>
      <c r="W28" s="47">
        <f t="shared" si="5"/>
        <v>-29864</v>
      </c>
      <c r="X28" s="47">
        <f t="shared" si="6"/>
        <v>-47442</v>
      </c>
      <c r="Y28" s="47">
        <v>-104256</v>
      </c>
      <c r="Z28" s="47">
        <f t="shared" si="7"/>
        <v>-29864</v>
      </c>
      <c r="AA28" s="47">
        <f t="shared" si="8"/>
        <v>-47365</v>
      </c>
      <c r="AB28" s="47">
        <v>-104256</v>
      </c>
      <c r="AC28" s="47">
        <v>-151846</v>
      </c>
      <c r="AD28" s="47">
        <f t="shared" si="9"/>
        <v>-47365</v>
      </c>
      <c r="AE28" s="47">
        <f t="shared" si="36"/>
        <v>36888</v>
      </c>
      <c r="AF28" s="47">
        <f t="shared" si="10"/>
        <v>-29864</v>
      </c>
      <c r="AG28" s="47">
        <f>AC28-L28</f>
        <v>-77454</v>
      </c>
      <c r="AH28" s="47">
        <f>AC28-AB28</f>
        <v>-47590</v>
      </c>
      <c r="AI28" s="47">
        <f t="shared" si="11"/>
        <v>-94956</v>
      </c>
      <c r="AJ28" s="47">
        <v>-151846</v>
      </c>
      <c r="AK28" s="47">
        <f t="shared" si="12"/>
        <v>-77454</v>
      </c>
      <c r="AL28" s="47">
        <f t="shared" si="13"/>
        <v>-94956</v>
      </c>
      <c r="AM28" s="47">
        <v>-135778</v>
      </c>
      <c r="AN28" s="47">
        <f t="shared" si="14"/>
        <v>-78988</v>
      </c>
      <c r="AO28" s="47">
        <f t="shared" si="37"/>
        <v>5366</v>
      </c>
      <c r="AP28" s="47">
        <f t="shared" si="38"/>
        <v>-61386</v>
      </c>
      <c r="AQ28" s="47">
        <v>-149714</v>
      </c>
      <c r="AR28" s="47">
        <f t="shared" si="15"/>
        <v>-92924</v>
      </c>
      <c r="AS28" s="47">
        <f t="shared" si="16"/>
        <v>-8570</v>
      </c>
      <c r="AT28" s="47">
        <f t="shared" si="17"/>
        <v>-75322</v>
      </c>
      <c r="AU28" s="47">
        <v>-160553</v>
      </c>
      <c r="AV28" s="47">
        <f t="shared" si="18"/>
        <v>-103763</v>
      </c>
      <c r="AW28" s="47">
        <f t="shared" si="19"/>
        <v>-19409</v>
      </c>
      <c r="AX28" s="47">
        <f t="shared" si="20"/>
        <v>-86161</v>
      </c>
      <c r="AY28" s="47">
        <v>-146809</v>
      </c>
      <c r="AZ28" s="47">
        <v>-160553</v>
      </c>
      <c r="BA28" s="47">
        <f t="shared" si="21"/>
        <v>-19409</v>
      </c>
      <c r="BB28" s="47">
        <f t="shared" si="22"/>
        <v>-86161</v>
      </c>
      <c r="BC28" s="47">
        <v>-171822</v>
      </c>
      <c r="BD28" s="47">
        <f t="shared" si="23"/>
        <v>-30678</v>
      </c>
      <c r="BE28" s="47">
        <f t="shared" si="24"/>
        <v>-97430</v>
      </c>
    </row>
    <row r="29" spans="1:57" ht="30" customHeight="1">
      <c r="A29" s="30" t="s">
        <v>9</v>
      </c>
      <c r="B29" s="1" t="s">
        <v>37</v>
      </c>
      <c r="C29" s="22">
        <f aca="true" t="shared" si="39" ref="C29:M29">C30+C31</f>
        <v>10718</v>
      </c>
      <c r="D29" s="22">
        <f t="shared" si="39"/>
        <v>7465</v>
      </c>
      <c r="E29" s="22">
        <f t="shared" si="39"/>
        <v>10129</v>
      </c>
      <c r="F29" s="22">
        <f t="shared" si="39"/>
        <v>8842</v>
      </c>
      <c r="G29" s="22">
        <f t="shared" si="39"/>
        <v>7045</v>
      </c>
      <c r="H29" s="22">
        <f t="shared" si="39"/>
        <v>36622</v>
      </c>
      <c r="I29" s="22">
        <f t="shared" si="39"/>
        <v>9185</v>
      </c>
      <c r="J29" s="22">
        <f t="shared" si="39"/>
        <v>8213</v>
      </c>
      <c r="K29" s="22">
        <f t="shared" si="39"/>
        <v>65453</v>
      </c>
      <c r="L29" s="22">
        <f t="shared" si="39"/>
        <v>6500</v>
      </c>
      <c r="M29" s="22">
        <f t="shared" si="39"/>
        <v>10961</v>
      </c>
      <c r="N29" s="22">
        <f t="shared" si="1"/>
        <v>4461</v>
      </c>
      <c r="O29" s="22">
        <f t="shared" si="2"/>
        <v>-54492</v>
      </c>
      <c r="P29" s="22">
        <f>P30+P31</f>
        <v>9629</v>
      </c>
      <c r="Q29" s="22">
        <f t="shared" si="3"/>
        <v>3129</v>
      </c>
      <c r="R29" s="22">
        <f t="shared" si="4"/>
        <v>-55824</v>
      </c>
      <c r="S29" s="22">
        <f>S30+S31</f>
        <v>21208</v>
      </c>
      <c r="T29" s="22">
        <f>S29-L29</f>
        <v>14708</v>
      </c>
      <c r="U29" s="22">
        <f>S29-K29</f>
        <v>-44245</v>
      </c>
      <c r="V29" s="22">
        <f>V30+V31</f>
        <v>21394</v>
      </c>
      <c r="W29" s="22">
        <f t="shared" si="5"/>
        <v>14894</v>
      </c>
      <c r="X29" s="22">
        <f t="shared" si="6"/>
        <v>10676</v>
      </c>
      <c r="Y29" s="22">
        <f>Y30+Y31</f>
        <v>11674</v>
      </c>
      <c r="Z29" s="22">
        <f t="shared" si="7"/>
        <v>5174</v>
      </c>
      <c r="AA29" s="22">
        <f t="shared" si="8"/>
        <v>4209</v>
      </c>
      <c r="AB29" s="22">
        <f>AB30+AB31</f>
        <v>19851</v>
      </c>
      <c r="AC29" s="22">
        <f>AC30+AC31</f>
        <v>19013</v>
      </c>
      <c r="AD29" s="22">
        <f t="shared" si="9"/>
        <v>9722</v>
      </c>
      <c r="AE29" s="22">
        <f t="shared" si="36"/>
        <v>-45602</v>
      </c>
      <c r="AF29" s="22">
        <f t="shared" si="10"/>
        <v>13351</v>
      </c>
      <c r="AG29" s="22">
        <f>AG30+AG31</f>
        <v>12513</v>
      </c>
      <c r="AH29" s="22">
        <f>AH30+AH31</f>
        <v>-838</v>
      </c>
      <c r="AI29" s="22">
        <f t="shared" si="11"/>
        <v>10171</v>
      </c>
      <c r="AJ29" s="22">
        <f>AJ30+AJ31</f>
        <v>16199</v>
      </c>
      <c r="AK29" s="22">
        <f t="shared" si="12"/>
        <v>9699</v>
      </c>
      <c r="AL29" s="22">
        <f t="shared" si="13"/>
        <v>9154</v>
      </c>
      <c r="AM29" s="22">
        <f>AM30+AM31</f>
        <v>12708</v>
      </c>
      <c r="AN29" s="22">
        <f t="shared" si="14"/>
        <v>-23914</v>
      </c>
      <c r="AO29" s="22">
        <f t="shared" si="37"/>
        <v>-52745</v>
      </c>
      <c r="AP29" s="22">
        <f t="shared" si="38"/>
        <v>6208</v>
      </c>
      <c r="AQ29" s="22">
        <f>AQ30+AQ31</f>
        <v>10259</v>
      </c>
      <c r="AR29" s="22">
        <f t="shared" si="15"/>
        <v>1074</v>
      </c>
      <c r="AS29" s="22">
        <f t="shared" si="16"/>
        <v>-55194</v>
      </c>
      <c r="AT29" s="22">
        <f t="shared" si="17"/>
        <v>3759</v>
      </c>
      <c r="AU29" s="22">
        <f>AU30+AU31</f>
        <v>6388</v>
      </c>
      <c r="AV29" s="22">
        <f t="shared" si="18"/>
        <v>-1825</v>
      </c>
      <c r="AW29" s="22">
        <f t="shared" si="19"/>
        <v>-59065</v>
      </c>
      <c r="AX29" s="22">
        <f t="shared" si="20"/>
        <v>-112</v>
      </c>
      <c r="AY29" s="22">
        <f>AY30+AY31</f>
        <v>6500</v>
      </c>
      <c r="AZ29" s="22">
        <f>AZ30+AZ31</f>
        <v>12102</v>
      </c>
      <c r="BA29" s="22">
        <f t="shared" si="21"/>
        <v>-53351</v>
      </c>
      <c r="BB29" s="22">
        <f t="shared" si="22"/>
        <v>5602</v>
      </c>
      <c r="BC29" s="22">
        <f>BC30+BC31</f>
        <v>14399</v>
      </c>
      <c r="BD29" s="22">
        <f t="shared" si="23"/>
        <v>-51054</v>
      </c>
      <c r="BE29" s="22">
        <f t="shared" si="24"/>
        <v>7899</v>
      </c>
    </row>
    <row r="30" spans="1:57" s="35" customFormat="1" ht="27" customHeight="1">
      <c r="A30" s="39"/>
      <c r="B30" s="12" t="s">
        <v>38</v>
      </c>
      <c r="C30" s="45">
        <v>12664</v>
      </c>
      <c r="D30" s="45">
        <v>9411</v>
      </c>
      <c r="E30" s="45">
        <v>12074</v>
      </c>
      <c r="F30" s="45">
        <v>10788</v>
      </c>
      <c r="G30" s="45">
        <v>8990</v>
      </c>
      <c r="H30" s="45">
        <v>38524</v>
      </c>
      <c r="I30" s="45">
        <v>11087</v>
      </c>
      <c r="J30" s="45">
        <v>10115</v>
      </c>
      <c r="K30" s="45">
        <f>65453+2097</f>
        <v>67550</v>
      </c>
      <c r="L30" s="45">
        <v>12100</v>
      </c>
      <c r="M30" s="45">
        <f>10961+2093</f>
        <v>13054</v>
      </c>
      <c r="N30" s="45">
        <f t="shared" si="1"/>
        <v>954</v>
      </c>
      <c r="O30" s="45">
        <f t="shared" si="2"/>
        <v>-54496</v>
      </c>
      <c r="P30" s="45">
        <v>11655</v>
      </c>
      <c r="Q30" s="45">
        <f t="shared" si="3"/>
        <v>-445</v>
      </c>
      <c r="R30" s="45">
        <f t="shared" si="4"/>
        <v>-55895</v>
      </c>
      <c r="S30" s="45">
        <v>23234</v>
      </c>
      <c r="T30" s="45">
        <f>S30-L30</f>
        <v>11134</v>
      </c>
      <c r="U30" s="45">
        <f>S30-K30</f>
        <v>-44316</v>
      </c>
      <c r="V30" s="45">
        <v>23420</v>
      </c>
      <c r="W30" s="45">
        <f t="shared" si="5"/>
        <v>11320</v>
      </c>
      <c r="X30" s="45">
        <f t="shared" si="6"/>
        <v>10756</v>
      </c>
      <c r="Y30" s="45">
        <v>13700</v>
      </c>
      <c r="Z30" s="45">
        <f t="shared" si="7"/>
        <v>1600</v>
      </c>
      <c r="AA30" s="45">
        <f t="shared" si="8"/>
        <v>4289</v>
      </c>
      <c r="AB30" s="45">
        <v>21848</v>
      </c>
      <c r="AC30" s="45">
        <v>20953</v>
      </c>
      <c r="AD30" s="45">
        <f t="shared" si="9"/>
        <v>9774</v>
      </c>
      <c r="AE30" s="45">
        <f t="shared" si="36"/>
        <v>-45702</v>
      </c>
      <c r="AF30" s="45">
        <f t="shared" si="10"/>
        <v>9748</v>
      </c>
      <c r="AG30" s="45">
        <f>AC30-L30</f>
        <v>8853</v>
      </c>
      <c r="AH30" s="45">
        <f>AC30-AB30</f>
        <v>-895</v>
      </c>
      <c r="AI30" s="45">
        <f t="shared" si="11"/>
        <v>10165</v>
      </c>
      <c r="AJ30" s="45">
        <v>18139</v>
      </c>
      <c r="AK30" s="45">
        <f t="shared" si="12"/>
        <v>6039</v>
      </c>
      <c r="AL30" s="45">
        <f t="shared" si="13"/>
        <v>9149</v>
      </c>
      <c r="AM30" s="45">
        <v>14648</v>
      </c>
      <c r="AN30" s="45">
        <f t="shared" si="14"/>
        <v>-23876</v>
      </c>
      <c r="AO30" s="45">
        <f t="shared" si="37"/>
        <v>-52902</v>
      </c>
      <c r="AP30" s="45">
        <f t="shared" si="38"/>
        <v>2548</v>
      </c>
      <c r="AQ30" s="45">
        <v>12546</v>
      </c>
      <c r="AR30" s="45">
        <f t="shared" si="15"/>
        <v>1459</v>
      </c>
      <c r="AS30" s="45">
        <f t="shared" si="16"/>
        <v>-55004</v>
      </c>
      <c r="AT30" s="45">
        <f t="shared" si="17"/>
        <v>446</v>
      </c>
      <c r="AU30" s="45">
        <v>8675</v>
      </c>
      <c r="AV30" s="45">
        <f t="shared" si="18"/>
        <v>-1440</v>
      </c>
      <c r="AW30" s="45">
        <f t="shared" si="19"/>
        <v>-58875</v>
      </c>
      <c r="AX30" s="45">
        <f t="shared" si="20"/>
        <v>-3425</v>
      </c>
      <c r="AY30" s="45">
        <v>12100</v>
      </c>
      <c r="AZ30" s="45">
        <v>14357</v>
      </c>
      <c r="BA30" s="45">
        <f t="shared" si="21"/>
        <v>-53193</v>
      </c>
      <c r="BB30" s="45">
        <f t="shared" si="22"/>
        <v>2257</v>
      </c>
      <c r="BC30" s="45">
        <v>16803</v>
      </c>
      <c r="BD30" s="45">
        <f t="shared" si="23"/>
        <v>-50747</v>
      </c>
      <c r="BE30" s="45">
        <f t="shared" si="24"/>
        <v>4703</v>
      </c>
    </row>
    <row r="31" spans="1:57" s="35" customFormat="1" ht="26.25" thickBot="1">
      <c r="A31" s="42"/>
      <c r="B31" s="36" t="s">
        <v>46</v>
      </c>
      <c r="C31" s="46">
        <v>-1946</v>
      </c>
      <c r="D31" s="46">
        <v>-1946</v>
      </c>
      <c r="E31" s="46">
        <v>-1945</v>
      </c>
      <c r="F31" s="46">
        <v>-1946</v>
      </c>
      <c r="G31" s="46">
        <v>-1945</v>
      </c>
      <c r="H31" s="46">
        <v>-1902</v>
      </c>
      <c r="I31" s="46">
        <v>-1902</v>
      </c>
      <c r="J31" s="46">
        <v>-1902</v>
      </c>
      <c r="K31" s="46">
        <v>-2097</v>
      </c>
      <c r="L31" s="46">
        <v>-5600</v>
      </c>
      <c r="M31" s="46">
        <v>-2093</v>
      </c>
      <c r="N31" s="46">
        <f t="shared" si="1"/>
        <v>3507</v>
      </c>
      <c r="O31" s="46">
        <f t="shared" si="2"/>
        <v>4</v>
      </c>
      <c r="P31" s="46">
        <v>-2026</v>
      </c>
      <c r="Q31" s="46">
        <f t="shared" si="3"/>
        <v>3574</v>
      </c>
      <c r="R31" s="46">
        <f t="shared" si="4"/>
        <v>71</v>
      </c>
      <c r="S31" s="46">
        <v>-2026</v>
      </c>
      <c r="T31" s="46">
        <f>S31-L31</f>
        <v>3574</v>
      </c>
      <c r="U31" s="46">
        <f>S31-K31</f>
        <v>71</v>
      </c>
      <c r="V31" s="46">
        <v>-2026</v>
      </c>
      <c r="W31" s="46">
        <f t="shared" si="5"/>
        <v>3574</v>
      </c>
      <c r="X31" s="46">
        <f t="shared" si="6"/>
        <v>-80</v>
      </c>
      <c r="Y31" s="46">
        <v>-2026</v>
      </c>
      <c r="Z31" s="46">
        <f t="shared" si="7"/>
        <v>3574</v>
      </c>
      <c r="AA31" s="46">
        <f t="shared" si="8"/>
        <v>-80</v>
      </c>
      <c r="AB31" s="46">
        <v>-1997</v>
      </c>
      <c r="AC31" s="46">
        <v>-1940</v>
      </c>
      <c r="AD31" s="46">
        <f t="shared" si="9"/>
        <v>-52</v>
      </c>
      <c r="AE31" s="46">
        <f t="shared" si="36"/>
        <v>100</v>
      </c>
      <c r="AF31" s="46">
        <f t="shared" si="10"/>
        <v>3603</v>
      </c>
      <c r="AG31" s="46">
        <f>AC31-L31</f>
        <v>3660</v>
      </c>
      <c r="AH31" s="46">
        <f>AC31-AB31</f>
        <v>57</v>
      </c>
      <c r="AI31" s="46">
        <f t="shared" si="11"/>
        <v>6</v>
      </c>
      <c r="AJ31" s="46">
        <v>-1940</v>
      </c>
      <c r="AK31" s="46">
        <f t="shared" si="12"/>
        <v>3660</v>
      </c>
      <c r="AL31" s="46">
        <f t="shared" si="13"/>
        <v>5</v>
      </c>
      <c r="AM31" s="46">
        <v>-1940</v>
      </c>
      <c r="AN31" s="46">
        <f t="shared" si="14"/>
        <v>-38</v>
      </c>
      <c r="AO31" s="46">
        <f t="shared" si="37"/>
        <v>157</v>
      </c>
      <c r="AP31" s="46">
        <f t="shared" si="38"/>
        <v>3660</v>
      </c>
      <c r="AQ31" s="46">
        <v>-2287</v>
      </c>
      <c r="AR31" s="46">
        <f t="shared" si="15"/>
        <v>-385</v>
      </c>
      <c r="AS31" s="46">
        <f t="shared" si="16"/>
        <v>-190</v>
      </c>
      <c r="AT31" s="46">
        <f t="shared" si="17"/>
        <v>3313</v>
      </c>
      <c r="AU31" s="46">
        <v>-2287</v>
      </c>
      <c r="AV31" s="46">
        <f t="shared" si="18"/>
        <v>-385</v>
      </c>
      <c r="AW31" s="46">
        <f t="shared" si="19"/>
        <v>-190</v>
      </c>
      <c r="AX31" s="46">
        <f t="shared" si="20"/>
        <v>3313</v>
      </c>
      <c r="AY31" s="46">
        <v>-5600</v>
      </c>
      <c r="AZ31" s="46">
        <v>-2255</v>
      </c>
      <c r="BA31" s="46">
        <f t="shared" si="21"/>
        <v>-158</v>
      </c>
      <c r="BB31" s="46">
        <f t="shared" si="22"/>
        <v>3345</v>
      </c>
      <c r="BC31" s="46">
        <v>-2404</v>
      </c>
      <c r="BD31" s="46">
        <f t="shared" si="23"/>
        <v>-307</v>
      </c>
      <c r="BE31" s="46">
        <f t="shared" si="24"/>
        <v>3196</v>
      </c>
    </row>
    <row r="32" spans="1:57" ht="29.25" customHeight="1" thickBot="1">
      <c r="A32" s="31" t="s">
        <v>10</v>
      </c>
      <c r="B32" s="32" t="s">
        <v>28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f t="shared" si="1"/>
        <v>0</v>
      </c>
      <c r="O32" s="34">
        <f t="shared" si="2"/>
        <v>0</v>
      </c>
      <c r="P32" s="34">
        <v>0</v>
      </c>
      <c r="Q32" s="34">
        <f t="shared" si="3"/>
        <v>0</v>
      </c>
      <c r="R32" s="34">
        <f t="shared" si="4"/>
        <v>0</v>
      </c>
      <c r="S32" s="34">
        <v>0</v>
      </c>
      <c r="T32" s="34">
        <f>S32-L32</f>
        <v>0</v>
      </c>
      <c r="U32" s="34">
        <f>S32-K32</f>
        <v>0</v>
      </c>
      <c r="V32" s="34">
        <v>0</v>
      </c>
      <c r="W32" s="34">
        <f t="shared" si="5"/>
        <v>0</v>
      </c>
      <c r="X32" s="34">
        <f t="shared" si="6"/>
        <v>0</v>
      </c>
      <c r="Y32" s="34">
        <v>0</v>
      </c>
      <c r="Z32" s="34">
        <f t="shared" si="7"/>
        <v>0</v>
      </c>
      <c r="AA32" s="34">
        <f t="shared" si="8"/>
        <v>0</v>
      </c>
      <c r="AB32" s="34">
        <v>0</v>
      </c>
      <c r="AC32" s="34">
        <v>0</v>
      </c>
      <c r="AD32" s="34">
        <f t="shared" si="9"/>
        <v>0</v>
      </c>
      <c r="AE32" s="34">
        <f t="shared" si="36"/>
        <v>0</v>
      </c>
      <c r="AF32" s="34">
        <f t="shared" si="10"/>
        <v>0</v>
      </c>
      <c r="AG32" s="34">
        <v>0</v>
      </c>
      <c r="AH32" s="34">
        <v>0</v>
      </c>
      <c r="AI32" s="34">
        <f t="shared" si="11"/>
        <v>0</v>
      </c>
      <c r="AJ32" s="34">
        <v>0</v>
      </c>
      <c r="AK32" s="34">
        <f t="shared" si="12"/>
        <v>0</v>
      </c>
      <c r="AL32" s="34">
        <f t="shared" si="13"/>
        <v>0</v>
      </c>
      <c r="AM32" s="34">
        <v>0</v>
      </c>
      <c r="AN32" s="34">
        <f t="shared" si="14"/>
        <v>0</v>
      </c>
      <c r="AO32" s="34">
        <f t="shared" si="37"/>
        <v>0</v>
      </c>
      <c r="AP32" s="34">
        <f t="shared" si="38"/>
        <v>0</v>
      </c>
      <c r="AQ32" s="34">
        <v>0</v>
      </c>
      <c r="AR32" s="34">
        <f t="shared" si="15"/>
        <v>0</v>
      </c>
      <c r="AS32" s="34">
        <f t="shared" si="16"/>
        <v>0</v>
      </c>
      <c r="AT32" s="34">
        <f t="shared" si="17"/>
        <v>0</v>
      </c>
      <c r="AU32" s="34">
        <v>0</v>
      </c>
      <c r="AV32" s="34">
        <f t="shared" si="18"/>
        <v>0</v>
      </c>
      <c r="AW32" s="34">
        <f t="shared" si="19"/>
        <v>0</v>
      </c>
      <c r="AX32" s="34">
        <f t="shared" si="20"/>
        <v>0</v>
      </c>
      <c r="AY32" s="34">
        <v>0</v>
      </c>
      <c r="AZ32" s="34">
        <v>0</v>
      </c>
      <c r="BA32" s="34">
        <f t="shared" si="21"/>
        <v>0</v>
      </c>
      <c r="BB32" s="34">
        <f t="shared" si="22"/>
        <v>0</v>
      </c>
      <c r="BC32" s="34">
        <v>0</v>
      </c>
      <c r="BD32" s="34">
        <f t="shared" si="23"/>
        <v>0</v>
      </c>
      <c r="BE32" s="34">
        <f t="shared" si="24"/>
        <v>0</v>
      </c>
    </row>
    <row r="33" spans="1:57" ht="19.5" customHeight="1">
      <c r="A33" s="30" t="s">
        <v>11</v>
      </c>
      <c r="B33" s="15" t="s">
        <v>36</v>
      </c>
      <c r="C33" s="22">
        <f aca="true" t="shared" si="40" ref="C33:M33">C35+C36</f>
        <v>211715</v>
      </c>
      <c r="D33" s="22">
        <f t="shared" si="40"/>
        <v>211966</v>
      </c>
      <c r="E33" s="22">
        <f t="shared" si="40"/>
        <v>213114</v>
      </c>
      <c r="F33" s="22">
        <f t="shared" si="40"/>
        <v>210587</v>
      </c>
      <c r="G33" s="22">
        <f t="shared" si="40"/>
        <v>208369</v>
      </c>
      <c r="H33" s="22">
        <f t="shared" si="40"/>
        <v>206543</v>
      </c>
      <c r="I33" s="22">
        <f t="shared" si="40"/>
        <v>204133</v>
      </c>
      <c r="J33" s="22">
        <f t="shared" si="40"/>
        <v>201964</v>
      </c>
      <c r="K33" s="22">
        <f t="shared" si="40"/>
        <v>200270</v>
      </c>
      <c r="L33" s="22">
        <f t="shared" si="40"/>
        <v>205845</v>
      </c>
      <c r="M33" s="22">
        <f t="shared" si="40"/>
        <v>198753</v>
      </c>
      <c r="N33" s="22">
        <f t="shared" si="1"/>
        <v>-7092</v>
      </c>
      <c r="O33" s="22">
        <f t="shared" si="2"/>
        <v>-1517</v>
      </c>
      <c r="P33" s="22">
        <f>P35+P36</f>
        <v>197278</v>
      </c>
      <c r="Q33" s="22">
        <f t="shared" si="3"/>
        <v>-8567</v>
      </c>
      <c r="R33" s="22">
        <f t="shared" si="4"/>
        <v>-2992</v>
      </c>
      <c r="S33" s="22">
        <f>S35+S36</f>
        <v>195831</v>
      </c>
      <c r="T33" s="22">
        <f>S33-L33</f>
        <v>-10014</v>
      </c>
      <c r="U33" s="22">
        <f>S33-K33</f>
        <v>-4439</v>
      </c>
      <c r="V33" s="22">
        <f>V35+V36</f>
        <v>194368</v>
      </c>
      <c r="W33" s="22">
        <f t="shared" si="5"/>
        <v>-11477</v>
      </c>
      <c r="X33" s="22">
        <f t="shared" si="6"/>
        <v>-17347</v>
      </c>
      <c r="Y33" s="22">
        <f>Y35+Y36</f>
        <v>192846</v>
      </c>
      <c r="Z33" s="22">
        <f t="shared" si="7"/>
        <v>-12999</v>
      </c>
      <c r="AA33" s="22">
        <f t="shared" si="8"/>
        <v>-19120</v>
      </c>
      <c r="AB33" s="22">
        <f>AB35+AB36</f>
        <v>191622</v>
      </c>
      <c r="AC33" s="22">
        <f>AC35+AC36</f>
        <v>190575</v>
      </c>
      <c r="AD33" s="22">
        <f t="shared" si="9"/>
        <v>-21492</v>
      </c>
      <c r="AE33" s="22">
        <f t="shared" si="36"/>
        <v>-8648</v>
      </c>
      <c r="AF33" s="22">
        <f t="shared" si="10"/>
        <v>-14223</v>
      </c>
      <c r="AG33" s="22">
        <f>AG35+AG36</f>
        <v>-15270</v>
      </c>
      <c r="AH33" s="22">
        <f>AH35+AH36</f>
        <v>-1047</v>
      </c>
      <c r="AI33" s="22">
        <f t="shared" si="11"/>
        <v>-20012</v>
      </c>
      <c r="AJ33" s="22">
        <f>AJ35+AJ36</f>
        <v>189538</v>
      </c>
      <c r="AK33" s="22">
        <f t="shared" si="12"/>
        <v>-16307</v>
      </c>
      <c r="AL33" s="22">
        <f t="shared" si="13"/>
        <v>-18831</v>
      </c>
      <c r="AM33" s="22">
        <f>AM35+AM36</f>
        <v>192079</v>
      </c>
      <c r="AN33" s="22">
        <f t="shared" si="14"/>
        <v>-14464</v>
      </c>
      <c r="AO33" s="22">
        <f t="shared" si="37"/>
        <v>-8191</v>
      </c>
      <c r="AP33" s="22">
        <f t="shared" si="38"/>
        <v>-13766</v>
      </c>
      <c r="AQ33" s="22">
        <f>AQ35+AQ36</f>
        <v>190570</v>
      </c>
      <c r="AR33" s="22">
        <f t="shared" si="15"/>
        <v>-13563</v>
      </c>
      <c r="AS33" s="22">
        <f t="shared" si="16"/>
        <v>-9700</v>
      </c>
      <c r="AT33" s="22">
        <f t="shared" si="17"/>
        <v>-15275</v>
      </c>
      <c r="AU33" s="22">
        <f>AU35+AU36</f>
        <v>189448</v>
      </c>
      <c r="AV33" s="22">
        <f t="shared" si="18"/>
        <v>-12516</v>
      </c>
      <c r="AW33" s="22">
        <f t="shared" si="19"/>
        <v>-10822</v>
      </c>
      <c r="AX33" s="22">
        <f t="shared" si="20"/>
        <v>-16397</v>
      </c>
      <c r="AY33" s="22">
        <f>AY35+AY36</f>
        <v>190709</v>
      </c>
      <c r="AZ33" s="22">
        <f>AZ35+AZ36</f>
        <v>192057</v>
      </c>
      <c r="BA33" s="22">
        <f t="shared" si="21"/>
        <v>-8213</v>
      </c>
      <c r="BB33" s="22">
        <f t="shared" si="22"/>
        <v>-13788</v>
      </c>
      <c r="BC33" s="22">
        <f>BC35+BC36</f>
        <v>188213</v>
      </c>
      <c r="BD33" s="22">
        <f t="shared" si="23"/>
        <v>-12057</v>
      </c>
      <c r="BE33" s="22">
        <f t="shared" si="24"/>
        <v>-17632</v>
      </c>
    </row>
    <row r="34" spans="1:57" ht="16.5" customHeight="1">
      <c r="A34" s="3"/>
      <c r="B34" s="16" t="s">
        <v>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>
        <f t="shared" si="11"/>
        <v>0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9.5" customHeight="1">
      <c r="A35" s="3"/>
      <c r="B35" s="17" t="s">
        <v>41</v>
      </c>
      <c r="C35" s="45">
        <v>185615</v>
      </c>
      <c r="D35" s="45">
        <v>184801</v>
      </c>
      <c r="E35" s="45">
        <v>187617</v>
      </c>
      <c r="F35" s="45">
        <v>186631</v>
      </c>
      <c r="G35" s="45">
        <v>185824</v>
      </c>
      <c r="H35" s="45">
        <v>185611</v>
      </c>
      <c r="I35" s="45">
        <v>184743</v>
      </c>
      <c r="J35" s="45">
        <v>184116</v>
      </c>
      <c r="K35" s="45">
        <v>183824</v>
      </c>
      <c r="L35" s="45">
        <v>186725</v>
      </c>
      <c r="M35" s="45">
        <v>182740</v>
      </c>
      <c r="N35" s="45">
        <f t="shared" si="1"/>
        <v>-3985</v>
      </c>
      <c r="O35" s="45">
        <f t="shared" si="2"/>
        <v>-1084</v>
      </c>
      <c r="P35" s="45">
        <v>181697</v>
      </c>
      <c r="Q35" s="45">
        <f t="shared" si="3"/>
        <v>-5028</v>
      </c>
      <c r="R35" s="45">
        <f t="shared" si="4"/>
        <v>-2127</v>
      </c>
      <c r="S35" s="45">
        <v>180683</v>
      </c>
      <c r="T35" s="45">
        <f>S35-L35</f>
        <v>-6042</v>
      </c>
      <c r="U35" s="45">
        <f>S35-K35</f>
        <v>-3141</v>
      </c>
      <c r="V35" s="45">
        <v>179652</v>
      </c>
      <c r="W35" s="45">
        <f t="shared" si="5"/>
        <v>-7073</v>
      </c>
      <c r="X35" s="45">
        <f t="shared" si="6"/>
        <v>-5963</v>
      </c>
      <c r="Y35" s="45">
        <v>178563</v>
      </c>
      <c r="Z35" s="45">
        <f t="shared" si="7"/>
        <v>-8162</v>
      </c>
      <c r="AA35" s="45">
        <f t="shared" si="8"/>
        <v>-6238</v>
      </c>
      <c r="AB35" s="45">
        <v>177552</v>
      </c>
      <c r="AC35" s="45">
        <v>176659</v>
      </c>
      <c r="AD35" s="45">
        <f t="shared" si="9"/>
        <v>-10065</v>
      </c>
      <c r="AE35" s="45">
        <f>AB35-K35</f>
        <v>-6272</v>
      </c>
      <c r="AF35" s="45">
        <f t="shared" si="10"/>
        <v>-9173</v>
      </c>
      <c r="AG35" s="45">
        <f>AC35-L35</f>
        <v>-10066</v>
      </c>
      <c r="AH35" s="45">
        <f>AC35-AB35</f>
        <v>-893</v>
      </c>
      <c r="AI35" s="45">
        <f t="shared" si="11"/>
        <v>-9972</v>
      </c>
      <c r="AJ35" s="45">
        <v>175764</v>
      </c>
      <c r="AK35" s="45">
        <f t="shared" si="12"/>
        <v>-10961</v>
      </c>
      <c r="AL35" s="45">
        <f t="shared" si="13"/>
        <v>-10060</v>
      </c>
      <c r="AM35" s="45">
        <v>178452</v>
      </c>
      <c r="AN35" s="45">
        <f t="shared" si="14"/>
        <v>-7159</v>
      </c>
      <c r="AO35" s="45">
        <f>AM35-K35</f>
        <v>-5372</v>
      </c>
      <c r="AP35" s="45">
        <f>AM35-L35</f>
        <v>-8273</v>
      </c>
      <c r="AQ35" s="45">
        <v>177089</v>
      </c>
      <c r="AR35" s="45">
        <f t="shared" si="15"/>
        <v>-7654</v>
      </c>
      <c r="AS35" s="45">
        <f t="shared" si="16"/>
        <v>-6735</v>
      </c>
      <c r="AT35" s="45">
        <f t="shared" si="17"/>
        <v>-9636</v>
      </c>
      <c r="AU35" s="45">
        <v>176114</v>
      </c>
      <c r="AV35" s="45">
        <f t="shared" si="18"/>
        <v>-8002</v>
      </c>
      <c r="AW35" s="45">
        <f t="shared" si="19"/>
        <v>-7710</v>
      </c>
      <c r="AX35" s="45">
        <f t="shared" si="20"/>
        <v>-10611</v>
      </c>
      <c r="AY35" s="45">
        <v>177367</v>
      </c>
      <c r="AZ35" s="45">
        <v>178413</v>
      </c>
      <c r="BA35" s="45">
        <f t="shared" si="21"/>
        <v>-5411</v>
      </c>
      <c r="BB35" s="45">
        <f t="shared" si="22"/>
        <v>-8312</v>
      </c>
      <c r="BC35" s="45">
        <v>177385</v>
      </c>
      <c r="BD35" s="45">
        <f t="shared" si="23"/>
        <v>-6439</v>
      </c>
      <c r="BE35" s="45">
        <f t="shared" si="24"/>
        <v>-9340</v>
      </c>
    </row>
    <row r="36" spans="1:57" ht="19.5" customHeight="1" thickBot="1">
      <c r="A36" s="3"/>
      <c r="B36" s="5" t="s">
        <v>42</v>
      </c>
      <c r="C36" s="47">
        <v>26100</v>
      </c>
      <c r="D36" s="47">
        <v>27165</v>
      </c>
      <c r="E36" s="47">
        <v>25497</v>
      </c>
      <c r="F36" s="47">
        <v>23956</v>
      </c>
      <c r="G36" s="47">
        <v>22545</v>
      </c>
      <c r="H36" s="47">
        <v>20932</v>
      </c>
      <c r="I36" s="47">
        <v>19390</v>
      </c>
      <c r="J36" s="47">
        <v>17848</v>
      </c>
      <c r="K36" s="47">
        <v>16446</v>
      </c>
      <c r="L36" s="47">
        <v>19120</v>
      </c>
      <c r="M36" s="47">
        <v>16013</v>
      </c>
      <c r="N36" s="47">
        <f t="shared" si="1"/>
        <v>-3107</v>
      </c>
      <c r="O36" s="47">
        <f t="shared" si="2"/>
        <v>-433</v>
      </c>
      <c r="P36" s="47">
        <v>15581</v>
      </c>
      <c r="Q36" s="47">
        <f t="shared" si="3"/>
        <v>-3539</v>
      </c>
      <c r="R36" s="47">
        <f t="shared" si="4"/>
        <v>-865</v>
      </c>
      <c r="S36" s="47">
        <v>15148</v>
      </c>
      <c r="T36" s="47">
        <f>S36-L36</f>
        <v>-3972</v>
      </c>
      <c r="U36" s="47">
        <f>S36-K36</f>
        <v>-1298</v>
      </c>
      <c r="V36" s="47">
        <v>14716</v>
      </c>
      <c r="W36" s="47">
        <f t="shared" si="5"/>
        <v>-4404</v>
      </c>
      <c r="X36" s="47">
        <f t="shared" si="6"/>
        <v>-11384</v>
      </c>
      <c r="Y36" s="47">
        <v>14283</v>
      </c>
      <c r="Z36" s="47">
        <f t="shared" si="7"/>
        <v>-4837</v>
      </c>
      <c r="AA36" s="47">
        <f t="shared" si="8"/>
        <v>-12882</v>
      </c>
      <c r="AB36" s="47">
        <v>14070</v>
      </c>
      <c r="AC36" s="47">
        <v>13916</v>
      </c>
      <c r="AD36" s="47">
        <f t="shared" si="9"/>
        <v>-11427</v>
      </c>
      <c r="AE36" s="47">
        <f>AB36-K36</f>
        <v>-2376</v>
      </c>
      <c r="AF36" s="47">
        <f t="shared" si="10"/>
        <v>-5050</v>
      </c>
      <c r="AG36" s="47">
        <f>AC36-L36</f>
        <v>-5204</v>
      </c>
      <c r="AH36" s="47">
        <f>AC36-AB36</f>
        <v>-154</v>
      </c>
      <c r="AI36" s="47">
        <f t="shared" si="11"/>
        <v>-10040</v>
      </c>
      <c r="AJ36" s="47">
        <v>13774</v>
      </c>
      <c r="AK36" s="47">
        <f t="shared" si="12"/>
        <v>-5346</v>
      </c>
      <c r="AL36" s="47">
        <f t="shared" si="13"/>
        <v>-8771</v>
      </c>
      <c r="AM36" s="47">
        <v>13627</v>
      </c>
      <c r="AN36" s="47">
        <f t="shared" si="14"/>
        <v>-7305</v>
      </c>
      <c r="AO36" s="47">
        <f>AM36-K36</f>
        <v>-2819</v>
      </c>
      <c r="AP36" s="47">
        <f>AM36-L36</f>
        <v>-5493</v>
      </c>
      <c r="AQ36" s="47">
        <v>13481</v>
      </c>
      <c r="AR36" s="47">
        <f t="shared" si="15"/>
        <v>-5909</v>
      </c>
      <c r="AS36" s="47">
        <f t="shared" si="16"/>
        <v>-2965</v>
      </c>
      <c r="AT36" s="47">
        <f t="shared" si="17"/>
        <v>-5639</v>
      </c>
      <c r="AU36" s="47">
        <v>13334</v>
      </c>
      <c r="AV36" s="47">
        <f t="shared" si="18"/>
        <v>-4514</v>
      </c>
      <c r="AW36" s="47">
        <f t="shared" si="19"/>
        <v>-3112</v>
      </c>
      <c r="AX36" s="47">
        <f t="shared" si="20"/>
        <v>-5786</v>
      </c>
      <c r="AY36" s="47">
        <v>13342</v>
      </c>
      <c r="AZ36" s="47">
        <v>13644</v>
      </c>
      <c r="BA36" s="47">
        <f t="shared" si="21"/>
        <v>-2802</v>
      </c>
      <c r="BB36" s="47">
        <f t="shared" si="22"/>
        <v>-5476</v>
      </c>
      <c r="BC36" s="47">
        <v>10828</v>
      </c>
      <c r="BD36" s="47">
        <f t="shared" si="23"/>
        <v>-5618</v>
      </c>
      <c r="BE36" s="47">
        <f t="shared" si="24"/>
        <v>-8292</v>
      </c>
    </row>
    <row r="37" spans="1:57" ht="19.5" customHeight="1">
      <c r="A37" s="30" t="s">
        <v>13</v>
      </c>
      <c r="B37" s="8" t="s">
        <v>27</v>
      </c>
      <c r="C37" s="22">
        <f aca="true" t="shared" si="41" ref="C37:M37">C39+C40+C41</f>
        <v>1113188</v>
      </c>
      <c r="D37" s="22">
        <f t="shared" si="41"/>
        <v>1027556</v>
      </c>
      <c r="E37" s="22">
        <f t="shared" si="41"/>
        <v>1118186</v>
      </c>
      <c r="F37" s="22">
        <f t="shared" si="41"/>
        <v>406299</v>
      </c>
      <c r="G37" s="22">
        <f t="shared" si="41"/>
        <v>609927</v>
      </c>
      <c r="H37" s="22">
        <f t="shared" si="41"/>
        <v>706597</v>
      </c>
      <c r="I37" s="22">
        <f t="shared" si="41"/>
        <v>794280</v>
      </c>
      <c r="J37" s="22">
        <f t="shared" si="41"/>
        <v>899983</v>
      </c>
      <c r="K37" s="22">
        <f t="shared" si="41"/>
        <v>915779</v>
      </c>
      <c r="L37" s="22">
        <f t="shared" si="41"/>
        <v>450000</v>
      </c>
      <c r="M37" s="22">
        <f t="shared" si="41"/>
        <v>921262</v>
      </c>
      <c r="N37" s="22">
        <f t="shared" si="1"/>
        <v>471262</v>
      </c>
      <c r="O37" s="22">
        <f t="shared" si="2"/>
        <v>5483</v>
      </c>
      <c r="P37" s="22">
        <f>P39+P40+P41</f>
        <v>926473</v>
      </c>
      <c r="Q37" s="22">
        <f t="shared" si="3"/>
        <v>476473</v>
      </c>
      <c r="R37" s="22">
        <f t="shared" si="4"/>
        <v>10694</v>
      </c>
      <c r="S37" s="22">
        <f>S39+S40+S41</f>
        <v>931373</v>
      </c>
      <c r="T37" s="22">
        <f>S37-L37</f>
        <v>481373</v>
      </c>
      <c r="U37" s="22">
        <f>S37-K37</f>
        <v>15594</v>
      </c>
      <c r="V37" s="22">
        <f>V39+V40+V41</f>
        <v>1032925</v>
      </c>
      <c r="W37" s="22">
        <f t="shared" si="5"/>
        <v>582925</v>
      </c>
      <c r="X37" s="22">
        <f t="shared" si="6"/>
        <v>-80263</v>
      </c>
      <c r="Y37" s="22">
        <f>Y39+Y40+Y41</f>
        <v>1139620</v>
      </c>
      <c r="Z37" s="22">
        <f t="shared" si="7"/>
        <v>689620</v>
      </c>
      <c r="AA37" s="22">
        <f t="shared" si="8"/>
        <v>112064</v>
      </c>
      <c r="AB37" s="22">
        <f>AB39+AB40+AB41</f>
        <v>928217</v>
      </c>
      <c r="AC37" s="22">
        <f>AC39+AC40+AC41</f>
        <v>742835</v>
      </c>
      <c r="AD37" s="22">
        <f t="shared" si="9"/>
        <v>-189969</v>
      </c>
      <c r="AE37" s="22">
        <f>AB37-K37</f>
        <v>12438</v>
      </c>
      <c r="AF37" s="22">
        <f t="shared" si="10"/>
        <v>478217</v>
      </c>
      <c r="AG37" s="22">
        <f>AG39+AG40+AG41</f>
        <v>292835</v>
      </c>
      <c r="AH37" s="22">
        <f>AH39+AH40+AH41</f>
        <v>-185382</v>
      </c>
      <c r="AI37" s="22">
        <f t="shared" si="11"/>
        <v>336536</v>
      </c>
      <c r="AJ37" s="22">
        <f>AJ39+AJ40+AJ41</f>
        <v>628830</v>
      </c>
      <c r="AK37" s="22">
        <f t="shared" si="12"/>
        <v>178830</v>
      </c>
      <c r="AL37" s="22">
        <f t="shared" si="13"/>
        <v>18903</v>
      </c>
      <c r="AM37" s="22">
        <f>AM39+AM40+AM41</f>
        <v>531390</v>
      </c>
      <c r="AN37" s="22">
        <f t="shared" si="14"/>
        <v>-175207</v>
      </c>
      <c r="AO37" s="22">
        <f>AM37-K37</f>
        <v>-384389</v>
      </c>
      <c r="AP37" s="22">
        <f>AM37-L37</f>
        <v>81390</v>
      </c>
      <c r="AQ37" s="22">
        <f>AQ39+AQ40+AQ41</f>
        <v>730459</v>
      </c>
      <c r="AR37" s="22">
        <f t="shared" si="15"/>
        <v>-63821</v>
      </c>
      <c r="AS37" s="22">
        <f t="shared" si="16"/>
        <v>-185320</v>
      </c>
      <c r="AT37" s="22">
        <f t="shared" si="17"/>
        <v>280459</v>
      </c>
      <c r="AU37" s="22">
        <f>AU39+AU40+AU41</f>
        <v>624315</v>
      </c>
      <c r="AV37" s="22">
        <f t="shared" si="18"/>
        <v>-275668</v>
      </c>
      <c r="AW37" s="22">
        <f t="shared" si="19"/>
        <v>-291464</v>
      </c>
      <c r="AX37" s="22">
        <f t="shared" si="20"/>
        <v>174315</v>
      </c>
      <c r="AY37" s="22">
        <f>AY39+AY40+AY41</f>
        <v>424000</v>
      </c>
      <c r="AZ37" s="22">
        <f>AZ39+AZ40+AZ41</f>
        <v>626920</v>
      </c>
      <c r="BA37" s="22">
        <f t="shared" si="21"/>
        <v>-288859</v>
      </c>
      <c r="BB37" s="22">
        <f t="shared" si="22"/>
        <v>176920</v>
      </c>
      <c r="BC37" s="22">
        <f>BC39+BC40+BC41</f>
        <v>626920</v>
      </c>
      <c r="BD37" s="22">
        <f t="shared" si="23"/>
        <v>-288859</v>
      </c>
      <c r="BE37" s="22">
        <f t="shared" si="24"/>
        <v>176920</v>
      </c>
    </row>
    <row r="38" spans="1:57" ht="17.25" customHeight="1">
      <c r="A38" s="3"/>
      <c r="B38" s="7" t="s">
        <v>2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>
        <f t="shared" si="11"/>
        <v>0</v>
      </c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7.25" customHeight="1">
      <c r="A39" s="3"/>
      <c r="B39" s="43" t="s">
        <v>26</v>
      </c>
      <c r="C39" s="24">
        <v>679351</v>
      </c>
      <c r="D39" s="24">
        <v>699068</v>
      </c>
      <c r="E39" s="24">
        <v>714569</v>
      </c>
      <c r="F39" s="24">
        <v>0</v>
      </c>
      <c r="G39" s="24">
        <v>200946</v>
      </c>
      <c r="H39" s="24">
        <v>294935</v>
      </c>
      <c r="I39" s="24">
        <v>379936</v>
      </c>
      <c r="J39" s="24">
        <v>482957</v>
      </c>
      <c r="K39" s="24">
        <f>482957+12533</f>
        <v>495490</v>
      </c>
      <c r="L39" s="24">
        <v>250000</v>
      </c>
      <c r="M39" s="24">
        <f>314860+183431</f>
        <v>498291</v>
      </c>
      <c r="N39" s="24">
        <f t="shared" si="1"/>
        <v>248291</v>
      </c>
      <c r="O39" s="24">
        <f t="shared" si="2"/>
        <v>2801</v>
      </c>
      <c r="P39" s="24">
        <f>316362+184458</f>
        <v>500820</v>
      </c>
      <c r="Q39" s="24">
        <f t="shared" si="3"/>
        <v>250820</v>
      </c>
      <c r="R39" s="24">
        <f t="shared" si="4"/>
        <v>5330</v>
      </c>
      <c r="S39" s="24">
        <f>318025+185596</f>
        <v>503621</v>
      </c>
      <c r="T39" s="24">
        <f>S39-L39</f>
        <v>253621</v>
      </c>
      <c r="U39" s="24">
        <f>S39-K39</f>
        <v>8131</v>
      </c>
      <c r="V39" s="24">
        <v>506331</v>
      </c>
      <c r="W39" s="24">
        <f t="shared" si="5"/>
        <v>256331</v>
      </c>
      <c r="X39" s="24">
        <f t="shared" si="6"/>
        <v>-173020</v>
      </c>
      <c r="Y39" s="24">
        <f>321297+187835</f>
        <v>509132</v>
      </c>
      <c r="Z39" s="24">
        <f t="shared" si="7"/>
        <v>259132</v>
      </c>
      <c r="AA39" s="24">
        <f t="shared" si="8"/>
        <v>-189936</v>
      </c>
      <c r="AB39" s="24">
        <v>511842</v>
      </c>
      <c r="AC39" s="24">
        <v>324569</v>
      </c>
      <c r="AD39" s="24">
        <f t="shared" si="9"/>
        <v>-202727</v>
      </c>
      <c r="AE39" s="24">
        <f>AB39-K39</f>
        <v>16352</v>
      </c>
      <c r="AF39" s="24">
        <f t="shared" si="10"/>
        <v>261842</v>
      </c>
      <c r="AG39" s="24">
        <f>AC39-L39</f>
        <v>74569</v>
      </c>
      <c r="AH39" s="24">
        <f>AC39-AB39</f>
        <v>-187273</v>
      </c>
      <c r="AI39" s="24">
        <f t="shared" si="11"/>
        <v>324569</v>
      </c>
      <c r="AJ39" s="24">
        <v>208653</v>
      </c>
      <c r="AK39" s="24">
        <f t="shared" si="12"/>
        <v>-41347</v>
      </c>
      <c r="AL39" s="24">
        <f t="shared" si="13"/>
        <v>7707</v>
      </c>
      <c r="AM39" s="24">
        <v>109301</v>
      </c>
      <c r="AN39" s="24">
        <f t="shared" si="14"/>
        <v>-185634</v>
      </c>
      <c r="AO39" s="24">
        <f>AM39-K39</f>
        <v>-386189</v>
      </c>
      <c r="AP39" s="24">
        <f>AM39-L39</f>
        <v>-140699</v>
      </c>
      <c r="AQ39" s="24">
        <v>306459</v>
      </c>
      <c r="AR39" s="24">
        <f t="shared" si="15"/>
        <v>-73477</v>
      </c>
      <c r="AS39" s="24">
        <f t="shared" si="16"/>
        <v>-189031</v>
      </c>
      <c r="AT39" s="24">
        <f t="shared" si="17"/>
        <v>56459</v>
      </c>
      <c r="AU39" s="24">
        <v>198404</v>
      </c>
      <c r="AV39" s="24">
        <f t="shared" si="18"/>
        <v>-284553</v>
      </c>
      <c r="AW39" s="24">
        <f t="shared" si="19"/>
        <v>-297086</v>
      </c>
      <c r="AX39" s="24">
        <f t="shared" si="20"/>
        <v>-51596</v>
      </c>
      <c r="AY39" s="24">
        <v>0</v>
      </c>
      <c r="AZ39" s="24">
        <v>199369</v>
      </c>
      <c r="BA39" s="24">
        <f t="shared" si="21"/>
        <v>-296121</v>
      </c>
      <c r="BB39" s="24">
        <f t="shared" si="22"/>
        <v>-50631</v>
      </c>
      <c r="BC39" s="24">
        <v>199369</v>
      </c>
      <c r="BD39" s="24">
        <f t="shared" si="23"/>
        <v>-296121</v>
      </c>
      <c r="BE39" s="24">
        <f t="shared" si="24"/>
        <v>-50631</v>
      </c>
    </row>
    <row r="40" spans="1:57" ht="17.25" customHeight="1">
      <c r="A40" s="3"/>
      <c r="B40" s="43" t="s">
        <v>39</v>
      </c>
      <c r="C40" s="24">
        <v>433837</v>
      </c>
      <c r="D40" s="24">
        <v>328488</v>
      </c>
      <c r="E40" s="24">
        <v>403617</v>
      </c>
      <c r="F40" s="24">
        <v>406299</v>
      </c>
      <c r="G40" s="24">
        <v>408981</v>
      </c>
      <c r="H40" s="24">
        <v>411662</v>
      </c>
      <c r="I40" s="24">
        <v>414344</v>
      </c>
      <c r="J40" s="24">
        <v>417026</v>
      </c>
      <c r="K40" s="24">
        <v>419707</v>
      </c>
      <c r="L40" s="24">
        <v>200000</v>
      </c>
      <c r="M40" s="24">
        <v>422389</v>
      </c>
      <c r="N40" s="24">
        <f>M40-L40</f>
        <v>222389</v>
      </c>
      <c r="O40" s="24">
        <f>M40-K40</f>
        <v>2682</v>
      </c>
      <c r="P40" s="24">
        <v>425071</v>
      </c>
      <c r="Q40" s="24">
        <f t="shared" si="3"/>
        <v>225071</v>
      </c>
      <c r="R40" s="24">
        <f t="shared" si="4"/>
        <v>5364</v>
      </c>
      <c r="S40" s="24">
        <v>427752</v>
      </c>
      <c r="T40" s="24">
        <f>S40-L40</f>
        <v>227752</v>
      </c>
      <c r="U40" s="24">
        <f>S40-K40</f>
        <v>8045</v>
      </c>
      <c r="V40" s="24">
        <v>526594</v>
      </c>
      <c r="W40" s="24">
        <f t="shared" si="5"/>
        <v>326594</v>
      </c>
      <c r="X40" s="24">
        <f t="shared" si="6"/>
        <v>92757</v>
      </c>
      <c r="Y40" s="24">
        <v>630488</v>
      </c>
      <c r="Z40" s="24">
        <f t="shared" si="7"/>
        <v>430488</v>
      </c>
      <c r="AA40" s="24">
        <f t="shared" si="8"/>
        <v>302000</v>
      </c>
      <c r="AB40" s="24">
        <v>416375</v>
      </c>
      <c r="AC40" s="24">
        <v>418266</v>
      </c>
      <c r="AD40" s="24">
        <f t="shared" si="9"/>
        <v>12758</v>
      </c>
      <c r="AE40" s="24">
        <f>AB40-K40</f>
        <v>-3332</v>
      </c>
      <c r="AF40" s="24">
        <f t="shared" si="10"/>
        <v>216375</v>
      </c>
      <c r="AG40" s="24">
        <f>AC40-L40</f>
        <v>218266</v>
      </c>
      <c r="AH40" s="24">
        <f>AC40-AB40</f>
        <v>1891</v>
      </c>
      <c r="AI40" s="24">
        <f t="shared" si="11"/>
        <v>11967</v>
      </c>
      <c r="AJ40" s="24">
        <v>420177</v>
      </c>
      <c r="AK40" s="24">
        <f t="shared" si="12"/>
        <v>220177</v>
      </c>
      <c r="AL40" s="24">
        <f t="shared" si="13"/>
        <v>11196</v>
      </c>
      <c r="AM40" s="24">
        <v>422089</v>
      </c>
      <c r="AN40" s="24">
        <f t="shared" si="14"/>
        <v>10427</v>
      </c>
      <c r="AO40" s="24">
        <f>AM40-K40</f>
        <v>2382</v>
      </c>
      <c r="AP40" s="24">
        <f>AM40-L40</f>
        <v>222089</v>
      </c>
      <c r="AQ40" s="24">
        <v>424000</v>
      </c>
      <c r="AR40" s="24">
        <f t="shared" si="15"/>
        <v>9656</v>
      </c>
      <c r="AS40" s="24">
        <f t="shared" si="16"/>
        <v>4293</v>
      </c>
      <c r="AT40" s="24">
        <f t="shared" si="17"/>
        <v>224000</v>
      </c>
      <c r="AU40" s="24">
        <v>425911</v>
      </c>
      <c r="AV40" s="24">
        <f t="shared" si="18"/>
        <v>8885</v>
      </c>
      <c r="AW40" s="24">
        <f t="shared" si="19"/>
        <v>6204</v>
      </c>
      <c r="AX40" s="24">
        <f t="shared" si="20"/>
        <v>225911</v>
      </c>
      <c r="AY40" s="24">
        <v>424000</v>
      </c>
      <c r="AZ40" s="24">
        <v>427551</v>
      </c>
      <c r="BA40" s="24">
        <f t="shared" si="21"/>
        <v>7844</v>
      </c>
      <c r="BB40" s="24">
        <f t="shared" si="22"/>
        <v>227551</v>
      </c>
      <c r="BC40" s="24">
        <v>427551</v>
      </c>
      <c r="BD40" s="24">
        <f t="shared" si="23"/>
        <v>7844</v>
      </c>
      <c r="BE40" s="24">
        <f t="shared" si="24"/>
        <v>227551</v>
      </c>
    </row>
    <row r="41" spans="1:57" ht="18" customHeight="1" thickBot="1">
      <c r="A41" s="3"/>
      <c r="B41" s="7" t="s">
        <v>40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582</v>
      </c>
      <c r="L41" s="21">
        <v>0</v>
      </c>
      <c r="M41" s="21">
        <f>682-100</f>
        <v>582</v>
      </c>
      <c r="N41" s="21">
        <f>M41-L41</f>
        <v>582</v>
      </c>
      <c r="O41" s="21">
        <f>M41-K41</f>
        <v>0</v>
      </c>
      <c r="P41" s="21">
        <v>582</v>
      </c>
      <c r="Q41" s="21">
        <f t="shared" si="3"/>
        <v>582</v>
      </c>
      <c r="R41" s="21">
        <f t="shared" si="4"/>
        <v>0</v>
      </c>
      <c r="S41" s="21">
        <v>0</v>
      </c>
      <c r="T41" s="21">
        <f>S41-L41</f>
        <v>0</v>
      </c>
      <c r="U41" s="21">
        <f>S41-K41</f>
        <v>-582</v>
      </c>
      <c r="V41" s="21">
        <v>0</v>
      </c>
      <c r="W41" s="21">
        <f t="shared" si="5"/>
        <v>0</v>
      </c>
      <c r="X41" s="21">
        <f t="shared" si="6"/>
        <v>0</v>
      </c>
      <c r="Y41" s="21">
        <v>0</v>
      </c>
      <c r="Z41" s="21">
        <f t="shared" si="7"/>
        <v>0</v>
      </c>
      <c r="AA41" s="21">
        <f t="shared" si="8"/>
        <v>0</v>
      </c>
      <c r="AB41" s="21">
        <v>0</v>
      </c>
      <c r="AC41" s="21">
        <v>0</v>
      </c>
      <c r="AD41" s="21">
        <f t="shared" si="9"/>
        <v>0</v>
      </c>
      <c r="AE41" s="21">
        <f>AB41-K41</f>
        <v>-582</v>
      </c>
      <c r="AF41" s="21">
        <f t="shared" si="10"/>
        <v>0</v>
      </c>
      <c r="AG41" s="21">
        <f>AC41-L41</f>
        <v>0</v>
      </c>
      <c r="AH41" s="21">
        <f>AC41-AB41</f>
        <v>0</v>
      </c>
      <c r="AI41" s="21">
        <f t="shared" si="11"/>
        <v>0</v>
      </c>
      <c r="AJ41" s="21">
        <v>0</v>
      </c>
      <c r="AK41" s="21">
        <f t="shared" si="12"/>
        <v>0</v>
      </c>
      <c r="AL41" s="21">
        <f t="shared" si="13"/>
        <v>0</v>
      </c>
      <c r="AM41" s="21">
        <v>0</v>
      </c>
      <c r="AN41" s="21">
        <f t="shared" si="14"/>
        <v>0</v>
      </c>
      <c r="AO41" s="21">
        <f>AM41-K41</f>
        <v>-582</v>
      </c>
      <c r="AP41" s="21">
        <f>AM41-L41</f>
        <v>0</v>
      </c>
      <c r="AQ41" s="21">
        <v>0</v>
      </c>
      <c r="AR41" s="21">
        <f t="shared" si="15"/>
        <v>0</v>
      </c>
      <c r="AS41" s="21">
        <f t="shared" si="16"/>
        <v>-582</v>
      </c>
      <c r="AT41" s="21">
        <f t="shared" si="17"/>
        <v>0</v>
      </c>
      <c r="AU41" s="21">
        <v>0</v>
      </c>
      <c r="AV41" s="21">
        <f t="shared" si="18"/>
        <v>0</v>
      </c>
      <c r="AW41" s="21">
        <f t="shared" si="19"/>
        <v>-582</v>
      </c>
      <c r="AX41" s="21">
        <f t="shared" si="20"/>
        <v>0</v>
      </c>
      <c r="AY41" s="21">
        <v>0</v>
      </c>
      <c r="AZ41" s="21">
        <v>0</v>
      </c>
      <c r="BA41" s="21">
        <f t="shared" si="21"/>
        <v>-582</v>
      </c>
      <c r="BB41" s="21">
        <f t="shared" si="22"/>
        <v>0</v>
      </c>
      <c r="BC41" s="21">
        <v>0</v>
      </c>
      <c r="BD41" s="21">
        <f t="shared" si="23"/>
        <v>-582</v>
      </c>
      <c r="BE41" s="21">
        <f t="shared" si="24"/>
        <v>0</v>
      </c>
    </row>
    <row r="42" spans="1:57" ht="16.5" customHeight="1" thickBot="1">
      <c r="A42" s="37" t="s">
        <v>14</v>
      </c>
      <c r="B42" s="6" t="s">
        <v>12</v>
      </c>
      <c r="C42" s="52">
        <v>491350</v>
      </c>
      <c r="D42" s="52">
        <v>518594</v>
      </c>
      <c r="E42" s="52">
        <v>552874</v>
      </c>
      <c r="F42" s="52">
        <v>549004</v>
      </c>
      <c r="G42" s="52">
        <v>662168</v>
      </c>
      <c r="H42" s="52">
        <v>705105</v>
      </c>
      <c r="I42" s="52">
        <v>638581</v>
      </c>
      <c r="J42" s="52">
        <v>823203</v>
      </c>
      <c r="K42" s="52">
        <f>938062-12533</f>
        <v>925529</v>
      </c>
      <c r="L42" s="52">
        <v>637384</v>
      </c>
      <c r="M42" s="52">
        <f>67518+4077</f>
        <v>71595</v>
      </c>
      <c r="N42" s="52">
        <f t="shared" si="1"/>
        <v>-565789</v>
      </c>
      <c r="O42" s="52">
        <f t="shared" si="2"/>
        <v>-853934</v>
      </c>
      <c r="P42" s="52">
        <f>69689+2614</f>
        <v>72303</v>
      </c>
      <c r="Q42" s="52">
        <f t="shared" si="3"/>
        <v>-565081</v>
      </c>
      <c r="R42" s="52">
        <f t="shared" si="4"/>
        <v>-853226</v>
      </c>
      <c r="S42" s="52">
        <v>40876</v>
      </c>
      <c r="T42" s="52">
        <f>S42-L42</f>
        <v>-596508</v>
      </c>
      <c r="U42" s="52">
        <f>S42-K42</f>
        <v>-884653</v>
      </c>
      <c r="V42" s="52">
        <v>43590</v>
      </c>
      <c r="W42" s="52">
        <f t="shared" si="5"/>
        <v>-593794</v>
      </c>
      <c r="X42" s="52">
        <f t="shared" si="6"/>
        <v>-447760</v>
      </c>
      <c r="Y42" s="52">
        <f>19503+2812</f>
        <v>22315</v>
      </c>
      <c r="Z42" s="52">
        <f t="shared" si="7"/>
        <v>-615069</v>
      </c>
      <c r="AA42" s="52">
        <f t="shared" si="8"/>
        <v>-496279</v>
      </c>
      <c r="AB42" s="52">
        <f>23973+757</f>
        <v>24730</v>
      </c>
      <c r="AC42" s="52">
        <f>25000+2536</f>
        <v>27536</v>
      </c>
      <c r="AD42" s="52">
        <f t="shared" si="9"/>
        <v>-528144</v>
      </c>
      <c r="AE42" s="52">
        <f>AB42-K42</f>
        <v>-900799</v>
      </c>
      <c r="AF42" s="52">
        <f t="shared" si="10"/>
        <v>-612654</v>
      </c>
      <c r="AG42" s="52">
        <f>AC42-L42</f>
        <v>-609848</v>
      </c>
      <c r="AH42" s="52">
        <f>AC42-AB42</f>
        <v>2806</v>
      </c>
      <c r="AI42" s="52">
        <f t="shared" si="11"/>
        <v>-521468</v>
      </c>
      <c r="AJ42" s="52">
        <v>30498</v>
      </c>
      <c r="AK42" s="52">
        <f t="shared" si="12"/>
        <v>-606886</v>
      </c>
      <c r="AL42" s="52">
        <f t="shared" si="13"/>
        <v>-631670</v>
      </c>
      <c r="AM42" s="52">
        <v>21192</v>
      </c>
      <c r="AN42" s="52">
        <f t="shared" si="14"/>
        <v>-683913</v>
      </c>
      <c r="AO42" s="52">
        <f>AM42-K42</f>
        <v>-904337</v>
      </c>
      <c r="AP42" s="52">
        <f>AM42-L42</f>
        <v>-616192</v>
      </c>
      <c r="AQ42" s="52">
        <f>24413+3669</f>
        <v>28082</v>
      </c>
      <c r="AR42" s="52">
        <f t="shared" si="15"/>
        <v>-610499</v>
      </c>
      <c r="AS42" s="52">
        <f t="shared" si="16"/>
        <v>-897447</v>
      </c>
      <c r="AT42" s="52">
        <f t="shared" si="17"/>
        <v>-609302</v>
      </c>
      <c r="AU42" s="52">
        <v>28921</v>
      </c>
      <c r="AV42" s="52">
        <f t="shared" si="18"/>
        <v>-794282</v>
      </c>
      <c r="AW42" s="52">
        <f t="shared" si="19"/>
        <v>-896608</v>
      </c>
      <c r="AX42" s="52">
        <f t="shared" si="20"/>
        <v>-608463</v>
      </c>
      <c r="AY42" s="52">
        <v>39260</v>
      </c>
      <c r="AZ42" s="52">
        <v>30650</v>
      </c>
      <c r="BA42" s="52">
        <f t="shared" si="21"/>
        <v>-894879</v>
      </c>
      <c r="BB42" s="52">
        <f t="shared" si="22"/>
        <v>-606734</v>
      </c>
      <c r="BC42" s="52">
        <v>5019</v>
      </c>
      <c r="BD42" s="52">
        <f t="shared" si="23"/>
        <v>-920510</v>
      </c>
      <c r="BE42" s="52">
        <f t="shared" si="24"/>
        <v>-632365</v>
      </c>
    </row>
    <row r="43" spans="1:57" ht="25.5" customHeight="1" thickBot="1">
      <c r="A43" s="28" t="s">
        <v>15</v>
      </c>
      <c r="B43" s="27" t="s">
        <v>25</v>
      </c>
      <c r="C43" s="13">
        <f>C6+C7+C13+C19+C20+C21+C29+C32+C33+C37+C42</f>
        <v>7289099</v>
      </c>
      <c r="D43" s="13">
        <f>D6+D7+D13+D19+D20+D21+D29+D32+D33+D37+D42</f>
        <v>7179400</v>
      </c>
      <c r="E43" s="13">
        <f>E6+E7+E13+E19+E20+E21+E29+E32+E33+E37+E42</f>
        <v>7244464</v>
      </c>
      <c r="F43" s="13">
        <f>F6+F7+F13+F19+F20+F21+F29+F32+F33+F37+F42</f>
        <v>7256699</v>
      </c>
      <c r="G43" s="13">
        <f>G6+G7+G13+G19+G20+G21+G29+G32+G33+G37+G42</f>
        <v>7438705</v>
      </c>
      <c r="H43" s="13">
        <f>H6+H7+H13+H19+H20+H21+H29+H32+H33+H37+H42</f>
        <v>7500601</v>
      </c>
      <c r="I43" s="13">
        <f>I6+I7+I13+I19+I20+I21+I29+I32+I33+I37+I42</f>
        <v>7439361</v>
      </c>
      <c r="J43" s="13">
        <f>J6+J7+J13+J19+J20+J21+J29+J32+J33+J37+J42</f>
        <v>7652640</v>
      </c>
      <c r="K43" s="13">
        <f>K6+K7+K13+K19+K20+K21+K29+K32+K33+K37+K42</f>
        <v>7920391</v>
      </c>
      <c r="L43" s="13">
        <f>L6+L7+L13+L19+L20+L21+L29+L32+L33+L37+L42</f>
        <v>7120000</v>
      </c>
      <c r="M43" s="13">
        <f>M6+M7+M13+M19+M20+M21+M29+M32+M33+M37+M42</f>
        <v>7246511</v>
      </c>
      <c r="N43" s="13">
        <f t="shared" si="1"/>
        <v>126511</v>
      </c>
      <c r="O43" s="13">
        <f t="shared" si="2"/>
        <v>-673880</v>
      </c>
      <c r="P43" s="13">
        <f>P6+P7+P13+P19+P20+P21+P29+P32+P33+P37+P42</f>
        <v>6924774</v>
      </c>
      <c r="Q43" s="13">
        <f t="shared" si="3"/>
        <v>-195226</v>
      </c>
      <c r="R43" s="13">
        <f t="shared" si="4"/>
        <v>-995617</v>
      </c>
      <c r="S43" s="13">
        <f>S6+S7+S13+S19+S20+S21+S29+S32+S33+S37+S42</f>
        <v>6955437</v>
      </c>
      <c r="T43" s="13">
        <f>S43-L43</f>
        <v>-164563</v>
      </c>
      <c r="U43" s="13">
        <f>S43-K43</f>
        <v>-964954</v>
      </c>
      <c r="V43" s="13">
        <f>V6+V7+V13+V19+V20+V21+V29+V32+V33+V37+V42</f>
        <v>7147594</v>
      </c>
      <c r="W43" s="13">
        <f t="shared" si="5"/>
        <v>27594</v>
      </c>
      <c r="X43" s="13">
        <f t="shared" si="6"/>
        <v>-141505</v>
      </c>
      <c r="Y43" s="13">
        <f>Y6+Y7+Y13+Y19+Y20+Y21+Y29+Y32+Y33+Y37+Y42</f>
        <v>7214156</v>
      </c>
      <c r="Z43" s="13">
        <f t="shared" si="7"/>
        <v>94156</v>
      </c>
      <c r="AA43" s="13">
        <f t="shared" si="8"/>
        <v>34756</v>
      </c>
      <c r="AB43" s="13">
        <f>AB6+AB7+AB13+AB19+AB20+AB21+AB29+AB32+AB33+AB37+AB42</f>
        <v>7259849</v>
      </c>
      <c r="AC43" s="13">
        <f>AC6+AC7+AC13+AC19+AC20+AC21+AC29+AC32+AC33+AC37+AC42</f>
        <v>7245956</v>
      </c>
      <c r="AD43" s="13">
        <f t="shared" si="9"/>
        <v>15385</v>
      </c>
      <c r="AE43" s="13">
        <f>AB43-K43</f>
        <v>-660542</v>
      </c>
      <c r="AF43" s="13">
        <f t="shared" si="10"/>
        <v>139849</v>
      </c>
      <c r="AG43" s="13">
        <f>AG6+AG7+AG13+AG19+AG20+AG21+AG29+AG32+AG33+AG37+AG42</f>
        <v>125956</v>
      </c>
      <c r="AH43" s="13">
        <f>AH6+AH7+AH13+AH19+AH20+AH21+AH29+AH32+AH33+AH37+AH42</f>
        <v>-13893</v>
      </c>
      <c r="AI43" s="13">
        <f t="shared" si="11"/>
        <v>-10743</v>
      </c>
      <c r="AJ43" s="13">
        <f>AJ6+AJ7+AJ13+AJ19+AJ20+AJ21+AJ29+AJ32+AJ33+AJ37+AJ42</f>
        <v>7246411</v>
      </c>
      <c r="AK43" s="13">
        <f t="shared" si="12"/>
        <v>126411</v>
      </c>
      <c r="AL43" s="13">
        <f t="shared" si="13"/>
        <v>-192294</v>
      </c>
      <c r="AM43" s="13">
        <f>AM6+AM7+AM13+AM19+AM20+AM21+AM29+AM32+AM33+AM37+AM42</f>
        <v>7273943</v>
      </c>
      <c r="AN43" s="13">
        <f t="shared" si="14"/>
        <v>-226658</v>
      </c>
      <c r="AO43" s="13">
        <f>AM43-K43</f>
        <v>-646448</v>
      </c>
      <c r="AP43" s="13">
        <f>AM43-L43</f>
        <v>153943</v>
      </c>
      <c r="AQ43" s="13">
        <f>AQ6+AQ7+AQ13+AQ19+AQ20+AQ21+AQ29+AQ32+AQ33+AQ37+AQ42</f>
        <v>7320893</v>
      </c>
      <c r="AR43" s="13">
        <f t="shared" si="15"/>
        <v>-118468</v>
      </c>
      <c r="AS43" s="13">
        <f t="shared" si="16"/>
        <v>-599498</v>
      </c>
      <c r="AT43" s="13">
        <f t="shared" si="17"/>
        <v>200893</v>
      </c>
      <c r="AU43" s="13">
        <f>AU6+AU7+AU13+AU19+AU20+AU21+AU29+AU32+AU33+AU37+AU42</f>
        <v>7237009</v>
      </c>
      <c r="AV43" s="13">
        <f t="shared" si="18"/>
        <v>-415631</v>
      </c>
      <c r="AW43" s="13">
        <f t="shared" si="19"/>
        <v>-683382</v>
      </c>
      <c r="AX43" s="13">
        <f t="shared" si="20"/>
        <v>117009</v>
      </c>
      <c r="AY43" s="13">
        <f>AY6+AY7+AY13+AY19+AY20+AY21+AY29+AY32+AY33+AY37+AY42</f>
        <v>7105000</v>
      </c>
      <c r="AZ43" s="13">
        <f>AZ6+AZ7+AZ13+AZ19+AZ20+AZ21+AZ29+AZ32+AZ33+AZ37+AZ42</f>
        <v>7227357</v>
      </c>
      <c r="BA43" s="13">
        <f t="shared" si="21"/>
        <v>-693034</v>
      </c>
      <c r="BB43" s="13">
        <f t="shared" si="22"/>
        <v>107357</v>
      </c>
      <c r="BC43" s="13">
        <f>BC6+BC7+BC13+BC19+BC20+BC21+BC29+BC32+BC33+BC37+BC42</f>
        <v>7187419</v>
      </c>
      <c r="BD43" s="13">
        <f t="shared" si="23"/>
        <v>-732972</v>
      </c>
      <c r="BE43" s="13">
        <f t="shared" si="24"/>
        <v>67419</v>
      </c>
    </row>
  </sheetData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2004-04-16T11:17:02Z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